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omments5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mperial Auto\"/>
    </mc:Choice>
  </mc:AlternateContent>
  <xr:revisionPtr revIDLastSave="0" documentId="8_{7155E24F-FAE5-4F53-8661-BB10BF7F1EBD}" xr6:coauthVersionLast="47" xr6:coauthVersionMax="47" xr10:uidLastSave="{00000000-0000-0000-0000-000000000000}"/>
  <bookViews>
    <workbookView xWindow="-120" yWindow="-120" windowWidth="20730" windowHeight="11160" tabRatio="914" firstSheet="7" activeTab="7" xr2:uid="{00000000-000D-0000-FFFF-FFFF00000000}"/>
  </bookViews>
  <sheets>
    <sheet name="Cover Page" sheetId="53" state="hidden" r:id="rId1"/>
    <sheet name="Background" sheetId="119" state="hidden" r:id="rId2"/>
    <sheet name="Scope of Work" sheetId="96" r:id="rId3"/>
    <sheet name="Plan Base" sheetId="107" r:id="rId4"/>
    <sheet name="Manpower Summary" sheetId="109" r:id="rId5"/>
    <sheet name="Opex" sheetId="116" r:id="rId6"/>
    <sheet name="Capex" sheetId="121" r:id="rId7"/>
    <sheet name="Commercial" sheetId="117" r:id="rId8"/>
    <sheet name="ARM" sheetId="108" r:id="rId9"/>
    <sheet name="Capex (2)" sheetId="134" state="hidden" r:id="rId10"/>
    <sheet name="Rental" sheetId="118" r:id="rId11"/>
    <sheet name="Sheet1" sheetId="133" r:id="rId12"/>
    <sheet name="SPACEWORK" sheetId="61" r:id="rId13"/>
    <sheet name="CB SKU Wise Data (2)" sheetId="132" state="hidden" r:id="rId14"/>
    <sheet name="CB Box" sheetId="122" state="hidden" r:id="rId15"/>
    <sheet name="CB SKU Wise Data" sheetId="123" state="hidden" r:id="rId16"/>
    <sheet name="Plant Wise Data" sheetId="124" state="hidden" r:id="rId17"/>
    <sheet name="PP Box" sheetId="125" state="hidden" r:id="rId18"/>
    <sheet name="PP Plant" sheetId="127" state="hidden" r:id="rId19"/>
    <sheet name="Wooden box" sheetId="128" state="hidden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</externalReferences>
  <definedNames>
    <definedName name="\A">#REF!</definedName>
    <definedName name="\B">#REF!</definedName>
    <definedName name="\c">#N/A</definedName>
    <definedName name="\D">#REF!</definedName>
    <definedName name="\e">#N/A</definedName>
    <definedName name="\F">#REF!</definedName>
    <definedName name="\G">#REF!</definedName>
    <definedName name="\H">#REF!</definedName>
    <definedName name="\i">#N/A</definedName>
    <definedName name="\IRR">#REF!</definedName>
    <definedName name="\J">#REF!</definedName>
    <definedName name="\M">#REF!</definedName>
    <definedName name="\N">#REF!</definedName>
    <definedName name="\P">#REF!</definedName>
    <definedName name="\q">'[1]BAL96-97'!#REF!</definedName>
    <definedName name="\R">#REF!</definedName>
    <definedName name="\s">'[1]BAL96-97'!#REF!</definedName>
    <definedName name="\T">#REF!</definedName>
    <definedName name="\V">#REF!</definedName>
    <definedName name="\x">'[1]BAL96-97'!#REF!</definedName>
    <definedName name="\z">'[1]BAL96-97'!#REF!</definedName>
    <definedName name="_">#REF!</definedName>
    <definedName name="____DAT1">'[2]Caracteristicas Productos'!#REF!</definedName>
    <definedName name="____DAT10">#REF!</definedName>
    <definedName name="____DAT11">#REF!</definedName>
    <definedName name="____DAT12">#REF!</definedName>
    <definedName name="____DAT13">#REF!</definedName>
    <definedName name="____DAT2">'[2]Caracteristicas Productos'!#REF!</definedName>
    <definedName name="____DAT3">'[2]Caracteristicas Productos'!#REF!</definedName>
    <definedName name="____DAT4">'[2]Caracteristicas Productos'!#REF!</definedName>
    <definedName name="____DAT5">'[2]Caracteristicas Productos'!#REF!</definedName>
    <definedName name="____DAT6">#REF!</definedName>
    <definedName name="____DAT7">#REF!</definedName>
    <definedName name="____DAT8">#REF!</definedName>
    <definedName name="____DAT9">#REF!</definedName>
    <definedName name="___DAT1">'[3]Caracteristicas Productos'!#REF!</definedName>
    <definedName name="___DAT10">#REF!</definedName>
    <definedName name="___DAT11">#REF!</definedName>
    <definedName name="___DAT12">#REF!</definedName>
    <definedName name="___DAT13">#REF!</definedName>
    <definedName name="___DAT2">'[3]Caracteristicas Productos'!#REF!</definedName>
    <definedName name="___DAT3">'[3]Caracteristicas Productos'!#REF!</definedName>
    <definedName name="___DAT4">'[3]Caracteristicas Productos'!#REF!</definedName>
    <definedName name="___DAT5">'[3]Caracteristicas Productos'!#REF!</definedName>
    <definedName name="___DAT6">#REF!</definedName>
    <definedName name="___DAT7">#REF!</definedName>
    <definedName name="___DAT8">#REF!</definedName>
    <definedName name="___DAT9">#REF!</definedName>
    <definedName name="___dk1" localSheetId="6" hidden="1">{#N/A,#N/A,FALSE,"COVER.XLS";#N/A,#N/A,FALSE,"RACT1.XLS";#N/A,#N/A,FALSE,"RACT2.XLS";#N/A,#N/A,FALSE,"ECCMP";#N/A,#N/A,FALSE,"WELDER.XLS"}</definedName>
    <definedName name="___dk1" localSheetId="9" hidden="1">{#N/A,#N/A,FALSE,"COVER.XLS";#N/A,#N/A,FALSE,"RACT1.XLS";#N/A,#N/A,FALSE,"RACT2.XLS";#N/A,#N/A,FALSE,"ECCMP";#N/A,#N/A,FALSE,"WELDER.XLS"}</definedName>
    <definedName name="___dk1" localSheetId="2" hidden="1">{#N/A,#N/A,FALSE,"COVER.XLS";#N/A,#N/A,FALSE,"RACT1.XLS";#N/A,#N/A,FALSE,"RACT2.XLS";#N/A,#N/A,FALSE,"ECCMP";#N/A,#N/A,FALSE,"WELDER.XLS"}</definedName>
    <definedName name="___dk1" hidden="1">{#N/A,#N/A,FALSE,"COVER.XLS";#N/A,#N/A,FALSE,"RACT1.XLS";#N/A,#N/A,FALSE,"RACT2.XLS";#N/A,#N/A,FALSE,"ECCMP";#N/A,#N/A,FALSE,"WELDER.XLS"}</definedName>
    <definedName name="___INDEX_SHEET___ASAP_Utilities">#REF!</definedName>
    <definedName name="___k8" localSheetId="6" hidden="1">{#N/A,#N/A,FALSE,"COVER1.XLS ";#N/A,#N/A,FALSE,"RACT1.XLS";#N/A,#N/A,FALSE,"RACT2.XLS";#N/A,#N/A,FALSE,"ECCMP";#N/A,#N/A,FALSE,"WELDER.XLS"}</definedName>
    <definedName name="___k8" localSheetId="9" hidden="1">{#N/A,#N/A,FALSE,"COVER1.XLS ";#N/A,#N/A,FALSE,"RACT1.XLS";#N/A,#N/A,FALSE,"RACT2.XLS";#N/A,#N/A,FALSE,"ECCMP";#N/A,#N/A,FALSE,"WELDER.XLS"}</definedName>
    <definedName name="___k8" localSheetId="2" hidden="1">{#N/A,#N/A,FALSE,"COVER1.XLS ";#N/A,#N/A,FALSE,"RACT1.XLS";#N/A,#N/A,FALSE,"RACT2.XLS";#N/A,#N/A,FALSE,"ECCMP";#N/A,#N/A,FALSE,"WELDER.XLS"}</definedName>
    <definedName name="___k8" hidden="1">{#N/A,#N/A,FALSE,"COVER1.XLS ";#N/A,#N/A,FALSE,"RACT1.XLS";#N/A,#N/A,FALSE,"RACT2.XLS";#N/A,#N/A,FALSE,"ECCMP";#N/A,#N/A,FALSE,"WELDER.XLS"}</definedName>
    <definedName name="___kv2" localSheetId="6" hidden="1">{#N/A,#N/A,FALSE,"COVER1.XLS ";#N/A,#N/A,FALSE,"RACT1.XLS";#N/A,#N/A,FALSE,"RACT2.XLS";#N/A,#N/A,FALSE,"ECCMP";#N/A,#N/A,FALSE,"WELDER.XLS"}</definedName>
    <definedName name="___kv2" localSheetId="9" hidden="1">{#N/A,#N/A,FALSE,"COVER1.XLS ";#N/A,#N/A,FALSE,"RACT1.XLS";#N/A,#N/A,FALSE,"RACT2.XLS";#N/A,#N/A,FALSE,"ECCMP";#N/A,#N/A,FALSE,"WELDER.XLS"}</definedName>
    <definedName name="___kv2" localSheetId="2" hidden="1">{#N/A,#N/A,FALSE,"COVER1.XLS ";#N/A,#N/A,FALSE,"RACT1.XLS";#N/A,#N/A,FALSE,"RACT2.XLS";#N/A,#N/A,FALSE,"ECCMP";#N/A,#N/A,FALSE,"WELDER.XLS"}</definedName>
    <definedName name="___kv2" hidden="1">{#N/A,#N/A,FALSE,"COVER1.XLS ";#N/A,#N/A,FALSE,"RACT1.XLS";#N/A,#N/A,FALSE,"RACT2.XLS";#N/A,#N/A,FALSE,"ECCMP";#N/A,#N/A,FALSE,"WELDER.XLS"}</definedName>
    <definedName name="___kvs1" localSheetId="6" hidden="1">{#N/A,#N/A,FALSE,"COVER1.XLS ";#N/A,#N/A,FALSE,"RACT1.XLS";#N/A,#N/A,FALSE,"RACT2.XLS";#N/A,#N/A,FALSE,"ECCMP";#N/A,#N/A,FALSE,"WELDER.XLS"}</definedName>
    <definedName name="___kvs1" localSheetId="9" hidden="1">{#N/A,#N/A,FALSE,"COVER1.XLS ";#N/A,#N/A,FALSE,"RACT1.XLS";#N/A,#N/A,FALSE,"RACT2.XLS";#N/A,#N/A,FALSE,"ECCMP";#N/A,#N/A,FALSE,"WELDER.XLS"}</definedName>
    <definedName name="___kvs1" localSheetId="2" hidden="1">{#N/A,#N/A,FALSE,"COVER1.XLS ";#N/A,#N/A,FALSE,"RACT1.XLS";#N/A,#N/A,FALSE,"RACT2.XLS";#N/A,#N/A,FALSE,"ECCMP";#N/A,#N/A,FALSE,"WELDER.XLS"}</definedName>
    <definedName name="___kvs1" hidden="1">{#N/A,#N/A,FALSE,"COVER1.XLS ";#N/A,#N/A,FALSE,"RACT1.XLS";#N/A,#N/A,FALSE,"RACT2.XLS";#N/A,#N/A,FALSE,"ECCMP";#N/A,#N/A,FALSE,"WELDER.XLS"}</definedName>
    <definedName name="___kvs2" localSheetId="6" hidden="1">{#N/A,#N/A,FALSE,"COVER1.XLS ";#N/A,#N/A,FALSE,"RACT1.XLS";#N/A,#N/A,FALSE,"RACT2.XLS";#N/A,#N/A,FALSE,"ECCMP";#N/A,#N/A,FALSE,"WELDER.XLS"}</definedName>
    <definedName name="___kvs2" localSheetId="9" hidden="1">{#N/A,#N/A,FALSE,"COVER1.XLS ";#N/A,#N/A,FALSE,"RACT1.XLS";#N/A,#N/A,FALSE,"RACT2.XLS";#N/A,#N/A,FALSE,"ECCMP";#N/A,#N/A,FALSE,"WELDER.XLS"}</definedName>
    <definedName name="___kvs2" localSheetId="2" hidden="1">{#N/A,#N/A,FALSE,"COVER1.XLS ";#N/A,#N/A,FALSE,"RACT1.XLS";#N/A,#N/A,FALSE,"RACT2.XLS";#N/A,#N/A,FALSE,"ECCMP";#N/A,#N/A,FALSE,"WELDER.XLS"}</definedName>
    <definedName name="___kvs2" hidden="1">{#N/A,#N/A,FALSE,"COVER1.XLS ";#N/A,#N/A,FALSE,"RACT1.XLS";#N/A,#N/A,FALSE,"RACT2.XLS";#N/A,#N/A,FALSE,"ECCMP";#N/A,#N/A,FALSE,"WELDER.XLS"}</definedName>
    <definedName name="___kvs5" localSheetId="6" hidden="1">{#N/A,#N/A,FALSE,"COVER.XLS";#N/A,#N/A,FALSE,"RACT1.XLS";#N/A,#N/A,FALSE,"RACT2.XLS";#N/A,#N/A,FALSE,"ECCMP";#N/A,#N/A,FALSE,"WELDER.XLS"}</definedName>
    <definedName name="___kvs5" localSheetId="9" hidden="1">{#N/A,#N/A,FALSE,"COVER.XLS";#N/A,#N/A,FALSE,"RACT1.XLS";#N/A,#N/A,FALSE,"RACT2.XLS";#N/A,#N/A,FALSE,"ECCMP";#N/A,#N/A,FALSE,"WELDER.XLS"}</definedName>
    <definedName name="___kvs5" localSheetId="2" hidden="1">{#N/A,#N/A,FALSE,"COVER.XLS";#N/A,#N/A,FALSE,"RACT1.XLS";#N/A,#N/A,FALSE,"RACT2.XLS";#N/A,#N/A,FALSE,"ECCMP";#N/A,#N/A,FALSE,"WELDER.XLS"}</definedName>
    <definedName name="___kvs5" hidden="1">{#N/A,#N/A,FALSE,"COVER.XLS";#N/A,#N/A,FALSE,"RACT1.XLS";#N/A,#N/A,FALSE,"RACT2.XLS";#N/A,#N/A,FALSE,"ECCMP";#N/A,#N/A,FALSE,"WELDER.XLS"}</definedName>
    <definedName name="___kvs7" localSheetId="6" hidden="1">{#N/A,#N/A,FALSE,"COVER1.XLS ";#N/A,#N/A,FALSE,"RACT1.XLS";#N/A,#N/A,FALSE,"RACT2.XLS";#N/A,#N/A,FALSE,"ECCMP";#N/A,#N/A,FALSE,"WELDER.XLS"}</definedName>
    <definedName name="___kvs7" localSheetId="9" hidden="1">{#N/A,#N/A,FALSE,"COVER1.XLS ";#N/A,#N/A,FALSE,"RACT1.XLS";#N/A,#N/A,FALSE,"RACT2.XLS";#N/A,#N/A,FALSE,"ECCMP";#N/A,#N/A,FALSE,"WELDER.XLS"}</definedName>
    <definedName name="___kvs7" localSheetId="2" hidden="1">{#N/A,#N/A,FALSE,"COVER1.XLS ";#N/A,#N/A,FALSE,"RACT1.XLS";#N/A,#N/A,FALSE,"RACT2.XLS";#N/A,#N/A,FALSE,"ECCMP";#N/A,#N/A,FALSE,"WELDER.XLS"}</definedName>
    <definedName name="___kvs7" hidden="1">{#N/A,#N/A,FALSE,"COVER1.XLS ";#N/A,#N/A,FALSE,"RACT1.XLS";#N/A,#N/A,FALSE,"RACT2.XLS";#N/A,#N/A,FALSE,"ECCMP";#N/A,#N/A,FALSE,"WELDER.XLS"}</definedName>
    <definedName name="___kvs8" localSheetId="6" hidden="1">{#N/A,#N/A,FALSE,"COVER1.XLS ";#N/A,#N/A,FALSE,"RACT1.XLS";#N/A,#N/A,FALSE,"RACT2.XLS";#N/A,#N/A,FALSE,"ECCMP";#N/A,#N/A,FALSE,"WELDER.XLS"}</definedName>
    <definedName name="___kvs8" localSheetId="9" hidden="1">{#N/A,#N/A,FALSE,"COVER1.XLS ";#N/A,#N/A,FALSE,"RACT1.XLS";#N/A,#N/A,FALSE,"RACT2.XLS";#N/A,#N/A,FALSE,"ECCMP";#N/A,#N/A,FALSE,"WELDER.XLS"}</definedName>
    <definedName name="___kvs8" localSheetId="2" hidden="1">{#N/A,#N/A,FALSE,"COVER1.XLS ";#N/A,#N/A,FALSE,"RACT1.XLS";#N/A,#N/A,FALSE,"RACT2.XLS";#N/A,#N/A,FALSE,"ECCMP";#N/A,#N/A,FALSE,"WELDER.XLS"}</definedName>
    <definedName name="___kvs8" hidden="1">{#N/A,#N/A,FALSE,"COVER1.XLS ";#N/A,#N/A,FALSE,"RACT1.XLS";#N/A,#N/A,FALSE,"RACT2.XLS";#N/A,#N/A,FALSE,"ECCMP";#N/A,#N/A,FALSE,"WELDER.XLS"}</definedName>
    <definedName name="___KVS9" localSheetId="6" hidden="1">{#N/A,#N/A,FALSE,"COVER1.XLS ";#N/A,#N/A,FALSE,"RACT1.XLS";#N/A,#N/A,FALSE,"RACT2.XLS";#N/A,#N/A,FALSE,"ECCMP";#N/A,#N/A,FALSE,"WELDER.XLS"}</definedName>
    <definedName name="___KVS9" localSheetId="9" hidden="1">{#N/A,#N/A,FALSE,"COVER1.XLS ";#N/A,#N/A,FALSE,"RACT1.XLS";#N/A,#N/A,FALSE,"RACT2.XLS";#N/A,#N/A,FALSE,"ECCMP";#N/A,#N/A,FALSE,"WELDER.XLS"}</definedName>
    <definedName name="___KVS9" localSheetId="2" hidden="1">{#N/A,#N/A,FALSE,"COVER1.XLS ";#N/A,#N/A,FALSE,"RACT1.XLS";#N/A,#N/A,FALSE,"RACT2.XLS";#N/A,#N/A,FALSE,"ECCMP";#N/A,#N/A,FALSE,"WELDER.XLS"}</definedName>
    <definedName name="___KVS9" hidden="1">{#N/A,#N/A,FALSE,"COVER1.XLS ";#N/A,#N/A,FALSE,"RACT1.XLS";#N/A,#N/A,FALSE,"RACT2.XLS";#N/A,#N/A,FALSE,"ECCMP";#N/A,#N/A,FALSE,"WELDER.XLS"}</definedName>
    <definedName name="___l2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l2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l2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l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lb1">#REF!</definedName>
    <definedName name="___lb2">#REF!</definedName>
    <definedName name="___lk1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lk1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lk1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mm1">#REF!</definedName>
    <definedName name="___mm2">#REF!</definedName>
    <definedName name="___mm3">#REF!</definedName>
    <definedName name="___PRN1" localSheetId="6" hidden="1">{#N/A,#N/A,FALSE,"COVER.XLS";#N/A,#N/A,FALSE,"RACT1.XLS";#N/A,#N/A,FALSE,"RACT2.XLS";#N/A,#N/A,FALSE,"ECCMP";#N/A,#N/A,FALSE,"WELDER.XLS"}</definedName>
    <definedName name="___PRN1" localSheetId="9" hidden="1">{#N/A,#N/A,FALSE,"COVER.XLS";#N/A,#N/A,FALSE,"RACT1.XLS";#N/A,#N/A,FALSE,"RACT2.XLS";#N/A,#N/A,FALSE,"ECCMP";#N/A,#N/A,FALSE,"WELDER.XLS"}</definedName>
    <definedName name="___PRN1" localSheetId="2" hidden="1">{#N/A,#N/A,FALSE,"COVER.XLS";#N/A,#N/A,FALSE,"RACT1.XLS";#N/A,#N/A,FALSE,"RACT2.XLS";#N/A,#N/A,FALSE,"ECCMP";#N/A,#N/A,FALSE,"WELDER.XLS"}</definedName>
    <definedName name="___PRN1" hidden="1">{#N/A,#N/A,FALSE,"COVER.XLS";#N/A,#N/A,FALSE,"RACT1.XLS";#N/A,#N/A,FALSE,"RACT2.XLS";#N/A,#N/A,FALSE,"ECCMP";#N/A,#N/A,FALSE,"WELDER.XLS"}</definedName>
    <definedName name="___q2" localSheetId="6" hidden="1">{#N/A,#N/A,FALSE,"COVER1.XLS ";#N/A,#N/A,FALSE,"RACT1.XLS";#N/A,#N/A,FALSE,"RACT2.XLS";#N/A,#N/A,FALSE,"ECCMP";#N/A,#N/A,FALSE,"WELDER.XLS"}</definedName>
    <definedName name="___q2" localSheetId="9" hidden="1">{#N/A,#N/A,FALSE,"COVER1.XLS ";#N/A,#N/A,FALSE,"RACT1.XLS";#N/A,#N/A,FALSE,"RACT2.XLS";#N/A,#N/A,FALSE,"ECCMP";#N/A,#N/A,FALSE,"WELDER.XLS"}</definedName>
    <definedName name="___q2" localSheetId="2" hidden="1">{#N/A,#N/A,FALSE,"COVER1.XLS ";#N/A,#N/A,FALSE,"RACT1.XLS";#N/A,#N/A,FALSE,"RACT2.XLS";#N/A,#N/A,FALSE,"ECCMP";#N/A,#N/A,FALSE,"WELDER.XLS"}</definedName>
    <definedName name="___q2" hidden="1">{#N/A,#N/A,FALSE,"COVER1.XLS ";#N/A,#N/A,FALSE,"RACT1.XLS";#N/A,#N/A,FALSE,"RACT2.XLS";#N/A,#N/A,FALSE,"ECCMP";#N/A,#N/A,FALSE,"WELDER.XLS"}</definedName>
    <definedName name="___t1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t1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t1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t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tr1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tr1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tr1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w2" localSheetId="6" hidden="1">{#N/A,#N/A,FALSE,"17MAY";#N/A,#N/A,FALSE,"24MAY"}</definedName>
    <definedName name="___w2" localSheetId="9" hidden="1">{#N/A,#N/A,FALSE,"17MAY";#N/A,#N/A,FALSE,"24MAY"}</definedName>
    <definedName name="___w2" localSheetId="2" hidden="1">{#N/A,#N/A,FALSE,"17MAY";#N/A,#N/A,FALSE,"24MAY"}</definedName>
    <definedName name="___w2" hidden="1">{#N/A,#N/A,FALSE,"17MAY";#N/A,#N/A,FALSE,"24MAY"}</definedName>
    <definedName name="___WRN1" localSheetId="6" hidden="1">{#N/A,#N/A,FALSE,"COVER1.XLS ";#N/A,#N/A,FALSE,"RACT1.XLS";#N/A,#N/A,FALSE,"RACT2.XLS";#N/A,#N/A,FALSE,"ECCMP";#N/A,#N/A,FALSE,"WELDER.XLS"}</definedName>
    <definedName name="___WRN1" localSheetId="9" hidden="1">{#N/A,#N/A,FALSE,"COVER1.XLS ";#N/A,#N/A,FALSE,"RACT1.XLS";#N/A,#N/A,FALSE,"RACT2.XLS";#N/A,#N/A,FALSE,"ECCMP";#N/A,#N/A,FALSE,"WELDER.XLS"}</definedName>
    <definedName name="___WRN1" localSheetId="2" hidden="1">{#N/A,#N/A,FALSE,"COVER1.XLS ";#N/A,#N/A,FALSE,"RACT1.XLS";#N/A,#N/A,FALSE,"RACT2.XLS";#N/A,#N/A,FALSE,"ECCMP";#N/A,#N/A,FALSE,"WELDER.XLS"}</definedName>
    <definedName name="___WRN1" hidden="1">{#N/A,#N/A,FALSE,"COVER1.XLS ";#N/A,#N/A,FALSE,"RACT1.XLS";#N/A,#N/A,FALSE,"RACT2.XLS";#N/A,#N/A,FALSE,"ECCMP";#N/A,#N/A,FALSE,"WELDER.XLS"}</definedName>
    <definedName name="___WRN2" localSheetId="6" hidden="1">{#N/A,#N/A,FALSE,"COVER1.XLS ";#N/A,#N/A,FALSE,"RACT1.XLS";#N/A,#N/A,FALSE,"RACT2.XLS";#N/A,#N/A,FALSE,"ECCMP";#N/A,#N/A,FALSE,"WELDER.XLS"}</definedName>
    <definedName name="___WRN2" localSheetId="9" hidden="1">{#N/A,#N/A,FALSE,"COVER1.XLS ";#N/A,#N/A,FALSE,"RACT1.XLS";#N/A,#N/A,FALSE,"RACT2.XLS";#N/A,#N/A,FALSE,"ECCMP";#N/A,#N/A,FALSE,"WELDER.XLS"}</definedName>
    <definedName name="___WRN2" localSheetId="2" hidden="1">{#N/A,#N/A,FALSE,"COVER1.XLS ";#N/A,#N/A,FALSE,"RACT1.XLS";#N/A,#N/A,FALSE,"RACT2.XLS";#N/A,#N/A,FALSE,"ECCMP";#N/A,#N/A,FALSE,"WELDER.XLS"}</definedName>
    <definedName name="___WRN2" hidden="1">{#N/A,#N/A,FALSE,"COVER1.XLS ";#N/A,#N/A,FALSE,"RACT1.XLS";#N/A,#N/A,FALSE,"RACT2.XLS";#N/A,#N/A,FALSE,"ECCMP";#N/A,#N/A,FALSE,"WELDER.XLS"}</definedName>
    <definedName name="___WRN3" localSheetId="6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_WRN3" localSheetId="9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_WRN3" localSheetId="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1__123Graph_ACHART_1" hidden="1">[4]Nordeste!$AG$9:$AP$9</definedName>
    <definedName name="__10__123Graph_DCHART_10" hidden="1">[4]Consolidado!$BE$12:$BN$12</definedName>
    <definedName name="__11__123Graph_ECHART_10" hidden="1">[4]Consolidado!$BE$13:$BN$13</definedName>
    <definedName name="__12__123Graph_FCHART_10" hidden="1">[4]Consolidado!$BE$14:$BN$14</definedName>
    <definedName name="__123Graph_A" hidden="1">[5]A!$D$6:$D$105</definedName>
    <definedName name="__123Graph_ACHART" hidden="1">[6]DOH!#REF!</definedName>
    <definedName name="__123Graph_ACHART2" hidden="1">[7]DSO!#REF!</definedName>
    <definedName name="__123Graph_ARISK" localSheetId="6" hidden="1">#REF!</definedName>
    <definedName name="__123Graph_ARISK" localSheetId="9" hidden="1">#REF!</definedName>
    <definedName name="__123Graph_ARISK" localSheetId="2" hidden="1">#REF!</definedName>
    <definedName name="__123Graph_ARISK" hidden="1">#REF!</definedName>
    <definedName name="__123Graph_B" hidden="1">[5]A!$E$6:$E$105</definedName>
    <definedName name="__123Graph_BCHART" hidden="1">[6]DOH!#REF!</definedName>
    <definedName name="__123Graph_BCHART2" hidden="1">[7]DSO!#REF!</definedName>
    <definedName name="__123Graph_BCurrent" hidden="1">'[8]1999-00'!#REF!</definedName>
    <definedName name="__123Graph_BRISK" localSheetId="6" hidden="1">#REF!</definedName>
    <definedName name="__123Graph_BRISK" localSheetId="9" hidden="1">#REF!</definedName>
    <definedName name="__123Graph_BRISK" localSheetId="2" hidden="1">#REF!</definedName>
    <definedName name="__123Graph_BRISK" hidden="1">#REF!</definedName>
    <definedName name="__123Graph_C" hidden="1">[5]A!$F$6:$F$105</definedName>
    <definedName name="__123Graph_CCHART" hidden="1">[6]DOH!#REF!</definedName>
    <definedName name="__123Graph_CCHART2" hidden="1">[7]DSO!#REF!</definedName>
    <definedName name="__123Graph_CCurrent" hidden="1">'[8]1999-00'!#REF!</definedName>
    <definedName name="__123Graph_D" hidden="1">[5]A!$G$6:$G$105</definedName>
    <definedName name="__123Graph_DCHART" hidden="1">[6]DOH!#REF!</definedName>
    <definedName name="__123Graph_DCHART2" hidden="1">[7]DSO!#REF!</definedName>
    <definedName name="__123Graph_DCurrent" hidden="1">'[8]1999-00'!#REF!</definedName>
    <definedName name="__123Graph_E" hidden="1">[5]A!$H$6:$H$105</definedName>
    <definedName name="__123Graph_ECHART" hidden="1">[6]DOH!#REF!</definedName>
    <definedName name="__123Graph_ECHART2" hidden="1">[7]DSO!#REF!</definedName>
    <definedName name="__123Graph_ECurrent" hidden="1">'[8]1999-00'!#REF!</definedName>
    <definedName name="__123Graph_F" hidden="1">[5]A!$I$6:$I$105</definedName>
    <definedName name="__123Graph_FCHART" hidden="1">[6]DOH!#REF!</definedName>
    <definedName name="__123Graph_FCHART2" hidden="1">[7]DSO!#REF!</definedName>
    <definedName name="__123Graph_FCurrent" hidden="1">'[8]1999-00'!#REF!</definedName>
    <definedName name="__123Graph_X" hidden="1">[5]A!$C$6:$C$106</definedName>
    <definedName name="__123Graph_XCurrent" hidden="1">'[8]1999-00'!#REF!</definedName>
    <definedName name="__13__123Graph_LBL_BCHART_1" hidden="1">[4]Nordeste!$AG$10:$AP$10</definedName>
    <definedName name="__14__123Graph_LBL_BCHART_10" hidden="1">[4]Consolidado!$BE$10:$BN$10</definedName>
    <definedName name="__15__123Graph_LBL_CCHART_1" hidden="1">[4]Nordeste!$AG$11:$AP$11</definedName>
    <definedName name="__16__123Graph_LBL_CCHART_10" hidden="1">[4]Consolidado!$BE$11:$BN$11</definedName>
    <definedName name="__17__123Graph_LBL_DCHART_10" hidden="1">[4]Consolidado!$BE$12:$BN$12</definedName>
    <definedName name="__18__123Graph_LBL_ECHART_10" hidden="1">[4]Consolidado!$BE$13:$BN$13</definedName>
    <definedName name="__19__123Graph_LBL_FCHART_10" hidden="1">[4]Consolidado!$BE$14:$BN$14</definedName>
    <definedName name="__2__123Graph_ACHART_10" hidden="1">[4]Consolidado!$BE$9:$BN$9</definedName>
    <definedName name="__3__123Graph_AGRAFICO_1" hidden="1">[4]CfyBs!$AX$4:$BG$4</definedName>
    <definedName name="__4__123Graph_BCHART_1" hidden="1">[4]Nordeste!$AG$10:$AP$10</definedName>
    <definedName name="__5__123Graph_BCHART_10" hidden="1">[4]Consolidado!$BE$10:$BN$10</definedName>
    <definedName name="__6__123Graph_BGRAFICO_1" hidden="1">[4]CfyBs!$AX$5:$BG$5</definedName>
    <definedName name="__7__123Graph_CCHART_1" hidden="1">[4]Nordeste!$AG$11:$AP$11</definedName>
    <definedName name="__8__123Graph_CCHART_10" hidden="1">[4]Consolidado!$BE$11:$BN$11</definedName>
    <definedName name="__9__123Graph_CGRAFICO_1" hidden="1">[4]CfyBs!$AX$6:$BG$6</definedName>
    <definedName name="__a65554">#REF!</definedName>
    <definedName name="__APW_RESTORE_DATA0__" localSheetId="6" hidden="1">#REF!,#REF!,#REF!,#REF!,#REF!,#REF!,#REF!,#REF!,#REF!,#REF!,#REF!,#REF!,#REF!,#REF!,#REF!,#REF!,#REF!</definedName>
    <definedName name="__APW_RESTORE_DATA0__" localSheetId="9" hidden="1">#REF!,#REF!,#REF!,#REF!,#REF!,#REF!,#REF!,#REF!,#REF!,#REF!,#REF!,#REF!,#REF!,#REF!,#REF!,#REF!,#REF!</definedName>
    <definedName name="__APW_RESTORE_DATA0__" localSheetId="2" hidden="1">#REF!,#REF!,#REF!,#REF!,#REF!,#REF!,#REF!,#REF!,#REF!,#REF!,#REF!,#REF!,#REF!,#REF!,#REF!,#REF!,#REF!</definedName>
    <definedName name="__APW_RESTORE_DATA0__" hidden="1">#REF!,#REF!,#REF!,#REF!,#REF!,#REF!,#REF!,#REF!,#REF!,#REF!,#REF!,#REF!,#REF!,#REF!,#REF!,#REF!,#REF!</definedName>
    <definedName name="__APW_RESTORE_DATA1__" localSheetId="6" hidden="1">#REF!,#REF!,#REF!,#REF!,#REF!,#REF!,#REF!,#REF!,#REF!,#REF!,#REF!,#REF!,#REF!,#REF!,#REF!,#REF!</definedName>
    <definedName name="__APW_RESTORE_DATA1__" localSheetId="9" hidden="1">#REF!,#REF!,#REF!,#REF!,#REF!,#REF!,#REF!,#REF!,#REF!,#REF!,#REF!,#REF!,#REF!,#REF!,#REF!,#REF!</definedName>
    <definedName name="__APW_RESTORE_DATA1__" localSheetId="2" hidden="1">#REF!,#REF!,#REF!,#REF!,#REF!,#REF!,#REF!,#REF!,#REF!,#REF!,#REF!,#REF!,#REF!,#REF!,#REF!,#REF!</definedName>
    <definedName name="__APW_RESTORE_DATA1__" hidden="1">#REF!,#REF!,#REF!,#REF!,#REF!,#REF!,#REF!,#REF!,#REF!,#REF!,#REF!,#REF!,#REF!,#REF!,#REF!,#REF!</definedName>
    <definedName name="__APW_RESTORE_DATA10__" localSheetId="6" hidden="1">#REF!,#REF!,#REF!,#REF!,#REF!,#REF!,#REF!,#REF!,#REF!,#REF!,#REF!,#REF!,#REF!,#REF!,#REF!</definedName>
    <definedName name="__APW_RESTORE_DATA10__" localSheetId="9" hidden="1">#REF!,#REF!,#REF!,#REF!,#REF!,#REF!,#REF!,#REF!,#REF!,#REF!,#REF!,#REF!,#REF!,#REF!,#REF!</definedName>
    <definedName name="__APW_RESTORE_DATA10__" localSheetId="2" hidden="1">#REF!,#REF!,#REF!,#REF!,#REF!,#REF!,#REF!,#REF!,#REF!,#REF!,#REF!,#REF!,#REF!,#REF!,#REF!</definedName>
    <definedName name="__APW_RESTORE_DATA10__" hidden="1">#REF!,#REF!,#REF!,#REF!,#REF!,#REF!,#REF!,#REF!,#REF!,#REF!,#REF!,#REF!,#REF!,#REF!,#REF!</definedName>
    <definedName name="__APW_RESTORE_DATA100__" localSheetId="6" hidden="1">#REF!,#REF!,#REF!,#REF!,#REF!,#REF!,#REF!,#REF!,#REF!,#REF!,#REF!,#REF!,#REF!,#REF!,#REF!,#REF!</definedName>
    <definedName name="__APW_RESTORE_DATA100__" localSheetId="9" hidden="1">#REF!,#REF!,#REF!,#REF!,#REF!,#REF!,#REF!,#REF!,#REF!,#REF!,#REF!,#REF!,#REF!,#REF!,#REF!,#REF!</definedName>
    <definedName name="__APW_RESTORE_DATA100__" localSheetId="2" hidden="1">#REF!,#REF!,#REF!,#REF!,#REF!,#REF!,#REF!,#REF!,#REF!,#REF!,#REF!,#REF!,#REF!,#REF!,#REF!,#REF!</definedName>
    <definedName name="__APW_RESTORE_DATA100__" hidden="1">#REF!,#REF!,#REF!,#REF!,#REF!,#REF!,#REF!,#REF!,#REF!,#REF!,#REF!,#REF!,#REF!,#REF!,#REF!,#REF!</definedName>
    <definedName name="__APW_RESTORE_DATA101__" localSheetId="6" hidden="1">#REF!,#REF!,#REF!,#REF!,#REF!,#REF!,#REF!,#REF!,#REF!,#REF!,#REF!,#REF!,#REF!,#REF!,#REF!,#REF!</definedName>
    <definedName name="__APW_RESTORE_DATA101__" localSheetId="9" hidden="1">#REF!,#REF!,#REF!,#REF!,#REF!,#REF!,#REF!,#REF!,#REF!,#REF!,#REF!,#REF!,#REF!,#REF!,#REF!,#REF!</definedName>
    <definedName name="__APW_RESTORE_DATA101__" localSheetId="2" hidden="1">#REF!,#REF!,#REF!,#REF!,#REF!,#REF!,#REF!,#REF!,#REF!,#REF!,#REF!,#REF!,#REF!,#REF!,#REF!,#REF!</definedName>
    <definedName name="__APW_RESTORE_DATA101__" hidden="1">#REF!,#REF!,#REF!,#REF!,#REF!,#REF!,#REF!,#REF!,#REF!,#REF!,#REF!,#REF!,#REF!,#REF!,#REF!,#REF!</definedName>
    <definedName name="__APW_RESTORE_DATA102__" localSheetId="6" hidden="1">#REF!,#REF!,#REF!,#REF!,#REF!,#REF!,#REF!,#REF!,#REF!,#REF!,#REF!,#REF!,#REF!,#REF!,#REF!</definedName>
    <definedName name="__APW_RESTORE_DATA102__" localSheetId="9" hidden="1">#REF!,#REF!,#REF!,#REF!,#REF!,#REF!,#REF!,#REF!,#REF!,#REF!,#REF!,#REF!,#REF!,#REF!,#REF!</definedName>
    <definedName name="__APW_RESTORE_DATA102__" localSheetId="2" hidden="1">#REF!,#REF!,#REF!,#REF!,#REF!,#REF!,#REF!,#REF!,#REF!,#REF!,#REF!,#REF!,#REF!,#REF!,#REF!</definedName>
    <definedName name="__APW_RESTORE_DATA102__" hidden="1">#REF!,#REF!,#REF!,#REF!,#REF!,#REF!,#REF!,#REF!,#REF!,#REF!,#REF!,#REF!,#REF!,#REF!,#REF!</definedName>
    <definedName name="__APW_RESTORE_DATA103__" localSheetId="6" hidden="1">#REF!,#REF!,#REF!,#REF!,#REF!,#REF!,#REF!,#REF!,#REF!,#REF!,#REF!,#REF!,#REF!,#REF!,#REF!</definedName>
    <definedName name="__APW_RESTORE_DATA103__" localSheetId="9" hidden="1">#REF!,#REF!,#REF!,#REF!,#REF!,#REF!,#REF!,#REF!,#REF!,#REF!,#REF!,#REF!,#REF!,#REF!,#REF!</definedName>
    <definedName name="__APW_RESTORE_DATA103__" localSheetId="2" hidden="1">#REF!,#REF!,#REF!,#REF!,#REF!,#REF!,#REF!,#REF!,#REF!,#REF!,#REF!,#REF!,#REF!,#REF!,#REF!</definedName>
    <definedName name="__APW_RESTORE_DATA103__" hidden="1">#REF!,#REF!,#REF!,#REF!,#REF!,#REF!,#REF!,#REF!,#REF!,#REF!,#REF!,#REF!,#REF!,#REF!,#REF!</definedName>
    <definedName name="__APW_RESTORE_DATA104__" localSheetId="6" hidden="1">#REF!,#REF!,#REF!,#REF!,#REF!,#REF!,#REF!,#REF!,#REF!,#REF!,#REF!,#REF!,#REF!,#REF!,#REF!</definedName>
    <definedName name="__APW_RESTORE_DATA104__" localSheetId="9" hidden="1">#REF!,#REF!,#REF!,#REF!,#REF!,#REF!,#REF!,#REF!,#REF!,#REF!,#REF!,#REF!,#REF!,#REF!,#REF!</definedName>
    <definedName name="__APW_RESTORE_DATA104__" localSheetId="2" hidden="1">#REF!,#REF!,#REF!,#REF!,#REF!,#REF!,#REF!,#REF!,#REF!,#REF!,#REF!,#REF!,#REF!,#REF!,#REF!</definedName>
    <definedName name="__APW_RESTORE_DATA104__" hidden="1">#REF!,#REF!,#REF!,#REF!,#REF!,#REF!,#REF!,#REF!,#REF!,#REF!,#REF!,#REF!,#REF!,#REF!,#REF!</definedName>
    <definedName name="__APW_RESTORE_DATA105__" localSheetId="2" hidden="1">#REF!,#REF!,#REF!,#REF!,#REF!,#REF!,#REF!,#REF!,#REF!,#REF!,#REF!,#REF!,#REF!,#REF!,#REF!</definedName>
    <definedName name="__APW_RESTORE_DATA105__" hidden="1">#REF!,#REF!,#REF!,#REF!,#REF!,#REF!,#REF!,#REF!,#REF!,#REF!,#REF!,#REF!,#REF!,#REF!,#REF!</definedName>
    <definedName name="__APW_RESTORE_DATA106__" localSheetId="2" hidden="1">#REF!,#REF!,#REF!,#REF!,#REF!,#REF!,#REF!,#REF!,#REF!,#REF!,#REF!,#REF!,#REF!,#REF!,#REF!</definedName>
    <definedName name="__APW_RESTORE_DATA106__" hidden="1">#REF!,#REF!,#REF!,#REF!,#REF!,#REF!,#REF!,#REF!,#REF!,#REF!,#REF!,#REF!,#REF!,#REF!,#REF!</definedName>
    <definedName name="__APW_RESTORE_DATA107__" localSheetId="6" hidden="1">#REF!,#REF!,#REF!,#REF!,#REF!,#REF!</definedName>
    <definedName name="__APW_RESTORE_DATA107__" localSheetId="9" hidden="1">#REF!,#REF!,#REF!,#REF!,#REF!,#REF!</definedName>
    <definedName name="__APW_RESTORE_DATA107__" localSheetId="2" hidden="1">#REF!,#REF!,#REF!,#REF!,#REF!,#REF!</definedName>
    <definedName name="__APW_RESTORE_DATA107__" hidden="1">#REF!,#REF!,#REF!,#REF!,#REF!,#REF!</definedName>
    <definedName name="__APW_RESTORE_DATA108__" localSheetId="6" hidden="1">#REF!,#REF!,#REF!,#REF!,#REF!,#REF!,#REF!,#REF!,#REF!,#REF!,#REF!,#REF!,#REF!,#REF!,#REF!,#REF!,#REF!</definedName>
    <definedName name="__APW_RESTORE_DATA108__" localSheetId="9" hidden="1">#REF!,#REF!,#REF!,#REF!,#REF!,#REF!,#REF!,#REF!,#REF!,#REF!,#REF!,#REF!,#REF!,#REF!,#REF!,#REF!,#REF!</definedName>
    <definedName name="__APW_RESTORE_DATA108__" localSheetId="2" hidden="1">#REF!,#REF!,#REF!,#REF!,#REF!,#REF!,#REF!,#REF!,#REF!,#REF!,#REF!,#REF!,#REF!,#REF!,#REF!,#REF!,#REF!</definedName>
    <definedName name="__APW_RESTORE_DATA108__" hidden="1">#REF!,#REF!,#REF!,#REF!,#REF!,#REF!,#REF!,#REF!,#REF!,#REF!,#REF!,#REF!,#REF!,#REF!,#REF!,#REF!,#REF!</definedName>
    <definedName name="__APW_RESTORE_DATA109__" localSheetId="6" hidden="1">#REF!,#REF!,#REF!,#REF!,#REF!,#REF!,#REF!,#REF!,#REF!,#REF!,#REF!,#REF!,#REF!,#REF!,#REF!,#REF!</definedName>
    <definedName name="__APW_RESTORE_DATA109__" localSheetId="9" hidden="1">#REF!,#REF!,#REF!,#REF!,#REF!,#REF!,#REF!,#REF!,#REF!,#REF!,#REF!,#REF!,#REF!,#REF!,#REF!,#REF!</definedName>
    <definedName name="__APW_RESTORE_DATA109__" localSheetId="2" hidden="1">#REF!,#REF!,#REF!,#REF!,#REF!,#REF!,#REF!,#REF!,#REF!,#REF!,#REF!,#REF!,#REF!,#REF!,#REF!,#REF!</definedName>
    <definedName name="__APW_RESTORE_DATA109__" hidden="1">#REF!,#REF!,#REF!,#REF!,#REF!,#REF!,#REF!,#REF!,#REF!,#REF!,#REF!,#REF!,#REF!,#REF!,#REF!,#REF!</definedName>
    <definedName name="__APW_RESTORE_DATA11__" localSheetId="6" hidden="1">#REF!,#REF!,#REF!,#REF!,#REF!,#REF!</definedName>
    <definedName name="__APW_RESTORE_DATA11__" localSheetId="9" hidden="1">#REF!,#REF!,#REF!,#REF!,#REF!,#REF!</definedName>
    <definedName name="__APW_RESTORE_DATA11__" localSheetId="2" hidden="1">#REF!,#REF!,#REF!,#REF!,#REF!,#REF!</definedName>
    <definedName name="__APW_RESTORE_DATA11__" hidden="1">#REF!,#REF!,#REF!,#REF!,#REF!,#REF!</definedName>
    <definedName name="__APW_RESTORE_DATA110__" localSheetId="6" hidden="1">#REF!,#REF!,#REF!,#REF!,#REF!,#REF!,#REF!,#REF!,#REF!,#REF!,#REF!,#REF!,#REF!,#REF!,#REF!,#REF!</definedName>
    <definedName name="__APW_RESTORE_DATA110__" localSheetId="9" hidden="1">#REF!,#REF!,#REF!,#REF!,#REF!,#REF!,#REF!,#REF!,#REF!,#REF!,#REF!,#REF!,#REF!,#REF!,#REF!,#REF!</definedName>
    <definedName name="__APW_RESTORE_DATA110__" localSheetId="2" hidden="1">#REF!,#REF!,#REF!,#REF!,#REF!,#REF!,#REF!,#REF!,#REF!,#REF!,#REF!,#REF!,#REF!,#REF!,#REF!,#REF!</definedName>
    <definedName name="__APW_RESTORE_DATA110__" hidden="1">#REF!,#REF!,#REF!,#REF!,#REF!,#REF!,#REF!,#REF!,#REF!,#REF!,#REF!,#REF!,#REF!,#REF!,#REF!,#REF!</definedName>
    <definedName name="__APW_RESTORE_DATA111__" localSheetId="6" hidden="1">#REF!,#REF!,#REF!,#REF!,#REF!,#REF!,#REF!,#REF!,#REF!,#REF!,#REF!,#REF!,#REF!,#REF!,#REF!,#REF!</definedName>
    <definedName name="__APW_RESTORE_DATA111__" localSheetId="9" hidden="1">#REF!,#REF!,#REF!,#REF!,#REF!,#REF!,#REF!,#REF!,#REF!,#REF!,#REF!,#REF!,#REF!,#REF!,#REF!,#REF!</definedName>
    <definedName name="__APW_RESTORE_DATA111__" localSheetId="2" hidden="1">#REF!,#REF!,#REF!,#REF!,#REF!,#REF!,#REF!,#REF!,#REF!,#REF!,#REF!,#REF!,#REF!,#REF!,#REF!,#REF!</definedName>
    <definedName name="__APW_RESTORE_DATA111__" hidden="1">#REF!,#REF!,#REF!,#REF!,#REF!,#REF!,#REF!,#REF!,#REF!,#REF!,#REF!,#REF!,#REF!,#REF!,#REF!,#REF!</definedName>
    <definedName name="__APW_RESTORE_DATA112__" localSheetId="6" hidden="1">#REF!,#REF!,#REF!,#REF!,#REF!,#REF!,#REF!,#REF!,#REF!,#REF!,#REF!,#REF!,#REF!,#REF!,#REF!,#REF!</definedName>
    <definedName name="__APW_RESTORE_DATA112__" localSheetId="9" hidden="1">#REF!,#REF!,#REF!,#REF!,#REF!,#REF!,#REF!,#REF!,#REF!,#REF!,#REF!,#REF!,#REF!,#REF!,#REF!,#REF!</definedName>
    <definedName name="__APW_RESTORE_DATA112__" localSheetId="2" hidden="1">#REF!,#REF!,#REF!,#REF!,#REF!,#REF!,#REF!,#REF!,#REF!,#REF!,#REF!,#REF!,#REF!,#REF!,#REF!,#REF!</definedName>
    <definedName name="__APW_RESTORE_DATA112__" hidden="1">#REF!,#REF!,#REF!,#REF!,#REF!,#REF!,#REF!,#REF!,#REF!,#REF!,#REF!,#REF!,#REF!,#REF!,#REF!,#REF!</definedName>
    <definedName name="__APW_RESTORE_DATA113__" localSheetId="2" hidden="1">#REF!,#REF!,#REF!,#REF!,#REF!,#REF!,#REF!,#REF!,#REF!,#REF!,#REF!,#REF!,#REF!,#REF!,#REF!,#REF!</definedName>
    <definedName name="__APW_RESTORE_DATA113__" hidden="1">#REF!,#REF!,#REF!,#REF!,#REF!,#REF!,#REF!,#REF!,#REF!,#REF!,#REF!,#REF!,#REF!,#REF!,#REF!,#REF!</definedName>
    <definedName name="__APW_RESTORE_DATA114__" localSheetId="6" hidden="1">#REF!,#REF!,#REF!,#REF!,#REF!,#REF!,#REF!,#REF!,#REF!,#REF!,#REF!,#REF!,#REF!,#REF!,#REF!</definedName>
    <definedName name="__APW_RESTORE_DATA114__" localSheetId="9" hidden="1">#REF!,#REF!,#REF!,#REF!,#REF!,#REF!,#REF!,#REF!,#REF!,#REF!,#REF!,#REF!,#REF!,#REF!,#REF!</definedName>
    <definedName name="__APW_RESTORE_DATA114__" localSheetId="2" hidden="1">#REF!,#REF!,#REF!,#REF!,#REF!,#REF!,#REF!,#REF!,#REF!,#REF!,#REF!,#REF!,#REF!,#REF!,#REF!</definedName>
    <definedName name="__APW_RESTORE_DATA114__" hidden="1">#REF!,#REF!,#REF!,#REF!,#REF!,#REF!,#REF!,#REF!,#REF!,#REF!,#REF!,#REF!,#REF!,#REF!,#REF!</definedName>
    <definedName name="__APW_RESTORE_DATA115__" localSheetId="6" hidden="1">#REF!,#REF!,#REF!,#REF!,#REF!,#REF!,#REF!,#REF!,#REF!,#REF!,#REF!,#REF!,#REF!,#REF!,#REF!</definedName>
    <definedName name="__APW_RESTORE_DATA115__" localSheetId="9" hidden="1">#REF!,#REF!,#REF!,#REF!,#REF!,#REF!,#REF!,#REF!,#REF!,#REF!,#REF!,#REF!,#REF!,#REF!,#REF!</definedName>
    <definedName name="__APW_RESTORE_DATA115__" localSheetId="2" hidden="1">#REF!,#REF!,#REF!,#REF!,#REF!,#REF!,#REF!,#REF!,#REF!,#REF!,#REF!,#REF!,#REF!,#REF!,#REF!</definedName>
    <definedName name="__APW_RESTORE_DATA115__" hidden="1">#REF!,#REF!,#REF!,#REF!,#REF!,#REF!,#REF!,#REF!,#REF!,#REF!,#REF!,#REF!,#REF!,#REF!,#REF!</definedName>
    <definedName name="__APW_RESTORE_DATA116__" localSheetId="6" hidden="1">#REF!,#REF!,#REF!,#REF!,#REF!,#REF!,#REF!,#REF!,#REF!,#REF!,#REF!,#REF!,#REF!,#REF!,#REF!</definedName>
    <definedName name="__APW_RESTORE_DATA116__" localSheetId="9" hidden="1">#REF!,#REF!,#REF!,#REF!,#REF!,#REF!,#REF!,#REF!,#REF!,#REF!,#REF!,#REF!,#REF!,#REF!,#REF!</definedName>
    <definedName name="__APW_RESTORE_DATA116__" localSheetId="2" hidden="1">#REF!,#REF!,#REF!,#REF!,#REF!,#REF!,#REF!,#REF!,#REF!,#REF!,#REF!,#REF!,#REF!,#REF!,#REF!</definedName>
    <definedName name="__APW_RESTORE_DATA116__" hidden="1">#REF!,#REF!,#REF!,#REF!,#REF!,#REF!,#REF!,#REF!,#REF!,#REF!,#REF!,#REF!,#REF!,#REF!,#REF!</definedName>
    <definedName name="__APW_RESTORE_DATA117__" localSheetId="2" hidden="1">#REF!,#REF!,#REF!,#REF!,#REF!,#REF!,#REF!,#REF!,#REF!,#REF!,#REF!,#REF!,#REF!,#REF!,#REF!</definedName>
    <definedName name="__APW_RESTORE_DATA117__" hidden="1">#REF!,#REF!,#REF!,#REF!,#REF!,#REF!,#REF!,#REF!,#REF!,#REF!,#REF!,#REF!,#REF!,#REF!,#REF!</definedName>
    <definedName name="__APW_RESTORE_DATA118__" localSheetId="2" hidden="1">#REF!,#REF!,#REF!,#REF!,#REF!,#REF!,#REF!,#REF!,#REF!,#REF!,#REF!,#REF!,#REF!,#REF!,#REF!</definedName>
    <definedName name="__APW_RESTORE_DATA118__" hidden="1">#REF!,#REF!,#REF!,#REF!,#REF!,#REF!,#REF!,#REF!,#REF!,#REF!,#REF!,#REF!,#REF!,#REF!,#REF!</definedName>
    <definedName name="__APW_RESTORE_DATA119__" localSheetId="6" hidden="1">#REF!,#REF!,#REF!,#REF!,#REF!,#REF!</definedName>
    <definedName name="__APW_RESTORE_DATA119__" localSheetId="9" hidden="1">#REF!,#REF!,#REF!,#REF!,#REF!,#REF!</definedName>
    <definedName name="__APW_RESTORE_DATA119__" localSheetId="2" hidden="1">#REF!,#REF!,#REF!,#REF!,#REF!,#REF!</definedName>
    <definedName name="__APW_RESTORE_DATA119__" hidden="1">#REF!,#REF!,#REF!,#REF!,#REF!,#REF!</definedName>
    <definedName name="__APW_RESTORE_DATA12__" localSheetId="6" hidden="1">#REF!,#REF!,#REF!,#REF!,#REF!,#REF!,#REF!,#REF!,#REF!,#REF!,#REF!,#REF!,#REF!,#REF!,#REF!,#REF!,#REF!</definedName>
    <definedName name="__APW_RESTORE_DATA12__" localSheetId="9" hidden="1">#REF!,#REF!,#REF!,#REF!,#REF!,#REF!,#REF!,#REF!,#REF!,#REF!,#REF!,#REF!,#REF!,#REF!,#REF!,#REF!,#REF!</definedName>
    <definedName name="__APW_RESTORE_DATA12__" localSheetId="2" hidden="1">#REF!,#REF!,#REF!,#REF!,#REF!,#REF!,#REF!,#REF!,#REF!,#REF!,#REF!,#REF!,#REF!,#REF!,#REF!,#REF!,#REF!</definedName>
    <definedName name="__APW_RESTORE_DATA12__" hidden="1">#REF!,#REF!,#REF!,#REF!,#REF!,#REF!,#REF!,#REF!,#REF!,#REF!,#REF!,#REF!,#REF!,#REF!,#REF!,#REF!,#REF!</definedName>
    <definedName name="__APW_RESTORE_DATA120__" localSheetId="6" hidden="1">#REF!,#REF!,#REF!,#REF!,#REF!,#REF!,#REF!,#REF!,#REF!,#REF!,#REF!,#REF!,#REF!,#REF!,#REF!,#REF!,#REF!</definedName>
    <definedName name="__APW_RESTORE_DATA120__" localSheetId="9" hidden="1">#REF!,#REF!,#REF!,#REF!,#REF!,#REF!,#REF!,#REF!,#REF!,#REF!,#REF!,#REF!,#REF!,#REF!,#REF!,#REF!,#REF!</definedName>
    <definedName name="__APW_RESTORE_DATA120__" localSheetId="2" hidden="1">#REF!,#REF!,#REF!,#REF!,#REF!,#REF!,#REF!,#REF!,#REF!,#REF!,#REF!,#REF!,#REF!,#REF!,#REF!,#REF!,#REF!</definedName>
    <definedName name="__APW_RESTORE_DATA120__" hidden="1">#REF!,#REF!,#REF!,#REF!,#REF!,#REF!,#REF!,#REF!,#REF!,#REF!,#REF!,#REF!,#REF!,#REF!,#REF!,#REF!,#REF!</definedName>
    <definedName name="__APW_RESTORE_DATA121__" localSheetId="6" hidden="1">#REF!,#REF!,#REF!,#REF!,#REF!,#REF!,#REF!,#REF!,#REF!,#REF!,#REF!,#REF!,#REF!,#REF!,#REF!,#REF!</definedName>
    <definedName name="__APW_RESTORE_DATA121__" localSheetId="9" hidden="1">#REF!,#REF!,#REF!,#REF!,#REF!,#REF!,#REF!,#REF!,#REF!,#REF!,#REF!,#REF!,#REF!,#REF!,#REF!,#REF!</definedName>
    <definedName name="__APW_RESTORE_DATA121__" localSheetId="2" hidden="1">#REF!,#REF!,#REF!,#REF!,#REF!,#REF!,#REF!,#REF!,#REF!,#REF!,#REF!,#REF!,#REF!,#REF!,#REF!,#REF!</definedName>
    <definedName name="__APW_RESTORE_DATA121__" hidden="1">#REF!,#REF!,#REF!,#REF!,#REF!,#REF!,#REF!,#REF!,#REF!,#REF!,#REF!,#REF!,#REF!,#REF!,#REF!,#REF!</definedName>
    <definedName name="__APW_RESTORE_DATA122__" localSheetId="6" hidden="1">#REF!,#REF!,#REF!,#REF!,#REF!,#REF!,#REF!,#REF!,#REF!,#REF!,#REF!,#REF!,#REF!,#REF!,#REF!,#REF!</definedName>
    <definedName name="__APW_RESTORE_DATA122__" localSheetId="9" hidden="1">#REF!,#REF!,#REF!,#REF!,#REF!,#REF!,#REF!,#REF!,#REF!,#REF!,#REF!,#REF!,#REF!,#REF!,#REF!,#REF!</definedName>
    <definedName name="__APW_RESTORE_DATA122__" localSheetId="2" hidden="1">#REF!,#REF!,#REF!,#REF!,#REF!,#REF!,#REF!,#REF!,#REF!,#REF!,#REF!,#REF!,#REF!,#REF!,#REF!,#REF!</definedName>
    <definedName name="__APW_RESTORE_DATA122__" hidden="1">#REF!,#REF!,#REF!,#REF!,#REF!,#REF!,#REF!,#REF!,#REF!,#REF!,#REF!,#REF!,#REF!,#REF!,#REF!,#REF!</definedName>
    <definedName name="__APW_RESTORE_DATA123__" localSheetId="6" hidden="1">#REF!,#REF!,#REF!,#REF!,#REF!,#REF!,#REF!,#REF!,#REF!,#REF!,#REF!,#REF!,#REF!,#REF!,#REF!,#REF!</definedName>
    <definedName name="__APW_RESTORE_DATA123__" localSheetId="9" hidden="1">#REF!,#REF!,#REF!,#REF!,#REF!,#REF!,#REF!,#REF!,#REF!,#REF!,#REF!,#REF!,#REF!,#REF!,#REF!,#REF!</definedName>
    <definedName name="__APW_RESTORE_DATA123__" localSheetId="2" hidden="1">#REF!,#REF!,#REF!,#REF!,#REF!,#REF!,#REF!,#REF!,#REF!,#REF!,#REF!,#REF!,#REF!,#REF!,#REF!,#REF!</definedName>
    <definedName name="__APW_RESTORE_DATA123__" hidden="1">#REF!,#REF!,#REF!,#REF!,#REF!,#REF!,#REF!,#REF!,#REF!,#REF!,#REF!,#REF!,#REF!,#REF!,#REF!,#REF!</definedName>
    <definedName name="__APW_RESTORE_DATA124__" localSheetId="2" hidden="1">#REF!,#REF!,#REF!,#REF!,#REF!,#REF!,#REF!,#REF!,#REF!,#REF!,#REF!,#REF!,#REF!,#REF!,#REF!,#REF!</definedName>
    <definedName name="__APW_RESTORE_DATA124__" hidden="1">#REF!,#REF!,#REF!,#REF!,#REF!,#REF!,#REF!,#REF!,#REF!,#REF!,#REF!,#REF!,#REF!,#REF!,#REF!,#REF!</definedName>
    <definedName name="__APW_RESTORE_DATA125__" localSheetId="2" hidden="1">#REF!,#REF!,#REF!,#REF!,#REF!,#REF!,#REF!,#REF!,#REF!,#REF!,#REF!,#REF!,#REF!,#REF!,#REF!,#REF!</definedName>
    <definedName name="__APW_RESTORE_DATA125__" hidden="1">#REF!,#REF!,#REF!,#REF!,#REF!,#REF!,#REF!,#REF!,#REF!,#REF!,#REF!,#REF!,#REF!,#REF!,#REF!,#REF!</definedName>
    <definedName name="__APW_RESTORE_DATA126__" localSheetId="6" hidden="1">#REF!,#REF!,#REF!,#REF!,#REF!,#REF!,#REF!,#REF!,#REF!,#REF!,#REF!,#REF!,#REF!,#REF!,#REF!</definedName>
    <definedName name="__APW_RESTORE_DATA126__" localSheetId="9" hidden="1">#REF!,#REF!,#REF!,#REF!,#REF!,#REF!,#REF!,#REF!,#REF!,#REF!,#REF!,#REF!,#REF!,#REF!,#REF!</definedName>
    <definedName name="__APW_RESTORE_DATA126__" localSheetId="2" hidden="1">#REF!,#REF!,#REF!,#REF!,#REF!,#REF!,#REF!,#REF!,#REF!,#REF!,#REF!,#REF!,#REF!,#REF!,#REF!</definedName>
    <definedName name="__APW_RESTORE_DATA126__" hidden="1">#REF!,#REF!,#REF!,#REF!,#REF!,#REF!,#REF!,#REF!,#REF!,#REF!,#REF!,#REF!,#REF!,#REF!,#REF!</definedName>
    <definedName name="__APW_RESTORE_DATA127__" localSheetId="6" hidden="1">#REF!,#REF!,#REF!,#REF!,#REF!,#REF!,#REF!,#REF!,#REF!,#REF!,#REF!,#REF!,#REF!,#REF!,#REF!</definedName>
    <definedName name="__APW_RESTORE_DATA127__" localSheetId="9" hidden="1">#REF!,#REF!,#REF!,#REF!,#REF!,#REF!,#REF!,#REF!,#REF!,#REF!,#REF!,#REF!,#REF!,#REF!,#REF!</definedName>
    <definedName name="__APW_RESTORE_DATA127__" localSheetId="2" hidden="1">#REF!,#REF!,#REF!,#REF!,#REF!,#REF!,#REF!,#REF!,#REF!,#REF!,#REF!,#REF!,#REF!,#REF!,#REF!</definedName>
    <definedName name="__APW_RESTORE_DATA127__" hidden="1">#REF!,#REF!,#REF!,#REF!,#REF!,#REF!,#REF!,#REF!,#REF!,#REF!,#REF!,#REF!,#REF!,#REF!,#REF!</definedName>
    <definedName name="__APW_RESTORE_DATA128__" localSheetId="6" hidden="1">#REF!,#REF!,#REF!,#REF!,#REF!,#REF!,#REF!,#REF!,#REF!,#REF!,#REF!,#REF!,#REF!,#REF!,#REF!</definedName>
    <definedName name="__APW_RESTORE_DATA128__" localSheetId="9" hidden="1">#REF!,#REF!,#REF!,#REF!,#REF!,#REF!,#REF!,#REF!,#REF!,#REF!,#REF!,#REF!,#REF!,#REF!,#REF!</definedName>
    <definedName name="__APW_RESTORE_DATA128__" localSheetId="2" hidden="1">#REF!,#REF!,#REF!,#REF!,#REF!,#REF!,#REF!,#REF!,#REF!,#REF!,#REF!,#REF!,#REF!,#REF!,#REF!</definedName>
    <definedName name="__APW_RESTORE_DATA128__" hidden="1">#REF!,#REF!,#REF!,#REF!,#REF!,#REF!,#REF!,#REF!,#REF!,#REF!,#REF!,#REF!,#REF!,#REF!,#REF!</definedName>
    <definedName name="__APW_RESTORE_DATA129__" localSheetId="2" hidden="1">#REF!,#REF!,#REF!,#REF!,#REF!,#REF!,#REF!,#REF!,#REF!,#REF!,#REF!,#REF!,#REF!,#REF!,#REF!</definedName>
    <definedName name="__APW_RESTORE_DATA129__" hidden="1">#REF!,#REF!,#REF!,#REF!,#REF!,#REF!,#REF!,#REF!,#REF!,#REF!,#REF!,#REF!,#REF!,#REF!,#REF!</definedName>
    <definedName name="__APW_RESTORE_DATA13__" localSheetId="6" hidden="1">#REF!,#REF!,#REF!,#REF!,#REF!,#REF!,#REF!,#REF!,#REF!,#REF!,#REF!,#REF!,#REF!,#REF!,#REF!,#REF!</definedName>
    <definedName name="__APW_RESTORE_DATA13__" localSheetId="9" hidden="1">#REF!,#REF!,#REF!,#REF!,#REF!,#REF!,#REF!,#REF!,#REF!,#REF!,#REF!,#REF!,#REF!,#REF!,#REF!,#REF!</definedName>
    <definedName name="__APW_RESTORE_DATA13__" localSheetId="2" hidden="1">#REF!,#REF!,#REF!,#REF!,#REF!,#REF!,#REF!,#REF!,#REF!,#REF!,#REF!,#REF!,#REF!,#REF!,#REF!,#REF!</definedName>
    <definedName name="__APW_RESTORE_DATA13__" hidden="1">#REF!,#REF!,#REF!,#REF!,#REF!,#REF!,#REF!,#REF!,#REF!,#REF!,#REF!,#REF!,#REF!,#REF!,#REF!,#REF!</definedName>
    <definedName name="__APW_RESTORE_DATA130__" localSheetId="6" hidden="1">#REF!,#REF!,#REF!,#REF!,#REF!,#REF!,#REF!,#REF!,#REF!,#REF!,#REF!,#REF!,#REF!,#REF!,#REF!</definedName>
    <definedName name="__APW_RESTORE_DATA130__" localSheetId="9" hidden="1">#REF!,#REF!,#REF!,#REF!,#REF!,#REF!,#REF!,#REF!,#REF!,#REF!,#REF!,#REF!,#REF!,#REF!,#REF!</definedName>
    <definedName name="__APW_RESTORE_DATA130__" localSheetId="2" hidden="1">#REF!,#REF!,#REF!,#REF!,#REF!,#REF!,#REF!,#REF!,#REF!,#REF!,#REF!,#REF!,#REF!,#REF!,#REF!</definedName>
    <definedName name="__APW_RESTORE_DATA130__" hidden="1">#REF!,#REF!,#REF!,#REF!,#REF!,#REF!,#REF!,#REF!,#REF!,#REF!,#REF!,#REF!,#REF!,#REF!,#REF!</definedName>
    <definedName name="__APW_RESTORE_DATA131__" localSheetId="6" hidden="1">#REF!,#REF!,#REF!,#REF!,#REF!,#REF!</definedName>
    <definedName name="__APW_RESTORE_DATA131__" localSheetId="9" hidden="1">#REF!,#REF!,#REF!,#REF!,#REF!,#REF!</definedName>
    <definedName name="__APW_RESTORE_DATA131__" localSheetId="2" hidden="1">#REF!,#REF!,#REF!,#REF!,#REF!,#REF!</definedName>
    <definedName name="__APW_RESTORE_DATA131__" hidden="1">#REF!,#REF!,#REF!,#REF!,#REF!,#REF!</definedName>
    <definedName name="__APW_RESTORE_DATA132__" localSheetId="6" hidden="1">#REF!,#REF!,#REF!,#REF!,#REF!,#REF!,#REF!,#REF!,#REF!,#REF!,#REF!,#REF!,#REF!,#REF!,#REF!,#REF!,#REF!</definedName>
    <definedName name="__APW_RESTORE_DATA132__" localSheetId="9" hidden="1">#REF!,#REF!,#REF!,#REF!,#REF!,#REF!,#REF!,#REF!,#REF!,#REF!,#REF!,#REF!,#REF!,#REF!,#REF!,#REF!,#REF!</definedName>
    <definedName name="__APW_RESTORE_DATA132__" localSheetId="2" hidden="1">#REF!,#REF!,#REF!,#REF!,#REF!,#REF!,#REF!,#REF!,#REF!,#REF!,#REF!,#REF!,#REF!,#REF!,#REF!,#REF!,#REF!</definedName>
    <definedName name="__APW_RESTORE_DATA132__" hidden="1">#REF!,#REF!,#REF!,#REF!,#REF!,#REF!,#REF!,#REF!,#REF!,#REF!,#REF!,#REF!,#REF!,#REF!,#REF!,#REF!,#REF!</definedName>
    <definedName name="__APW_RESTORE_DATA133__" localSheetId="6" hidden="1">#REF!,#REF!,#REF!,#REF!,#REF!,#REF!,#REF!,#REF!,#REF!,#REF!,#REF!,#REF!,#REF!,#REF!,#REF!,#REF!</definedName>
    <definedName name="__APW_RESTORE_DATA133__" localSheetId="9" hidden="1">#REF!,#REF!,#REF!,#REF!,#REF!,#REF!,#REF!,#REF!,#REF!,#REF!,#REF!,#REF!,#REF!,#REF!,#REF!,#REF!</definedName>
    <definedName name="__APW_RESTORE_DATA133__" localSheetId="2" hidden="1">#REF!,#REF!,#REF!,#REF!,#REF!,#REF!,#REF!,#REF!,#REF!,#REF!,#REF!,#REF!,#REF!,#REF!,#REF!,#REF!</definedName>
    <definedName name="__APW_RESTORE_DATA133__" hidden="1">#REF!,#REF!,#REF!,#REF!,#REF!,#REF!,#REF!,#REF!,#REF!,#REF!,#REF!,#REF!,#REF!,#REF!,#REF!,#REF!</definedName>
    <definedName name="__APW_RESTORE_DATA134__" localSheetId="6" hidden="1">#REF!,#REF!,#REF!,#REF!,#REF!,#REF!,#REF!,#REF!,#REF!,#REF!,#REF!,#REF!,#REF!,#REF!,#REF!,#REF!</definedName>
    <definedName name="__APW_RESTORE_DATA134__" localSheetId="9" hidden="1">#REF!,#REF!,#REF!,#REF!,#REF!,#REF!,#REF!,#REF!,#REF!,#REF!,#REF!,#REF!,#REF!,#REF!,#REF!,#REF!</definedName>
    <definedName name="__APW_RESTORE_DATA134__" localSheetId="2" hidden="1">#REF!,#REF!,#REF!,#REF!,#REF!,#REF!,#REF!,#REF!,#REF!,#REF!,#REF!,#REF!,#REF!,#REF!,#REF!,#REF!</definedName>
    <definedName name="__APW_RESTORE_DATA134__" hidden="1">#REF!,#REF!,#REF!,#REF!,#REF!,#REF!,#REF!,#REF!,#REF!,#REF!,#REF!,#REF!,#REF!,#REF!,#REF!,#REF!</definedName>
    <definedName name="__APW_RESTORE_DATA135__" localSheetId="6" hidden="1">#REF!,#REF!,#REF!,#REF!,#REF!,#REF!,#REF!,#REF!,#REF!,#REF!,#REF!,#REF!,#REF!,#REF!,#REF!,#REF!</definedName>
    <definedName name="__APW_RESTORE_DATA135__" localSheetId="9" hidden="1">#REF!,#REF!,#REF!,#REF!,#REF!,#REF!,#REF!,#REF!,#REF!,#REF!,#REF!,#REF!,#REF!,#REF!,#REF!,#REF!</definedName>
    <definedName name="__APW_RESTORE_DATA135__" localSheetId="2" hidden="1">#REF!,#REF!,#REF!,#REF!,#REF!,#REF!,#REF!,#REF!,#REF!,#REF!,#REF!,#REF!,#REF!,#REF!,#REF!,#REF!</definedName>
    <definedName name="__APW_RESTORE_DATA135__" hidden="1">#REF!,#REF!,#REF!,#REF!,#REF!,#REF!,#REF!,#REF!,#REF!,#REF!,#REF!,#REF!,#REF!,#REF!,#REF!,#REF!</definedName>
    <definedName name="__APW_RESTORE_DATA136__" localSheetId="2" hidden="1">#REF!,#REF!,#REF!,#REF!,#REF!,#REF!,#REF!,#REF!,#REF!,#REF!,#REF!,#REF!,#REF!,#REF!,#REF!,#REF!</definedName>
    <definedName name="__APW_RESTORE_DATA136__" hidden="1">#REF!,#REF!,#REF!,#REF!,#REF!,#REF!,#REF!,#REF!,#REF!,#REF!,#REF!,#REF!,#REF!,#REF!,#REF!,#REF!</definedName>
    <definedName name="__APW_RESTORE_DATA137__" localSheetId="2" hidden="1">#REF!,#REF!,#REF!,#REF!,#REF!,#REF!,#REF!,#REF!,#REF!,#REF!,#REF!,#REF!,#REF!,#REF!,#REF!,#REF!</definedName>
    <definedName name="__APW_RESTORE_DATA137__" hidden="1">#REF!,#REF!,#REF!,#REF!,#REF!,#REF!,#REF!,#REF!,#REF!,#REF!,#REF!,#REF!,#REF!,#REF!,#REF!,#REF!</definedName>
    <definedName name="__APW_RESTORE_DATA138__" localSheetId="6" hidden="1">#REF!,#REF!,#REF!,#REF!,#REF!,#REF!,#REF!,#REF!,#REF!,#REF!,#REF!,#REF!,#REF!,#REF!,#REF!</definedName>
    <definedName name="__APW_RESTORE_DATA138__" localSheetId="9" hidden="1">#REF!,#REF!,#REF!,#REF!,#REF!,#REF!,#REF!,#REF!,#REF!,#REF!,#REF!,#REF!,#REF!,#REF!,#REF!</definedName>
    <definedName name="__APW_RESTORE_DATA138__" localSheetId="2" hidden="1">#REF!,#REF!,#REF!,#REF!,#REF!,#REF!,#REF!,#REF!,#REF!,#REF!,#REF!,#REF!,#REF!,#REF!,#REF!</definedName>
    <definedName name="__APW_RESTORE_DATA138__" hidden="1">#REF!,#REF!,#REF!,#REF!,#REF!,#REF!,#REF!,#REF!,#REF!,#REF!,#REF!,#REF!,#REF!,#REF!,#REF!</definedName>
    <definedName name="__APW_RESTORE_DATA139__" localSheetId="6" hidden="1">#REF!,#REF!,#REF!,#REF!,#REF!,#REF!,#REF!,#REF!,#REF!,#REF!,#REF!,#REF!,#REF!,#REF!,#REF!</definedName>
    <definedName name="__APW_RESTORE_DATA139__" localSheetId="9" hidden="1">#REF!,#REF!,#REF!,#REF!,#REF!,#REF!,#REF!,#REF!,#REF!,#REF!,#REF!,#REF!,#REF!,#REF!,#REF!</definedName>
    <definedName name="__APW_RESTORE_DATA139__" localSheetId="2" hidden="1">#REF!,#REF!,#REF!,#REF!,#REF!,#REF!,#REF!,#REF!,#REF!,#REF!,#REF!,#REF!,#REF!,#REF!,#REF!</definedName>
    <definedName name="__APW_RESTORE_DATA139__" hidden="1">#REF!,#REF!,#REF!,#REF!,#REF!,#REF!,#REF!,#REF!,#REF!,#REF!,#REF!,#REF!,#REF!,#REF!,#REF!</definedName>
    <definedName name="__APW_RESTORE_DATA14__" localSheetId="6" hidden="1">#REF!,#REF!,#REF!,#REF!,#REF!,#REF!,#REF!,#REF!,#REF!,#REF!,#REF!,#REF!,#REF!,#REF!,#REF!,#REF!</definedName>
    <definedName name="__APW_RESTORE_DATA14__" localSheetId="9" hidden="1">#REF!,#REF!,#REF!,#REF!,#REF!,#REF!,#REF!,#REF!,#REF!,#REF!,#REF!,#REF!,#REF!,#REF!,#REF!,#REF!</definedName>
    <definedName name="__APW_RESTORE_DATA14__" localSheetId="2" hidden="1">#REF!,#REF!,#REF!,#REF!,#REF!,#REF!,#REF!,#REF!,#REF!,#REF!,#REF!,#REF!,#REF!,#REF!,#REF!,#REF!</definedName>
    <definedName name="__APW_RESTORE_DATA14__" hidden="1">#REF!,#REF!,#REF!,#REF!,#REF!,#REF!,#REF!,#REF!,#REF!,#REF!,#REF!,#REF!,#REF!,#REF!,#REF!,#REF!</definedName>
    <definedName name="__APW_RESTORE_DATA140__" localSheetId="6" hidden="1">#REF!,#REF!,#REF!,#REF!,#REF!,#REF!,#REF!,#REF!,#REF!,#REF!,#REF!,#REF!,#REF!,#REF!,#REF!</definedName>
    <definedName name="__APW_RESTORE_DATA140__" localSheetId="9" hidden="1">#REF!,#REF!,#REF!,#REF!,#REF!,#REF!,#REF!,#REF!,#REF!,#REF!,#REF!,#REF!,#REF!,#REF!,#REF!</definedName>
    <definedName name="__APW_RESTORE_DATA140__" localSheetId="2" hidden="1">#REF!,#REF!,#REF!,#REF!,#REF!,#REF!,#REF!,#REF!,#REF!,#REF!,#REF!,#REF!,#REF!,#REF!,#REF!</definedName>
    <definedName name="__APW_RESTORE_DATA140__" hidden="1">#REF!,#REF!,#REF!,#REF!,#REF!,#REF!,#REF!,#REF!,#REF!,#REF!,#REF!,#REF!,#REF!,#REF!,#REF!</definedName>
    <definedName name="__APW_RESTORE_DATA141__" localSheetId="6" hidden="1">#REF!,#REF!,#REF!,#REF!,#REF!,#REF!,#REF!,#REF!,#REF!,#REF!,#REF!,#REF!,#REF!,#REF!,#REF!</definedName>
    <definedName name="__APW_RESTORE_DATA141__" localSheetId="9" hidden="1">#REF!,#REF!,#REF!,#REF!,#REF!,#REF!,#REF!,#REF!,#REF!,#REF!,#REF!,#REF!,#REF!,#REF!,#REF!</definedName>
    <definedName name="__APW_RESTORE_DATA141__" localSheetId="2" hidden="1">#REF!,#REF!,#REF!,#REF!,#REF!,#REF!,#REF!,#REF!,#REF!,#REF!,#REF!,#REF!,#REF!,#REF!,#REF!</definedName>
    <definedName name="__APW_RESTORE_DATA141__" hidden="1">#REF!,#REF!,#REF!,#REF!,#REF!,#REF!,#REF!,#REF!,#REF!,#REF!,#REF!,#REF!,#REF!,#REF!,#REF!</definedName>
    <definedName name="__APW_RESTORE_DATA142__" localSheetId="6" hidden="1">#REF!,#REF!,#REF!,#REF!,#REF!,#REF!,#REF!,#REF!,#REF!,#REF!,#REF!,#REF!,#REF!,#REF!,#REF!</definedName>
    <definedName name="__APW_RESTORE_DATA142__" localSheetId="9" hidden="1">#REF!,#REF!,#REF!,#REF!,#REF!,#REF!,#REF!,#REF!,#REF!,#REF!,#REF!,#REF!,#REF!,#REF!,#REF!</definedName>
    <definedName name="__APW_RESTORE_DATA142__" localSheetId="2" hidden="1">#REF!,#REF!,#REF!,#REF!,#REF!,#REF!,#REF!,#REF!,#REF!,#REF!,#REF!,#REF!,#REF!,#REF!,#REF!</definedName>
    <definedName name="__APW_RESTORE_DATA142__" hidden="1">#REF!,#REF!,#REF!,#REF!,#REF!,#REF!,#REF!,#REF!,#REF!,#REF!,#REF!,#REF!,#REF!,#REF!,#REF!</definedName>
    <definedName name="__APW_RESTORE_DATA143__" localSheetId="6" hidden="1">#REF!,#REF!,#REF!,#REF!,#REF!,#REF!</definedName>
    <definedName name="__APW_RESTORE_DATA143__" localSheetId="9" hidden="1">#REF!,#REF!,#REF!,#REF!,#REF!,#REF!</definedName>
    <definedName name="__APW_RESTORE_DATA143__" localSheetId="2" hidden="1">#REF!,#REF!,#REF!,#REF!,#REF!,#REF!</definedName>
    <definedName name="__APW_RESTORE_DATA143__" hidden="1">#REF!,#REF!,#REF!,#REF!,#REF!,#REF!</definedName>
    <definedName name="__APW_RESTORE_DATA144__" localSheetId="6" hidden="1">#REF!,#REF!,#REF!,#REF!,#REF!,#REF!,#REF!,#REF!,#REF!,#REF!,#REF!,#REF!,#REF!,#REF!,#REF!,#REF!,#REF!</definedName>
    <definedName name="__APW_RESTORE_DATA144__" localSheetId="9" hidden="1">#REF!,#REF!,#REF!,#REF!,#REF!,#REF!,#REF!,#REF!,#REF!,#REF!,#REF!,#REF!,#REF!,#REF!,#REF!,#REF!,#REF!</definedName>
    <definedName name="__APW_RESTORE_DATA144__" localSheetId="2" hidden="1">#REF!,#REF!,#REF!,#REF!,#REF!,#REF!,#REF!,#REF!,#REF!,#REF!,#REF!,#REF!,#REF!,#REF!,#REF!,#REF!,#REF!</definedName>
    <definedName name="__APW_RESTORE_DATA144__" hidden="1">#REF!,#REF!,#REF!,#REF!,#REF!,#REF!,#REF!,#REF!,#REF!,#REF!,#REF!,#REF!,#REF!,#REF!,#REF!,#REF!,#REF!</definedName>
    <definedName name="__APW_RESTORE_DATA145__" localSheetId="6" hidden="1">#REF!,#REF!,#REF!,#REF!,#REF!,#REF!,#REF!,#REF!,#REF!,#REF!,#REF!,#REF!,#REF!,#REF!,#REF!,#REF!</definedName>
    <definedName name="__APW_RESTORE_DATA145__" localSheetId="9" hidden="1">#REF!,#REF!,#REF!,#REF!,#REF!,#REF!,#REF!,#REF!,#REF!,#REF!,#REF!,#REF!,#REF!,#REF!,#REF!,#REF!</definedName>
    <definedName name="__APW_RESTORE_DATA145__" localSheetId="2" hidden="1">#REF!,#REF!,#REF!,#REF!,#REF!,#REF!,#REF!,#REF!,#REF!,#REF!,#REF!,#REF!,#REF!,#REF!,#REF!,#REF!</definedName>
    <definedName name="__APW_RESTORE_DATA145__" hidden="1">#REF!,#REF!,#REF!,#REF!,#REF!,#REF!,#REF!,#REF!,#REF!,#REF!,#REF!,#REF!,#REF!,#REF!,#REF!,#REF!</definedName>
    <definedName name="__APW_RESTORE_DATA146__" localSheetId="6" hidden="1">#REF!,#REF!,#REF!,#REF!,#REF!,#REF!,#REF!,#REF!,#REF!,#REF!,#REF!,#REF!,#REF!,#REF!,#REF!,#REF!</definedName>
    <definedName name="__APW_RESTORE_DATA146__" localSheetId="9" hidden="1">#REF!,#REF!,#REF!,#REF!,#REF!,#REF!,#REF!,#REF!,#REF!,#REF!,#REF!,#REF!,#REF!,#REF!,#REF!,#REF!</definedName>
    <definedName name="__APW_RESTORE_DATA146__" localSheetId="2" hidden="1">#REF!,#REF!,#REF!,#REF!,#REF!,#REF!,#REF!,#REF!,#REF!,#REF!,#REF!,#REF!,#REF!,#REF!,#REF!,#REF!</definedName>
    <definedName name="__APW_RESTORE_DATA146__" hidden="1">#REF!,#REF!,#REF!,#REF!,#REF!,#REF!,#REF!,#REF!,#REF!,#REF!,#REF!,#REF!,#REF!,#REF!,#REF!,#REF!</definedName>
    <definedName name="__APW_RESTORE_DATA147__" localSheetId="6" hidden="1">#REF!,#REF!,#REF!,#REF!,#REF!,#REF!,#REF!,#REF!,#REF!,#REF!,#REF!,#REF!,#REF!,#REF!,#REF!,#REF!</definedName>
    <definedName name="__APW_RESTORE_DATA147__" localSheetId="9" hidden="1">#REF!,#REF!,#REF!,#REF!,#REF!,#REF!,#REF!,#REF!,#REF!,#REF!,#REF!,#REF!,#REF!,#REF!,#REF!,#REF!</definedName>
    <definedName name="__APW_RESTORE_DATA147__" localSheetId="2" hidden="1">#REF!,#REF!,#REF!,#REF!,#REF!,#REF!,#REF!,#REF!,#REF!,#REF!,#REF!,#REF!,#REF!,#REF!,#REF!,#REF!</definedName>
    <definedName name="__APW_RESTORE_DATA147__" hidden="1">#REF!,#REF!,#REF!,#REF!,#REF!,#REF!,#REF!,#REF!,#REF!,#REF!,#REF!,#REF!,#REF!,#REF!,#REF!,#REF!</definedName>
    <definedName name="__APW_RESTORE_DATA148__" localSheetId="2" hidden="1">#REF!,#REF!,#REF!,#REF!,#REF!,#REF!,#REF!,#REF!,#REF!,#REF!,#REF!,#REF!,#REF!,#REF!,#REF!,#REF!</definedName>
    <definedName name="__APW_RESTORE_DATA148__" hidden="1">#REF!,#REF!,#REF!,#REF!,#REF!,#REF!,#REF!,#REF!,#REF!,#REF!,#REF!,#REF!,#REF!,#REF!,#REF!,#REF!</definedName>
    <definedName name="__APW_RESTORE_DATA149__" localSheetId="2" hidden="1">#REF!,#REF!,#REF!,#REF!,#REF!,#REF!,#REF!,#REF!,#REF!,#REF!,#REF!,#REF!,#REF!,#REF!,#REF!,#REF!</definedName>
    <definedName name="__APW_RESTORE_DATA149__" hidden="1">#REF!,#REF!,#REF!,#REF!,#REF!,#REF!,#REF!,#REF!,#REF!,#REF!,#REF!,#REF!,#REF!,#REF!,#REF!,#REF!</definedName>
    <definedName name="__APW_RESTORE_DATA15__" localSheetId="2" hidden="1">#REF!,#REF!,#REF!,#REF!,#REF!,#REF!,#REF!,#REF!,#REF!,#REF!,#REF!,#REF!,#REF!,#REF!,#REF!,#REF!</definedName>
    <definedName name="__APW_RESTORE_DATA15__" hidden="1">#REF!,#REF!,#REF!,#REF!,#REF!,#REF!,#REF!,#REF!,#REF!,#REF!,#REF!,#REF!,#REF!,#REF!,#REF!,#REF!</definedName>
    <definedName name="__APW_RESTORE_DATA150__" localSheetId="6" hidden="1">#REF!,#REF!,#REF!,#REF!,#REF!,#REF!,#REF!,#REF!,#REF!,#REF!,#REF!,#REF!,#REF!,#REF!,#REF!</definedName>
    <definedName name="__APW_RESTORE_DATA150__" localSheetId="9" hidden="1">#REF!,#REF!,#REF!,#REF!,#REF!,#REF!,#REF!,#REF!,#REF!,#REF!,#REF!,#REF!,#REF!,#REF!,#REF!</definedName>
    <definedName name="__APW_RESTORE_DATA150__" localSheetId="2" hidden="1">#REF!,#REF!,#REF!,#REF!,#REF!,#REF!,#REF!,#REF!,#REF!,#REF!,#REF!,#REF!,#REF!,#REF!,#REF!</definedName>
    <definedName name="__APW_RESTORE_DATA150__" hidden="1">#REF!,#REF!,#REF!,#REF!,#REF!,#REF!,#REF!,#REF!,#REF!,#REF!,#REF!,#REF!,#REF!,#REF!,#REF!</definedName>
    <definedName name="__APW_RESTORE_DATA151__" localSheetId="6" hidden="1">#REF!,#REF!,#REF!,#REF!,#REF!,#REF!,#REF!,#REF!,#REF!,#REF!,#REF!,#REF!,#REF!,#REF!,#REF!</definedName>
    <definedName name="__APW_RESTORE_DATA151__" localSheetId="9" hidden="1">#REF!,#REF!,#REF!,#REF!,#REF!,#REF!,#REF!,#REF!,#REF!,#REF!,#REF!,#REF!,#REF!,#REF!,#REF!</definedName>
    <definedName name="__APW_RESTORE_DATA151__" localSheetId="2" hidden="1">#REF!,#REF!,#REF!,#REF!,#REF!,#REF!,#REF!,#REF!,#REF!,#REF!,#REF!,#REF!,#REF!,#REF!,#REF!</definedName>
    <definedName name="__APW_RESTORE_DATA151__" hidden="1">#REF!,#REF!,#REF!,#REF!,#REF!,#REF!,#REF!,#REF!,#REF!,#REF!,#REF!,#REF!,#REF!,#REF!,#REF!</definedName>
    <definedName name="__APW_RESTORE_DATA152__" localSheetId="6" hidden="1">#REF!,#REF!,#REF!,#REF!,#REF!,#REF!,#REF!,#REF!,#REF!,#REF!,#REF!,#REF!,#REF!,#REF!,#REF!</definedName>
    <definedName name="__APW_RESTORE_DATA152__" localSheetId="9" hidden="1">#REF!,#REF!,#REF!,#REF!,#REF!,#REF!,#REF!,#REF!,#REF!,#REF!,#REF!,#REF!,#REF!,#REF!,#REF!</definedName>
    <definedName name="__APW_RESTORE_DATA152__" localSheetId="2" hidden="1">#REF!,#REF!,#REF!,#REF!,#REF!,#REF!,#REF!,#REF!,#REF!,#REF!,#REF!,#REF!,#REF!,#REF!,#REF!</definedName>
    <definedName name="__APW_RESTORE_DATA152__" hidden="1">#REF!,#REF!,#REF!,#REF!,#REF!,#REF!,#REF!,#REF!,#REF!,#REF!,#REF!,#REF!,#REF!,#REF!,#REF!</definedName>
    <definedName name="__APW_RESTORE_DATA153__" localSheetId="2" hidden="1">#REF!,#REF!,#REF!,#REF!,#REF!,#REF!,#REF!,#REF!,#REF!,#REF!,#REF!,#REF!,#REF!,#REF!,#REF!</definedName>
    <definedName name="__APW_RESTORE_DATA153__" hidden="1">#REF!,#REF!,#REF!,#REF!,#REF!,#REF!,#REF!,#REF!,#REF!,#REF!,#REF!,#REF!,#REF!,#REF!,#REF!</definedName>
    <definedName name="__APW_RESTORE_DATA154__" localSheetId="2" hidden="1">#REF!,#REF!,#REF!,#REF!,#REF!,#REF!,#REF!,#REF!,#REF!,#REF!,#REF!,#REF!,#REF!,#REF!,#REF!</definedName>
    <definedName name="__APW_RESTORE_DATA154__" hidden="1">#REF!,#REF!,#REF!,#REF!,#REF!,#REF!,#REF!,#REF!,#REF!,#REF!,#REF!,#REF!,#REF!,#REF!,#REF!</definedName>
    <definedName name="__APW_RESTORE_DATA155__" localSheetId="6" hidden="1">#REF!,#REF!,#REF!,#REF!,#REF!,#REF!</definedName>
    <definedName name="__APW_RESTORE_DATA155__" localSheetId="9" hidden="1">#REF!,#REF!,#REF!,#REF!,#REF!,#REF!</definedName>
    <definedName name="__APW_RESTORE_DATA155__" localSheetId="2" hidden="1">#REF!,#REF!,#REF!,#REF!,#REF!,#REF!</definedName>
    <definedName name="__APW_RESTORE_DATA155__" hidden="1">#REF!,#REF!,#REF!,#REF!,#REF!,#REF!</definedName>
    <definedName name="__APW_RESTORE_DATA156__" localSheetId="6" hidden="1">#REF!,#REF!,#REF!,#REF!,#REF!,#REF!,#REF!,#REF!,#REF!,#REF!,#REF!,#REF!,#REF!,#REF!,#REF!,#REF!,#REF!</definedName>
    <definedName name="__APW_RESTORE_DATA156__" localSheetId="9" hidden="1">#REF!,#REF!,#REF!,#REF!,#REF!,#REF!,#REF!,#REF!,#REF!,#REF!,#REF!,#REF!,#REF!,#REF!,#REF!,#REF!,#REF!</definedName>
    <definedName name="__APW_RESTORE_DATA156__" localSheetId="2" hidden="1">#REF!,#REF!,#REF!,#REF!,#REF!,#REF!,#REF!,#REF!,#REF!,#REF!,#REF!,#REF!,#REF!,#REF!,#REF!,#REF!,#REF!</definedName>
    <definedName name="__APW_RESTORE_DATA156__" hidden="1">#REF!,#REF!,#REF!,#REF!,#REF!,#REF!,#REF!,#REF!,#REF!,#REF!,#REF!,#REF!,#REF!,#REF!,#REF!,#REF!,#REF!</definedName>
    <definedName name="__APW_RESTORE_DATA157__" localSheetId="6" hidden="1">#REF!,#REF!,#REF!,#REF!,#REF!,#REF!,#REF!,#REF!,#REF!,#REF!,#REF!,#REF!,#REF!,#REF!,#REF!,#REF!</definedName>
    <definedName name="__APW_RESTORE_DATA157__" localSheetId="9" hidden="1">#REF!,#REF!,#REF!,#REF!,#REF!,#REF!,#REF!,#REF!,#REF!,#REF!,#REF!,#REF!,#REF!,#REF!,#REF!,#REF!</definedName>
    <definedName name="__APW_RESTORE_DATA157__" localSheetId="2" hidden="1">#REF!,#REF!,#REF!,#REF!,#REF!,#REF!,#REF!,#REF!,#REF!,#REF!,#REF!,#REF!,#REF!,#REF!,#REF!,#REF!</definedName>
    <definedName name="__APW_RESTORE_DATA157__" hidden="1">#REF!,#REF!,#REF!,#REF!,#REF!,#REF!,#REF!,#REF!,#REF!,#REF!,#REF!,#REF!,#REF!,#REF!,#REF!,#REF!</definedName>
    <definedName name="__APW_RESTORE_DATA158__" localSheetId="6" hidden="1">#REF!,#REF!,#REF!,#REF!,#REF!,#REF!,#REF!,#REF!,#REF!,#REF!,#REF!,#REF!,#REF!,#REF!,#REF!,#REF!</definedName>
    <definedName name="__APW_RESTORE_DATA158__" localSheetId="9" hidden="1">#REF!,#REF!,#REF!,#REF!,#REF!,#REF!,#REF!,#REF!,#REF!,#REF!,#REF!,#REF!,#REF!,#REF!,#REF!,#REF!</definedName>
    <definedName name="__APW_RESTORE_DATA158__" localSheetId="2" hidden="1">#REF!,#REF!,#REF!,#REF!,#REF!,#REF!,#REF!,#REF!,#REF!,#REF!,#REF!,#REF!,#REF!,#REF!,#REF!,#REF!</definedName>
    <definedName name="__APW_RESTORE_DATA158__" hidden="1">#REF!,#REF!,#REF!,#REF!,#REF!,#REF!,#REF!,#REF!,#REF!,#REF!,#REF!,#REF!,#REF!,#REF!,#REF!,#REF!</definedName>
    <definedName name="__APW_RESTORE_DATA159__" localSheetId="6" hidden="1">#REF!,#REF!,#REF!,#REF!,#REF!,#REF!,#REF!,#REF!,#REF!,#REF!,#REF!,#REF!,#REF!,#REF!,#REF!,#REF!</definedName>
    <definedName name="__APW_RESTORE_DATA159__" localSheetId="9" hidden="1">#REF!,#REF!,#REF!,#REF!,#REF!,#REF!,#REF!,#REF!,#REF!,#REF!,#REF!,#REF!,#REF!,#REF!,#REF!,#REF!</definedName>
    <definedName name="__APW_RESTORE_DATA159__" localSheetId="2" hidden="1">#REF!,#REF!,#REF!,#REF!,#REF!,#REF!,#REF!,#REF!,#REF!,#REF!,#REF!,#REF!,#REF!,#REF!,#REF!,#REF!</definedName>
    <definedName name="__APW_RESTORE_DATA159__" hidden="1">#REF!,#REF!,#REF!,#REF!,#REF!,#REF!,#REF!,#REF!,#REF!,#REF!,#REF!,#REF!,#REF!,#REF!,#REF!,#REF!</definedName>
    <definedName name="__APW_RESTORE_DATA16__" localSheetId="2" hidden="1">#REF!,#REF!,#REF!,#REF!,#REF!,#REF!,#REF!,#REF!,#REF!,#REF!,#REF!,#REF!,#REF!,#REF!,#REF!,#REF!</definedName>
    <definedName name="__APW_RESTORE_DATA16__" hidden="1">#REF!,#REF!,#REF!,#REF!,#REF!,#REF!,#REF!,#REF!,#REF!,#REF!,#REF!,#REF!,#REF!,#REF!,#REF!,#REF!</definedName>
    <definedName name="__APW_RESTORE_DATA160__" localSheetId="2" hidden="1">#REF!,#REF!,#REF!,#REF!,#REF!,#REF!,#REF!,#REF!,#REF!,#REF!,#REF!,#REF!,#REF!,#REF!,#REF!,#REF!</definedName>
    <definedName name="__APW_RESTORE_DATA160__" hidden="1">#REF!,#REF!,#REF!,#REF!,#REF!,#REF!,#REF!,#REF!,#REF!,#REF!,#REF!,#REF!,#REF!,#REF!,#REF!,#REF!</definedName>
    <definedName name="__APW_RESTORE_DATA161__" localSheetId="2" hidden="1">#REF!,#REF!,#REF!,#REF!,#REF!,#REF!,#REF!,#REF!,#REF!,#REF!,#REF!,#REF!,#REF!,#REF!,#REF!,#REF!</definedName>
    <definedName name="__APW_RESTORE_DATA161__" hidden="1">#REF!,#REF!,#REF!,#REF!,#REF!,#REF!,#REF!,#REF!,#REF!,#REF!,#REF!,#REF!,#REF!,#REF!,#REF!,#REF!</definedName>
    <definedName name="__APW_RESTORE_DATA162__" localSheetId="6" hidden="1">#REF!,#REF!,#REF!,#REF!,#REF!,#REF!,#REF!,#REF!,#REF!,#REF!,#REF!,#REF!,#REF!,#REF!,#REF!</definedName>
    <definedName name="__APW_RESTORE_DATA162__" localSheetId="9" hidden="1">#REF!,#REF!,#REF!,#REF!,#REF!,#REF!,#REF!,#REF!,#REF!,#REF!,#REF!,#REF!,#REF!,#REF!,#REF!</definedName>
    <definedName name="__APW_RESTORE_DATA162__" localSheetId="2" hidden="1">#REF!,#REF!,#REF!,#REF!,#REF!,#REF!,#REF!,#REF!,#REF!,#REF!,#REF!,#REF!,#REF!,#REF!,#REF!</definedName>
    <definedName name="__APW_RESTORE_DATA162__" hidden="1">#REF!,#REF!,#REF!,#REF!,#REF!,#REF!,#REF!,#REF!,#REF!,#REF!,#REF!,#REF!,#REF!,#REF!,#REF!</definedName>
    <definedName name="__APW_RESTORE_DATA163__" localSheetId="6" hidden="1">#REF!,#REF!,#REF!,#REF!,#REF!,#REF!,#REF!,#REF!,#REF!,#REF!,#REF!,#REF!,#REF!,#REF!,#REF!</definedName>
    <definedName name="__APW_RESTORE_DATA163__" localSheetId="9" hidden="1">#REF!,#REF!,#REF!,#REF!,#REF!,#REF!,#REF!,#REF!,#REF!,#REF!,#REF!,#REF!,#REF!,#REF!,#REF!</definedName>
    <definedName name="__APW_RESTORE_DATA163__" localSheetId="2" hidden="1">#REF!,#REF!,#REF!,#REF!,#REF!,#REF!,#REF!,#REF!,#REF!,#REF!,#REF!,#REF!,#REF!,#REF!,#REF!</definedName>
    <definedName name="__APW_RESTORE_DATA163__" hidden="1">#REF!,#REF!,#REF!,#REF!,#REF!,#REF!,#REF!,#REF!,#REF!,#REF!,#REF!,#REF!,#REF!,#REF!,#REF!</definedName>
    <definedName name="__APW_RESTORE_DATA164__" localSheetId="6" hidden="1">#REF!,#REF!,#REF!,#REF!,#REF!,#REF!,#REF!,#REF!,#REF!,#REF!,#REF!,#REF!,#REF!,#REF!,#REF!</definedName>
    <definedName name="__APW_RESTORE_DATA164__" localSheetId="9" hidden="1">#REF!,#REF!,#REF!,#REF!,#REF!,#REF!,#REF!,#REF!,#REF!,#REF!,#REF!,#REF!,#REF!,#REF!,#REF!</definedName>
    <definedName name="__APW_RESTORE_DATA164__" localSheetId="2" hidden="1">#REF!,#REF!,#REF!,#REF!,#REF!,#REF!,#REF!,#REF!,#REF!,#REF!,#REF!,#REF!,#REF!,#REF!,#REF!</definedName>
    <definedName name="__APW_RESTORE_DATA164__" hidden="1">#REF!,#REF!,#REF!,#REF!,#REF!,#REF!,#REF!,#REF!,#REF!,#REF!,#REF!,#REF!,#REF!,#REF!,#REF!</definedName>
    <definedName name="__APW_RESTORE_DATA165__" localSheetId="2" hidden="1">#REF!,#REF!,#REF!,#REF!,#REF!,#REF!,#REF!,#REF!,#REF!,#REF!,#REF!,#REF!,#REF!,#REF!,#REF!</definedName>
    <definedName name="__APW_RESTORE_DATA165__" hidden="1">#REF!,#REF!,#REF!,#REF!,#REF!,#REF!,#REF!,#REF!,#REF!,#REF!,#REF!,#REF!,#REF!,#REF!,#REF!</definedName>
    <definedName name="__APW_RESTORE_DATA166__" localSheetId="2" hidden="1">#REF!,#REF!,#REF!,#REF!,#REF!,#REF!,#REF!,#REF!,#REF!,#REF!,#REF!,#REF!,#REF!,#REF!,#REF!</definedName>
    <definedName name="__APW_RESTORE_DATA166__" hidden="1">#REF!,#REF!,#REF!,#REF!,#REF!,#REF!,#REF!,#REF!,#REF!,#REF!,#REF!,#REF!,#REF!,#REF!,#REF!</definedName>
    <definedName name="__APW_RESTORE_DATA167__" localSheetId="6" hidden="1">#REF!,#REF!,#REF!,#REF!,#REF!,#REF!</definedName>
    <definedName name="__APW_RESTORE_DATA167__" localSheetId="9" hidden="1">#REF!,#REF!,#REF!,#REF!,#REF!,#REF!</definedName>
    <definedName name="__APW_RESTORE_DATA167__" localSheetId="2" hidden="1">#REF!,#REF!,#REF!,#REF!,#REF!,#REF!</definedName>
    <definedName name="__APW_RESTORE_DATA167__" hidden="1">#REF!,#REF!,#REF!,#REF!,#REF!,#REF!</definedName>
    <definedName name="__APW_RESTORE_DATA168__" localSheetId="6" hidden="1">#REF!,#REF!,#REF!,#REF!,#REF!,#REF!,#REF!,#REF!,#REF!,#REF!,#REF!,#REF!,#REF!,#REF!,#REF!,#REF!,#REF!</definedName>
    <definedName name="__APW_RESTORE_DATA168__" localSheetId="9" hidden="1">#REF!,#REF!,#REF!,#REF!,#REF!,#REF!,#REF!,#REF!,#REF!,#REF!,#REF!,#REF!,#REF!,#REF!,#REF!,#REF!,#REF!</definedName>
    <definedName name="__APW_RESTORE_DATA168__" localSheetId="2" hidden="1">#REF!,#REF!,#REF!,#REF!,#REF!,#REF!,#REF!,#REF!,#REF!,#REF!,#REF!,#REF!,#REF!,#REF!,#REF!,#REF!,#REF!</definedName>
    <definedName name="__APW_RESTORE_DATA168__" hidden="1">#REF!,#REF!,#REF!,#REF!,#REF!,#REF!,#REF!,#REF!,#REF!,#REF!,#REF!,#REF!,#REF!,#REF!,#REF!,#REF!,#REF!</definedName>
    <definedName name="__APW_RESTORE_DATA169__" localSheetId="6" hidden="1">#REF!,#REF!,#REF!,#REF!,#REF!,#REF!,#REF!,#REF!,#REF!,#REF!,#REF!,#REF!,#REF!,#REF!,#REF!,#REF!</definedName>
    <definedName name="__APW_RESTORE_DATA169__" localSheetId="9" hidden="1">#REF!,#REF!,#REF!,#REF!,#REF!,#REF!,#REF!,#REF!,#REF!,#REF!,#REF!,#REF!,#REF!,#REF!,#REF!,#REF!</definedName>
    <definedName name="__APW_RESTORE_DATA169__" localSheetId="2" hidden="1">#REF!,#REF!,#REF!,#REF!,#REF!,#REF!,#REF!,#REF!,#REF!,#REF!,#REF!,#REF!,#REF!,#REF!,#REF!,#REF!</definedName>
    <definedName name="__APW_RESTORE_DATA169__" hidden="1">#REF!,#REF!,#REF!,#REF!,#REF!,#REF!,#REF!,#REF!,#REF!,#REF!,#REF!,#REF!,#REF!,#REF!,#REF!,#REF!</definedName>
    <definedName name="__APW_RESTORE_DATA17__" localSheetId="6" hidden="1">#REF!,#REF!,#REF!,#REF!,#REF!,#REF!,#REF!,#REF!,#REF!,#REF!,#REF!,#REF!,#REF!,#REF!,#REF!,#REF!</definedName>
    <definedName name="__APW_RESTORE_DATA17__" localSheetId="9" hidden="1">#REF!,#REF!,#REF!,#REF!,#REF!,#REF!,#REF!,#REF!,#REF!,#REF!,#REF!,#REF!,#REF!,#REF!,#REF!,#REF!</definedName>
    <definedName name="__APW_RESTORE_DATA17__" localSheetId="2" hidden="1">#REF!,#REF!,#REF!,#REF!,#REF!,#REF!,#REF!,#REF!,#REF!,#REF!,#REF!,#REF!,#REF!,#REF!,#REF!,#REF!</definedName>
    <definedName name="__APW_RESTORE_DATA17__" hidden="1">#REF!,#REF!,#REF!,#REF!,#REF!,#REF!,#REF!,#REF!,#REF!,#REF!,#REF!,#REF!,#REF!,#REF!,#REF!,#REF!</definedName>
    <definedName name="__APW_RESTORE_DATA170__" localSheetId="6" hidden="1">#REF!,#REF!,#REF!,#REF!,#REF!,#REF!,#REF!,#REF!,#REF!,#REF!,#REF!,#REF!,#REF!,#REF!,#REF!,#REF!</definedName>
    <definedName name="__APW_RESTORE_DATA170__" localSheetId="9" hidden="1">#REF!,#REF!,#REF!,#REF!,#REF!,#REF!,#REF!,#REF!,#REF!,#REF!,#REF!,#REF!,#REF!,#REF!,#REF!,#REF!</definedName>
    <definedName name="__APW_RESTORE_DATA170__" localSheetId="2" hidden="1">#REF!,#REF!,#REF!,#REF!,#REF!,#REF!,#REF!,#REF!,#REF!,#REF!,#REF!,#REF!,#REF!,#REF!,#REF!,#REF!</definedName>
    <definedName name="__APW_RESTORE_DATA170__" hidden="1">#REF!,#REF!,#REF!,#REF!,#REF!,#REF!,#REF!,#REF!,#REF!,#REF!,#REF!,#REF!,#REF!,#REF!,#REF!,#REF!</definedName>
    <definedName name="__APW_RESTORE_DATA171__" localSheetId="2" hidden="1">#REF!,#REF!,#REF!,#REF!,#REF!,#REF!,#REF!,#REF!,#REF!,#REF!,#REF!,#REF!,#REF!,#REF!,#REF!,#REF!</definedName>
    <definedName name="__APW_RESTORE_DATA171__" hidden="1">#REF!,#REF!,#REF!,#REF!,#REF!,#REF!,#REF!,#REF!,#REF!,#REF!,#REF!,#REF!,#REF!,#REF!,#REF!,#REF!</definedName>
    <definedName name="__APW_RESTORE_DATA172__" localSheetId="2" hidden="1">#REF!,#REF!,#REF!,#REF!,#REF!,#REF!,#REF!,#REF!,#REF!,#REF!,#REF!,#REF!,#REF!,#REF!,#REF!,#REF!</definedName>
    <definedName name="__APW_RESTORE_DATA172__" hidden="1">#REF!,#REF!,#REF!,#REF!,#REF!,#REF!,#REF!,#REF!,#REF!,#REF!,#REF!,#REF!,#REF!,#REF!,#REF!,#REF!</definedName>
    <definedName name="__APW_RESTORE_DATA173__" localSheetId="2" hidden="1">#REF!,#REF!,#REF!,#REF!,#REF!,#REF!,#REF!,#REF!,#REF!,#REF!,#REF!,#REF!,#REF!,#REF!,#REF!,#REF!</definedName>
    <definedName name="__APW_RESTORE_DATA173__" hidden="1">#REF!,#REF!,#REF!,#REF!,#REF!,#REF!,#REF!,#REF!,#REF!,#REF!,#REF!,#REF!,#REF!,#REF!,#REF!,#REF!</definedName>
    <definedName name="__APW_RESTORE_DATA174__" localSheetId="6" hidden="1">#REF!,#REF!,#REF!,#REF!,#REF!,#REF!,#REF!,#REF!,#REF!,#REF!,#REF!,#REF!,#REF!,#REF!,#REF!</definedName>
    <definedName name="__APW_RESTORE_DATA174__" localSheetId="9" hidden="1">#REF!,#REF!,#REF!,#REF!,#REF!,#REF!,#REF!,#REF!,#REF!,#REF!,#REF!,#REF!,#REF!,#REF!,#REF!</definedName>
    <definedName name="__APW_RESTORE_DATA174__" localSheetId="2" hidden="1">#REF!,#REF!,#REF!,#REF!,#REF!,#REF!,#REF!,#REF!,#REF!,#REF!,#REF!,#REF!,#REF!,#REF!,#REF!</definedName>
    <definedName name="__APW_RESTORE_DATA174__" hidden="1">#REF!,#REF!,#REF!,#REF!,#REF!,#REF!,#REF!,#REF!,#REF!,#REF!,#REF!,#REF!,#REF!,#REF!,#REF!</definedName>
    <definedName name="__APW_RESTORE_DATA175__" localSheetId="6" hidden="1">#REF!,#REF!,#REF!,#REF!,#REF!,#REF!,#REF!,#REF!,#REF!,#REF!,#REF!,#REF!,#REF!,#REF!,#REF!</definedName>
    <definedName name="__APW_RESTORE_DATA175__" localSheetId="9" hidden="1">#REF!,#REF!,#REF!,#REF!,#REF!,#REF!,#REF!,#REF!,#REF!,#REF!,#REF!,#REF!,#REF!,#REF!,#REF!</definedName>
    <definedName name="__APW_RESTORE_DATA175__" localSheetId="2" hidden="1">#REF!,#REF!,#REF!,#REF!,#REF!,#REF!,#REF!,#REF!,#REF!,#REF!,#REF!,#REF!,#REF!,#REF!,#REF!</definedName>
    <definedName name="__APW_RESTORE_DATA175__" hidden="1">#REF!,#REF!,#REF!,#REF!,#REF!,#REF!,#REF!,#REF!,#REF!,#REF!,#REF!,#REF!,#REF!,#REF!,#REF!</definedName>
    <definedName name="__APW_RESTORE_DATA176__" localSheetId="6" hidden="1">#REF!,#REF!,#REF!,#REF!,#REF!,#REF!,#REF!,#REF!,#REF!,#REF!,#REF!,#REF!,#REF!,#REF!,#REF!</definedName>
    <definedName name="__APW_RESTORE_DATA176__" localSheetId="9" hidden="1">#REF!,#REF!,#REF!,#REF!,#REF!,#REF!,#REF!,#REF!,#REF!,#REF!,#REF!,#REF!,#REF!,#REF!,#REF!</definedName>
    <definedName name="__APW_RESTORE_DATA176__" localSheetId="2" hidden="1">#REF!,#REF!,#REF!,#REF!,#REF!,#REF!,#REF!,#REF!,#REF!,#REF!,#REF!,#REF!,#REF!,#REF!,#REF!</definedName>
    <definedName name="__APW_RESTORE_DATA176__" hidden="1">#REF!,#REF!,#REF!,#REF!,#REF!,#REF!,#REF!,#REF!,#REF!,#REF!,#REF!,#REF!,#REF!,#REF!,#REF!</definedName>
    <definedName name="__APW_RESTORE_DATA177__" localSheetId="2" hidden="1">#REF!,#REF!,#REF!,#REF!,#REF!,#REF!,#REF!,#REF!,#REF!,#REF!,#REF!,#REF!,#REF!,#REF!,#REF!</definedName>
    <definedName name="__APW_RESTORE_DATA177__" hidden="1">#REF!,#REF!,#REF!,#REF!,#REF!,#REF!,#REF!,#REF!,#REF!,#REF!,#REF!,#REF!,#REF!,#REF!,#REF!</definedName>
    <definedName name="__APW_RESTORE_DATA178__" localSheetId="2" hidden="1">#REF!,#REF!,#REF!,#REF!,#REF!,#REF!,#REF!,#REF!,#REF!,#REF!,#REF!,#REF!,#REF!,#REF!,#REF!</definedName>
    <definedName name="__APW_RESTORE_DATA178__" hidden="1">#REF!,#REF!,#REF!,#REF!,#REF!,#REF!,#REF!,#REF!,#REF!,#REF!,#REF!,#REF!,#REF!,#REF!,#REF!</definedName>
    <definedName name="__APW_RESTORE_DATA179__" localSheetId="6" hidden="1">#REF!,#REF!,#REF!,#REF!,#REF!,#REF!</definedName>
    <definedName name="__APW_RESTORE_DATA179__" localSheetId="9" hidden="1">#REF!,#REF!,#REF!,#REF!,#REF!,#REF!</definedName>
    <definedName name="__APW_RESTORE_DATA179__" localSheetId="2" hidden="1">#REF!,#REF!,#REF!,#REF!,#REF!,#REF!</definedName>
    <definedName name="__APW_RESTORE_DATA179__" hidden="1">#REF!,#REF!,#REF!,#REF!,#REF!,#REF!</definedName>
    <definedName name="__APW_RESTORE_DATA18__" localSheetId="6" hidden="1">#REF!,#REF!,#REF!,#REF!,#REF!,#REF!,#REF!,#REF!,#REF!,#REF!,#REF!,#REF!,#REF!,#REF!,#REF!</definedName>
    <definedName name="__APW_RESTORE_DATA18__" localSheetId="9" hidden="1">#REF!,#REF!,#REF!,#REF!,#REF!,#REF!,#REF!,#REF!,#REF!,#REF!,#REF!,#REF!,#REF!,#REF!,#REF!</definedName>
    <definedName name="__APW_RESTORE_DATA18__" localSheetId="2" hidden="1">#REF!,#REF!,#REF!,#REF!,#REF!,#REF!,#REF!,#REF!,#REF!,#REF!,#REF!,#REF!,#REF!,#REF!,#REF!</definedName>
    <definedName name="__APW_RESTORE_DATA18__" hidden="1">#REF!,#REF!,#REF!,#REF!,#REF!,#REF!,#REF!,#REF!,#REF!,#REF!,#REF!,#REF!,#REF!,#REF!,#REF!</definedName>
    <definedName name="__APW_RESTORE_DATA180__" localSheetId="6" hidden="1">#REF!,#REF!,#REF!,#REF!,#REF!,#REF!,#REF!,#REF!,#REF!,#REF!,#REF!,#REF!,#REF!,#REF!,#REF!,#REF!,#REF!</definedName>
    <definedName name="__APW_RESTORE_DATA180__" localSheetId="9" hidden="1">#REF!,#REF!,#REF!,#REF!,#REF!,#REF!,#REF!,#REF!,#REF!,#REF!,#REF!,#REF!,#REF!,#REF!,#REF!,#REF!,#REF!</definedName>
    <definedName name="__APW_RESTORE_DATA180__" localSheetId="2" hidden="1">#REF!,#REF!,#REF!,#REF!,#REF!,#REF!,#REF!,#REF!,#REF!,#REF!,#REF!,#REF!,#REF!,#REF!,#REF!,#REF!,#REF!</definedName>
    <definedName name="__APW_RESTORE_DATA180__" hidden="1">#REF!,#REF!,#REF!,#REF!,#REF!,#REF!,#REF!,#REF!,#REF!,#REF!,#REF!,#REF!,#REF!,#REF!,#REF!,#REF!,#REF!</definedName>
    <definedName name="__APW_RESTORE_DATA181__" localSheetId="6" hidden="1">#REF!,#REF!,#REF!,#REF!,#REF!,#REF!,#REF!,#REF!,#REF!,#REF!,#REF!,#REF!,#REF!,#REF!,#REF!,#REF!</definedName>
    <definedName name="__APW_RESTORE_DATA181__" localSheetId="9" hidden="1">#REF!,#REF!,#REF!,#REF!,#REF!,#REF!,#REF!,#REF!,#REF!,#REF!,#REF!,#REF!,#REF!,#REF!,#REF!,#REF!</definedName>
    <definedName name="__APW_RESTORE_DATA181__" localSheetId="2" hidden="1">#REF!,#REF!,#REF!,#REF!,#REF!,#REF!,#REF!,#REF!,#REF!,#REF!,#REF!,#REF!,#REF!,#REF!,#REF!,#REF!</definedName>
    <definedName name="__APW_RESTORE_DATA181__" hidden="1">#REF!,#REF!,#REF!,#REF!,#REF!,#REF!,#REF!,#REF!,#REF!,#REF!,#REF!,#REF!,#REF!,#REF!,#REF!,#REF!</definedName>
    <definedName name="__APW_RESTORE_DATA182__" localSheetId="6" hidden="1">#REF!,#REF!,#REF!,#REF!,#REF!,#REF!,#REF!,#REF!,#REF!,#REF!,#REF!,#REF!,#REF!,#REF!,#REF!,#REF!</definedName>
    <definedName name="__APW_RESTORE_DATA182__" localSheetId="9" hidden="1">#REF!,#REF!,#REF!,#REF!,#REF!,#REF!,#REF!,#REF!,#REF!,#REF!,#REF!,#REF!,#REF!,#REF!,#REF!,#REF!</definedName>
    <definedName name="__APW_RESTORE_DATA182__" localSheetId="2" hidden="1">#REF!,#REF!,#REF!,#REF!,#REF!,#REF!,#REF!,#REF!,#REF!,#REF!,#REF!,#REF!,#REF!,#REF!,#REF!,#REF!</definedName>
    <definedName name="__APW_RESTORE_DATA182__" hidden="1">#REF!,#REF!,#REF!,#REF!,#REF!,#REF!,#REF!,#REF!,#REF!,#REF!,#REF!,#REF!,#REF!,#REF!,#REF!,#REF!</definedName>
    <definedName name="__APW_RESTORE_DATA183__" localSheetId="6" hidden="1">#REF!,#REF!,#REF!,#REF!,#REF!,#REF!,#REF!,#REF!,#REF!,#REF!,#REF!,#REF!,#REF!,#REF!,#REF!,#REF!</definedName>
    <definedName name="__APW_RESTORE_DATA183__" localSheetId="9" hidden="1">#REF!,#REF!,#REF!,#REF!,#REF!,#REF!,#REF!,#REF!,#REF!,#REF!,#REF!,#REF!,#REF!,#REF!,#REF!,#REF!</definedName>
    <definedName name="__APW_RESTORE_DATA183__" localSheetId="2" hidden="1">#REF!,#REF!,#REF!,#REF!,#REF!,#REF!,#REF!,#REF!,#REF!,#REF!,#REF!,#REF!,#REF!,#REF!,#REF!,#REF!</definedName>
    <definedName name="__APW_RESTORE_DATA183__" hidden="1">#REF!,#REF!,#REF!,#REF!,#REF!,#REF!,#REF!,#REF!,#REF!,#REF!,#REF!,#REF!,#REF!,#REF!,#REF!,#REF!</definedName>
    <definedName name="__APW_RESTORE_DATA184__" localSheetId="2" hidden="1">#REF!,#REF!,#REF!,#REF!,#REF!,#REF!,#REF!,#REF!,#REF!,#REF!,#REF!,#REF!,#REF!,#REF!,#REF!,#REF!</definedName>
    <definedName name="__APW_RESTORE_DATA184__" hidden="1">#REF!,#REF!,#REF!,#REF!,#REF!,#REF!,#REF!,#REF!,#REF!,#REF!,#REF!,#REF!,#REF!,#REF!,#REF!,#REF!</definedName>
    <definedName name="__APW_RESTORE_DATA185__" localSheetId="2" hidden="1">#REF!,#REF!,#REF!,#REF!,#REF!,#REF!,#REF!,#REF!,#REF!,#REF!,#REF!,#REF!,#REF!,#REF!,#REF!,#REF!</definedName>
    <definedName name="__APW_RESTORE_DATA185__" hidden="1">#REF!,#REF!,#REF!,#REF!,#REF!,#REF!,#REF!,#REF!,#REF!,#REF!,#REF!,#REF!,#REF!,#REF!,#REF!,#REF!</definedName>
    <definedName name="__APW_RESTORE_DATA186__" localSheetId="6" hidden="1">#REF!,#REF!,#REF!,#REF!,#REF!,#REF!,#REF!,#REF!,#REF!,#REF!,#REF!,#REF!,#REF!,#REF!,#REF!</definedName>
    <definedName name="__APW_RESTORE_DATA186__" localSheetId="9" hidden="1">#REF!,#REF!,#REF!,#REF!,#REF!,#REF!,#REF!,#REF!,#REF!,#REF!,#REF!,#REF!,#REF!,#REF!,#REF!</definedName>
    <definedName name="__APW_RESTORE_DATA186__" localSheetId="2" hidden="1">#REF!,#REF!,#REF!,#REF!,#REF!,#REF!,#REF!,#REF!,#REF!,#REF!,#REF!,#REF!,#REF!,#REF!,#REF!</definedName>
    <definedName name="__APW_RESTORE_DATA186__" hidden="1">#REF!,#REF!,#REF!,#REF!,#REF!,#REF!,#REF!,#REF!,#REF!,#REF!,#REF!,#REF!,#REF!,#REF!,#REF!</definedName>
    <definedName name="__APW_RESTORE_DATA187__" localSheetId="6" hidden="1">#REF!,#REF!,#REF!,#REF!,#REF!,#REF!,#REF!,#REF!,#REF!,#REF!,#REF!,#REF!,#REF!,#REF!,#REF!</definedName>
    <definedName name="__APW_RESTORE_DATA187__" localSheetId="9" hidden="1">#REF!,#REF!,#REF!,#REF!,#REF!,#REF!,#REF!,#REF!,#REF!,#REF!,#REF!,#REF!,#REF!,#REF!,#REF!</definedName>
    <definedName name="__APW_RESTORE_DATA187__" localSheetId="2" hidden="1">#REF!,#REF!,#REF!,#REF!,#REF!,#REF!,#REF!,#REF!,#REF!,#REF!,#REF!,#REF!,#REF!,#REF!,#REF!</definedName>
    <definedName name="__APW_RESTORE_DATA187__" hidden="1">#REF!,#REF!,#REF!,#REF!,#REF!,#REF!,#REF!,#REF!,#REF!,#REF!,#REF!,#REF!,#REF!,#REF!,#REF!</definedName>
    <definedName name="__APW_RESTORE_DATA188__" localSheetId="6" hidden="1">#REF!,#REF!,#REF!,#REF!,#REF!,#REF!,#REF!,#REF!,#REF!,#REF!,#REF!,#REF!,#REF!,#REF!,#REF!</definedName>
    <definedName name="__APW_RESTORE_DATA188__" localSheetId="9" hidden="1">#REF!,#REF!,#REF!,#REF!,#REF!,#REF!,#REF!,#REF!,#REF!,#REF!,#REF!,#REF!,#REF!,#REF!,#REF!</definedName>
    <definedName name="__APW_RESTORE_DATA188__" localSheetId="2" hidden="1">#REF!,#REF!,#REF!,#REF!,#REF!,#REF!,#REF!,#REF!,#REF!,#REF!,#REF!,#REF!,#REF!,#REF!,#REF!</definedName>
    <definedName name="__APW_RESTORE_DATA188__" hidden="1">#REF!,#REF!,#REF!,#REF!,#REF!,#REF!,#REF!,#REF!,#REF!,#REF!,#REF!,#REF!,#REF!,#REF!,#REF!</definedName>
    <definedName name="__APW_RESTORE_DATA189__" localSheetId="2" hidden="1">#REF!,#REF!,#REF!,#REF!,#REF!,#REF!,#REF!,#REF!,#REF!,#REF!,#REF!,#REF!,#REF!,#REF!,#REF!</definedName>
    <definedName name="__APW_RESTORE_DATA189__" hidden="1">#REF!,#REF!,#REF!,#REF!,#REF!,#REF!,#REF!,#REF!,#REF!,#REF!,#REF!,#REF!,#REF!,#REF!,#REF!</definedName>
    <definedName name="__APW_RESTORE_DATA19__" localSheetId="2" hidden="1">#REF!,#REF!,#REF!,#REF!,#REF!,#REF!,#REF!,#REF!,#REF!,#REF!,#REF!,#REF!,#REF!,#REF!,#REF!</definedName>
    <definedName name="__APW_RESTORE_DATA19__" hidden="1">#REF!,#REF!,#REF!,#REF!,#REF!,#REF!,#REF!,#REF!,#REF!,#REF!,#REF!,#REF!,#REF!,#REF!,#REF!</definedName>
    <definedName name="__APW_RESTORE_DATA190__" localSheetId="2" hidden="1">#REF!,#REF!,#REF!,#REF!,#REF!,#REF!,#REF!,#REF!,#REF!,#REF!,#REF!,#REF!,#REF!,#REF!,#REF!</definedName>
    <definedName name="__APW_RESTORE_DATA190__" hidden="1">#REF!,#REF!,#REF!,#REF!,#REF!,#REF!,#REF!,#REF!,#REF!,#REF!,#REF!,#REF!,#REF!,#REF!,#REF!</definedName>
    <definedName name="__APW_RESTORE_DATA191__" localSheetId="6" hidden="1">#REF!,#REF!,#REF!,#REF!,#REF!,#REF!</definedName>
    <definedName name="__APW_RESTORE_DATA191__" localSheetId="9" hidden="1">#REF!,#REF!,#REF!,#REF!,#REF!,#REF!</definedName>
    <definedName name="__APW_RESTORE_DATA191__" localSheetId="2" hidden="1">#REF!,#REF!,#REF!,#REF!,#REF!,#REF!</definedName>
    <definedName name="__APW_RESTORE_DATA191__" hidden="1">#REF!,#REF!,#REF!,#REF!,#REF!,#REF!</definedName>
    <definedName name="__APW_RESTORE_DATA192__" localSheetId="6" hidden="1">#REF!,#REF!,#REF!,#REF!,#REF!,#REF!,#REF!,#REF!,#REF!,#REF!,#REF!,#REF!,#REF!,#REF!,#REF!,#REF!,#REF!</definedName>
    <definedName name="__APW_RESTORE_DATA192__" localSheetId="9" hidden="1">#REF!,#REF!,#REF!,#REF!,#REF!,#REF!,#REF!,#REF!,#REF!,#REF!,#REF!,#REF!,#REF!,#REF!,#REF!,#REF!,#REF!</definedName>
    <definedName name="__APW_RESTORE_DATA192__" localSheetId="2" hidden="1">#REF!,#REF!,#REF!,#REF!,#REF!,#REF!,#REF!,#REF!,#REF!,#REF!,#REF!,#REF!,#REF!,#REF!,#REF!,#REF!,#REF!</definedName>
    <definedName name="__APW_RESTORE_DATA192__" hidden="1">#REF!,#REF!,#REF!,#REF!,#REF!,#REF!,#REF!,#REF!,#REF!,#REF!,#REF!,#REF!,#REF!,#REF!,#REF!,#REF!,#REF!</definedName>
    <definedName name="__APW_RESTORE_DATA193__" localSheetId="6" hidden="1">#REF!,#REF!,#REF!,#REF!,#REF!,#REF!,#REF!,#REF!,#REF!,#REF!,#REF!,#REF!,#REF!,#REF!,#REF!,#REF!</definedName>
    <definedName name="__APW_RESTORE_DATA193__" localSheetId="9" hidden="1">#REF!,#REF!,#REF!,#REF!,#REF!,#REF!,#REF!,#REF!,#REF!,#REF!,#REF!,#REF!,#REF!,#REF!,#REF!,#REF!</definedName>
    <definedName name="__APW_RESTORE_DATA193__" localSheetId="2" hidden="1">#REF!,#REF!,#REF!,#REF!,#REF!,#REF!,#REF!,#REF!,#REF!,#REF!,#REF!,#REF!,#REF!,#REF!,#REF!,#REF!</definedName>
    <definedName name="__APW_RESTORE_DATA193__" hidden="1">#REF!,#REF!,#REF!,#REF!,#REF!,#REF!,#REF!,#REF!,#REF!,#REF!,#REF!,#REF!,#REF!,#REF!,#REF!,#REF!</definedName>
    <definedName name="__APW_RESTORE_DATA194__" localSheetId="6" hidden="1">#REF!,#REF!,#REF!,#REF!,#REF!,#REF!,#REF!,#REF!,#REF!,#REF!,#REF!,#REF!,#REF!,#REF!,#REF!,#REF!</definedName>
    <definedName name="__APW_RESTORE_DATA194__" localSheetId="9" hidden="1">#REF!,#REF!,#REF!,#REF!,#REF!,#REF!,#REF!,#REF!,#REF!,#REF!,#REF!,#REF!,#REF!,#REF!,#REF!,#REF!</definedName>
    <definedName name="__APW_RESTORE_DATA194__" localSheetId="2" hidden="1">#REF!,#REF!,#REF!,#REF!,#REF!,#REF!,#REF!,#REF!,#REF!,#REF!,#REF!,#REF!,#REF!,#REF!,#REF!,#REF!</definedName>
    <definedName name="__APW_RESTORE_DATA194__" hidden="1">#REF!,#REF!,#REF!,#REF!,#REF!,#REF!,#REF!,#REF!,#REF!,#REF!,#REF!,#REF!,#REF!,#REF!,#REF!,#REF!</definedName>
    <definedName name="__APW_RESTORE_DATA195__" localSheetId="6" hidden="1">#REF!,#REF!,#REF!,#REF!,#REF!,#REF!,#REF!,#REF!,#REF!,#REF!,#REF!,#REF!,#REF!,#REF!,#REF!,#REF!</definedName>
    <definedName name="__APW_RESTORE_DATA195__" localSheetId="9" hidden="1">#REF!,#REF!,#REF!,#REF!,#REF!,#REF!,#REF!,#REF!,#REF!,#REF!,#REF!,#REF!,#REF!,#REF!,#REF!,#REF!</definedName>
    <definedName name="__APW_RESTORE_DATA195__" localSheetId="2" hidden="1">#REF!,#REF!,#REF!,#REF!,#REF!,#REF!,#REF!,#REF!,#REF!,#REF!,#REF!,#REF!,#REF!,#REF!,#REF!,#REF!</definedName>
    <definedName name="__APW_RESTORE_DATA195__" hidden="1">#REF!,#REF!,#REF!,#REF!,#REF!,#REF!,#REF!,#REF!,#REF!,#REF!,#REF!,#REF!,#REF!,#REF!,#REF!,#REF!</definedName>
    <definedName name="__APW_RESTORE_DATA196__" localSheetId="2" hidden="1">#REF!,#REF!,#REF!,#REF!,#REF!,#REF!,#REF!,#REF!,#REF!,#REF!,#REF!,#REF!,#REF!,#REF!,#REF!,#REF!</definedName>
    <definedName name="__APW_RESTORE_DATA196__" hidden="1">#REF!,#REF!,#REF!,#REF!,#REF!,#REF!,#REF!,#REF!,#REF!,#REF!,#REF!,#REF!,#REF!,#REF!,#REF!,#REF!</definedName>
    <definedName name="__APW_RESTORE_DATA197__" localSheetId="2" hidden="1">#REF!,#REF!,#REF!,#REF!,#REF!,#REF!,#REF!,#REF!,#REF!,#REF!,#REF!,#REF!,#REF!,#REF!,#REF!,#REF!</definedName>
    <definedName name="__APW_RESTORE_DATA197__" hidden="1">#REF!,#REF!,#REF!,#REF!,#REF!,#REF!,#REF!,#REF!,#REF!,#REF!,#REF!,#REF!,#REF!,#REF!,#REF!,#REF!</definedName>
    <definedName name="__APW_RESTORE_DATA198__" localSheetId="6" hidden="1">#REF!,#REF!,#REF!,#REF!,#REF!,#REF!,#REF!,#REF!,#REF!,#REF!,#REF!,#REF!,#REF!,#REF!,#REF!</definedName>
    <definedName name="__APW_RESTORE_DATA198__" localSheetId="9" hidden="1">#REF!,#REF!,#REF!,#REF!,#REF!,#REF!,#REF!,#REF!,#REF!,#REF!,#REF!,#REF!,#REF!,#REF!,#REF!</definedName>
    <definedName name="__APW_RESTORE_DATA198__" localSheetId="2" hidden="1">#REF!,#REF!,#REF!,#REF!,#REF!,#REF!,#REF!,#REF!,#REF!,#REF!,#REF!,#REF!,#REF!,#REF!,#REF!</definedName>
    <definedName name="__APW_RESTORE_DATA198__" hidden="1">#REF!,#REF!,#REF!,#REF!,#REF!,#REF!,#REF!,#REF!,#REF!,#REF!,#REF!,#REF!,#REF!,#REF!,#REF!</definedName>
    <definedName name="__APW_RESTORE_DATA199__" localSheetId="6" hidden="1">#REF!,#REF!,#REF!,#REF!,#REF!,#REF!,#REF!,#REF!,#REF!,#REF!,#REF!,#REF!,#REF!,#REF!,#REF!,#REF!,#REF!</definedName>
    <definedName name="__APW_RESTORE_DATA199__" localSheetId="9" hidden="1">#REF!,#REF!,#REF!,#REF!,#REF!,#REF!,#REF!,#REF!,#REF!,#REF!,#REF!,#REF!,#REF!,#REF!,#REF!,#REF!,#REF!</definedName>
    <definedName name="__APW_RESTORE_DATA199__" localSheetId="2" hidden="1">#REF!,#REF!,#REF!,#REF!,#REF!,#REF!,#REF!,#REF!,#REF!,#REF!,#REF!,#REF!,#REF!,#REF!,#REF!,#REF!,#REF!</definedName>
    <definedName name="__APW_RESTORE_DATA199__" hidden="1">#REF!,#REF!,#REF!,#REF!,#REF!,#REF!,#REF!,#REF!,#REF!,#REF!,#REF!,#REF!,#REF!,#REF!,#REF!,#REF!,#REF!</definedName>
    <definedName name="__APW_RESTORE_DATA2__" localSheetId="6" hidden="1">#REF!,#REF!,#REF!,#REF!,#REF!,#REF!,#REF!,#REF!,#REF!,#REF!,#REF!,#REF!,#REF!,#REF!,#REF!,#REF!</definedName>
    <definedName name="__APW_RESTORE_DATA2__" localSheetId="9" hidden="1">#REF!,#REF!,#REF!,#REF!,#REF!,#REF!,#REF!,#REF!,#REF!,#REF!,#REF!,#REF!,#REF!,#REF!,#REF!,#REF!</definedName>
    <definedName name="__APW_RESTORE_DATA2__" localSheetId="2" hidden="1">#REF!,#REF!,#REF!,#REF!,#REF!,#REF!,#REF!,#REF!,#REF!,#REF!,#REF!,#REF!,#REF!,#REF!,#REF!,#REF!</definedName>
    <definedName name="__APW_RESTORE_DATA2__" hidden="1">#REF!,#REF!,#REF!,#REF!,#REF!,#REF!,#REF!,#REF!,#REF!,#REF!,#REF!,#REF!,#REF!,#REF!,#REF!,#REF!</definedName>
    <definedName name="__APW_RESTORE_DATA20__" localSheetId="6" hidden="1">#REF!,#REF!,#REF!,#REF!,#REF!,#REF!,#REF!,#REF!,#REF!,#REF!,#REF!,#REF!,#REF!,#REF!,#REF!</definedName>
    <definedName name="__APW_RESTORE_DATA20__" localSheetId="9" hidden="1">#REF!,#REF!,#REF!,#REF!,#REF!,#REF!,#REF!,#REF!,#REF!,#REF!,#REF!,#REF!,#REF!,#REF!,#REF!</definedName>
    <definedName name="__APW_RESTORE_DATA20__" localSheetId="2" hidden="1">#REF!,#REF!,#REF!,#REF!,#REF!,#REF!,#REF!,#REF!,#REF!,#REF!,#REF!,#REF!,#REF!,#REF!,#REF!</definedName>
    <definedName name="__APW_RESTORE_DATA20__" hidden="1">#REF!,#REF!,#REF!,#REF!,#REF!,#REF!,#REF!,#REF!,#REF!,#REF!,#REF!,#REF!,#REF!,#REF!,#REF!</definedName>
    <definedName name="__APW_RESTORE_DATA200__" localSheetId="6" hidden="1">#REF!,#REF!,#REF!,#REF!,#REF!,#REF!,#REF!,#REF!,#REF!,#REF!,#REF!,#REF!,#REF!,#REF!,#REF!,#REF!</definedName>
    <definedName name="__APW_RESTORE_DATA200__" localSheetId="9" hidden="1">#REF!,#REF!,#REF!,#REF!,#REF!,#REF!,#REF!,#REF!,#REF!,#REF!,#REF!,#REF!,#REF!,#REF!,#REF!,#REF!</definedName>
    <definedName name="__APW_RESTORE_DATA200__" localSheetId="2" hidden="1">#REF!,#REF!,#REF!,#REF!,#REF!,#REF!,#REF!,#REF!,#REF!,#REF!,#REF!,#REF!,#REF!,#REF!,#REF!,#REF!</definedName>
    <definedName name="__APW_RESTORE_DATA200__" hidden="1">#REF!,#REF!,#REF!,#REF!,#REF!,#REF!,#REF!,#REF!,#REF!,#REF!,#REF!,#REF!,#REF!,#REF!,#REF!,#REF!</definedName>
    <definedName name="__APW_RESTORE_DATA201__" localSheetId="6" hidden="1">#REF!,#REF!,#REF!,#REF!,#REF!,#REF!,#REF!,#REF!,#REF!,#REF!,#REF!,#REF!,#REF!,#REF!,#REF!,#REF!</definedName>
    <definedName name="__APW_RESTORE_DATA201__" localSheetId="9" hidden="1">#REF!,#REF!,#REF!,#REF!,#REF!,#REF!,#REF!,#REF!,#REF!,#REF!,#REF!,#REF!,#REF!,#REF!,#REF!,#REF!</definedName>
    <definedName name="__APW_RESTORE_DATA201__" localSheetId="2" hidden="1">#REF!,#REF!,#REF!,#REF!,#REF!,#REF!,#REF!,#REF!,#REF!,#REF!,#REF!,#REF!,#REF!,#REF!,#REF!,#REF!</definedName>
    <definedName name="__APW_RESTORE_DATA201__" hidden="1">#REF!,#REF!,#REF!,#REF!,#REF!,#REF!,#REF!,#REF!,#REF!,#REF!,#REF!,#REF!,#REF!,#REF!,#REF!,#REF!</definedName>
    <definedName name="__APW_RESTORE_DATA202__" localSheetId="6" hidden="1">#REF!,#REF!,#REF!,#REF!,#REF!,#REF!,#REF!,#REF!,#REF!,#REF!,#REF!,#REF!,#REF!,#REF!,#REF!,#REF!</definedName>
    <definedName name="__APW_RESTORE_DATA202__" localSheetId="9" hidden="1">#REF!,#REF!,#REF!,#REF!,#REF!,#REF!,#REF!,#REF!,#REF!,#REF!,#REF!,#REF!,#REF!,#REF!,#REF!,#REF!</definedName>
    <definedName name="__APW_RESTORE_DATA202__" localSheetId="2" hidden="1">#REF!,#REF!,#REF!,#REF!,#REF!,#REF!,#REF!,#REF!,#REF!,#REF!,#REF!,#REF!,#REF!,#REF!,#REF!,#REF!</definedName>
    <definedName name="__APW_RESTORE_DATA202__" hidden="1">#REF!,#REF!,#REF!,#REF!,#REF!,#REF!,#REF!,#REF!,#REF!,#REF!,#REF!,#REF!,#REF!,#REF!,#REF!,#REF!</definedName>
    <definedName name="__APW_RESTORE_DATA203__" localSheetId="2" hidden="1">#REF!,#REF!,#REF!,#REF!,#REF!,#REF!,#REF!,#REF!,#REF!,#REF!,#REF!,#REF!,#REF!,#REF!,#REF!,#REF!</definedName>
    <definedName name="__APW_RESTORE_DATA203__" hidden="1">#REF!,#REF!,#REF!,#REF!,#REF!,#REF!,#REF!,#REF!,#REF!,#REF!,#REF!,#REF!,#REF!,#REF!,#REF!,#REF!</definedName>
    <definedName name="__APW_RESTORE_DATA204__" localSheetId="2" hidden="1">#REF!,#REF!,#REF!,#REF!,#REF!,#REF!,#REF!,#REF!,#REF!,#REF!,#REF!,#REF!,#REF!,#REF!,#REF!,#REF!</definedName>
    <definedName name="__APW_RESTORE_DATA204__" hidden="1">#REF!,#REF!,#REF!,#REF!,#REF!,#REF!,#REF!,#REF!,#REF!,#REF!,#REF!,#REF!,#REF!,#REF!,#REF!,#REF!</definedName>
    <definedName name="__APW_RESTORE_DATA205__" localSheetId="6" hidden="1">#REF!,#REF!,#REF!,#REF!,#REF!,#REF!,#REF!,#REF!,#REF!,#REF!,#REF!,#REF!,#REF!,#REF!,#REF!</definedName>
    <definedName name="__APW_RESTORE_DATA205__" localSheetId="9" hidden="1">#REF!,#REF!,#REF!,#REF!,#REF!,#REF!,#REF!,#REF!,#REF!,#REF!,#REF!,#REF!,#REF!,#REF!,#REF!</definedName>
    <definedName name="__APW_RESTORE_DATA205__" localSheetId="2" hidden="1">#REF!,#REF!,#REF!,#REF!,#REF!,#REF!,#REF!,#REF!,#REF!,#REF!,#REF!,#REF!,#REF!,#REF!,#REF!</definedName>
    <definedName name="__APW_RESTORE_DATA205__" hidden="1">#REF!,#REF!,#REF!,#REF!,#REF!,#REF!,#REF!,#REF!,#REF!,#REF!,#REF!,#REF!,#REF!,#REF!,#REF!</definedName>
    <definedName name="__APW_RESTORE_DATA206__" localSheetId="6" hidden="1">#REF!,#REF!,#REF!,#REF!,#REF!,#REF!,#REF!,#REF!,#REF!,#REF!,#REF!,#REF!,#REF!,#REF!,#REF!</definedName>
    <definedName name="__APW_RESTORE_DATA206__" localSheetId="9" hidden="1">#REF!,#REF!,#REF!,#REF!,#REF!,#REF!,#REF!,#REF!,#REF!,#REF!,#REF!,#REF!,#REF!,#REF!,#REF!</definedName>
    <definedName name="__APW_RESTORE_DATA206__" localSheetId="2" hidden="1">#REF!,#REF!,#REF!,#REF!,#REF!,#REF!,#REF!,#REF!,#REF!,#REF!,#REF!,#REF!,#REF!,#REF!,#REF!</definedName>
    <definedName name="__APW_RESTORE_DATA206__" hidden="1">#REF!,#REF!,#REF!,#REF!,#REF!,#REF!,#REF!,#REF!,#REF!,#REF!,#REF!,#REF!,#REF!,#REF!,#REF!</definedName>
    <definedName name="__APW_RESTORE_DATA207__" localSheetId="6" hidden="1">#REF!,#REF!,#REF!,#REF!,#REF!,#REF!,#REF!,#REF!,#REF!,#REF!,#REF!,#REF!,#REF!,#REF!,#REF!</definedName>
    <definedName name="__APW_RESTORE_DATA207__" localSheetId="9" hidden="1">#REF!,#REF!,#REF!,#REF!,#REF!,#REF!,#REF!,#REF!,#REF!,#REF!,#REF!,#REF!,#REF!,#REF!,#REF!</definedName>
    <definedName name="__APW_RESTORE_DATA207__" localSheetId="2" hidden="1">#REF!,#REF!,#REF!,#REF!,#REF!,#REF!,#REF!,#REF!,#REF!,#REF!,#REF!,#REF!,#REF!,#REF!,#REF!</definedName>
    <definedName name="__APW_RESTORE_DATA207__" hidden="1">#REF!,#REF!,#REF!,#REF!,#REF!,#REF!,#REF!,#REF!,#REF!,#REF!,#REF!,#REF!,#REF!,#REF!,#REF!</definedName>
    <definedName name="__APW_RESTORE_DATA208__" localSheetId="2" hidden="1">#REF!,#REF!,#REF!,#REF!,#REF!,#REF!,#REF!,#REF!,#REF!,#REF!,#REF!,#REF!,#REF!,#REF!,#REF!</definedName>
    <definedName name="__APW_RESTORE_DATA208__" hidden="1">#REF!,#REF!,#REF!,#REF!,#REF!,#REF!,#REF!,#REF!,#REF!,#REF!,#REF!,#REF!,#REF!,#REF!,#REF!</definedName>
    <definedName name="__APW_RESTORE_DATA209__" localSheetId="6" hidden="1">#REF!,#REF!,#REF!,#REF!,#REF!,#REF!,#REF!,#REF!,#REF!,#REF!,#REF!,#REF!,#REF!,#REF!</definedName>
    <definedName name="__APW_RESTORE_DATA209__" localSheetId="9" hidden="1">#REF!,#REF!,#REF!,#REF!,#REF!,#REF!,#REF!,#REF!,#REF!,#REF!,#REF!,#REF!,#REF!,#REF!</definedName>
    <definedName name="__APW_RESTORE_DATA209__" localSheetId="2" hidden="1">#REF!,#REF!,#REF!,#REF!,#REF!,#REF!,#REF!,#REF!,#REF!,#REF!,#REF!,#REF!,#REF!,#REF!</definedName>
    <definedName name="__APW_RESTORE_DATA209__" hidden="1">#REF!,#REF!,#REF!,#REF!,#REF!,#REF!,#REF!,#REF!,#REF!,#REF!,#REF!,#REF!,#REF!,#REF!</definedName>
    <definedName name="__APW_RESTORE_DATA21__" localSheetId="6" hidden="1">#REF!,#REF!,#REF!,#REF!,#REF!,#REF!,#REF!,#REF!,#REF!,#REF!,#REF!,#REF!,#REF!,#REF!,#REF!</definedName>
    <definedName name="__APW_RESTORE_DATA21__" localSheetId="9" hidden="1">#REF!,#REF!,#REF!,#REF!,#REF!,#REF!,#REF!,#REF!,#REF!,#REF!,#REF!,#REF!,#REF!,#REF!,#REF!</definedName>
    <definedName name="__APW_RESTORE_DATA21__" localSheetId="2" hidden="1">#REF!,#REF!,#REF!,#REF!,#REF!,#REF!,#REF!,#REF!,#REF!,#REF!,#REF!,#REF!,#REF!,#REF!,#REF!</definedName>
    <definedName name="__APW_RESTORE_DATA21__" hidden="1">#REF!,#REF!,#REF!,#REF!,#REF!,#REF!,#REF!,#REF!,#REF!,#REF!,#REF!,#REF!,#REF!,#REF!,#REF!</definedName>
    <definedName name="__APW_RESTORE_DATA210__" localSheetId="6" hidden="1">#REF!,#REF!,#REF!,#REF!,#REF!,#REF!,#REF!,#REF!,#REF!,#REF!,#REF!,#REF!,#REF!,#REF!,#REF!,#REF!,#REF!</definedName>
    <definedName name="__APW_RESTORE_DATA210__" localSheetId="9" hidden="1">#REF!,#REF!,#REF!,#REF!,#REF!,#REF!,#REF!,#REF!,#REF!,#REF!,#REF!,#REF!,#REF!,#REF!,#REF!,#REF!,#REF!</definedName>
    <definedName name="__APW_RESTORE_DATA210__" localSheetId="2" hidden="1">#REF!,#REF!,#REF!,#REF!,#REF!,#REF!,#REF!,#REF!,#REF!,#REF!,#REF!,#REF!,#REF!,#REF!,#REF!,#REF!,#REF!</definedName>
    <definedName name="__APW_RESTORE_DATA210__" hidden="1">#REF!,#REF!,#REF!,#REF!,#REF!,#REF!,#REF!,#REF!,#REF!,#REF!,#REF!,#REF!,#REF!,#REF!,#REF!,#REF!,#REF!</definedName>
    <definedName name="__APW_RESTORE_DATA211__" localSheetId="6" hidden="1">#REF!,#REF!,#REF!,#REF!,#REF!,#REF!,#REF!,#REF!,#REF!,#REF!,#REF!,#REF!,#REF!,#REF!,#REF!,#REF!</definedName>
    <definedName name="__APW_RESTORE_DATA211__" localSheetId="9" hidden="1">#REF!,#REF!,#REF!,#REF!,#REF!,#REF!,#REF!,#REF!,#REF!,#REF!,#REF!,#REF!,#REF!,#REF!,#REF!,#REF!</definedName>
    <definedName name="__APW_RESTORE_DATA211__" localSheetId="2" hidden="1">#REF!,#REF!,#REF!,#REF!,#REF!,#REF!,#REF!,#REF!,#REF!,#REF!,#REF!,#REF!,#REF!,#REF!,#REF!,#REF!</definedName>
    <definedName name="__APW_RESTORE_DATA211__" hidden="1">#REF!,#REF!,#REF!,#REF!,#REF!,#REF!,#REF!,#REF!,#REF!,#REF!,#REF!,#REF!,#REF!,#REF!,#REF!,#REF!</definedName>
    <definedName name="__APW_RESTORE_DATA212__" localSheetId="6" hidden="1">#REF!,#REF!,#REF!,#REF!,#REF!,#REF!,#REF!,#REF!,#REF!,#REF!,#REF!,#REF!,#REF!,#REF!,#REF!,#REF!</definedName>
    <definedName name="__APW_RESTORE_DATA212__" localSheetId="9" hidden="1">#REF!,#REF!,#REF!,#REF!,#REF!,#REF!,#REF!,#REF!,#REF!,#REF!,#REF!,#REF!,#REF!,#REF!,#REF!,#REF!</definedName>
    <definedName name="__APW_RESTORE_DATA212__" localSheetId="2" hidden="1">#REF!,#REF!,#REF!,#REF!,#REF!,#REF!,#REF!,#REF!,#REF!,#REF!,#REF!,#REF!,#REF!,#REF!,#REF!,#REF!</definedName>
    <definedName name="__APW_RESTORE_DATA212__" hidden="1">#REF!,#REF!,#REF!,#REF!,#REF!,#REF!,#REF!,#REF!,#REF!,#REF!,#REF!,#REF!,#REF!,#REF!,#REF!,#REF!</definedName>
    <definedName name="__APW_RESTORE_DATA213__" localSheetId="6" hidden="1">#REF!,#REF!,#REF!,#REF!,#REF!,#REF!,#REF!,#REF!,#REF!,#REF!,#REF!,#REF!,#REF!,#REF!,#REF!,#REF!</definedName>
    <definedName name="__APW_RESTORE_DATA213__" localSheetId="9" hidden="1">#REF!,#REF!,#REF!,#REF!,#REF!,#REF!,#REF!,#REF!,#REF!,#REF!,#REF!,#REF!,#REF!,#REF!,#REF!,#REF!</definedName>
    <definedName name="__APW_RESTORE_DATA213__" localSheetId="2" hidden="1">#REF!,#REF!,#REF!,#REF!,#REF!,#REF!,#REF!,#REF!,#REF!,#REF!,#REF!,#REF!,#REF!,#REF!,#REF!,#REF!</definedName>
    <definedName name="__APW_RESTORE_DATA213__" hidden="1">#REF!,#REF!,#REF!,#REF!,#REF!,#REF!,#REF!,#REF!,#REF!,#REF!,#REF!,#REF!,#REF!,#REF!,#REF!,#REF!</definedName>
    <definedName name="__APW_RESTORE_DATA214__" localSheetId="2" hidden="1">#REF!,#REF!,#REF!,#REF!,#REF!,#REF!,#REF!,#REF!,#REF!,#REF!,#REF!,#REF!,#REF!,#REF!,#REF!,#REF!</definedName>
    <definedName name="__APW_RESTORE_DATA214__" hidden="1">#REF!,#REF!,#REF!,#REF!,#REF!,#REF!,#REF!,#REF!,#REF!,#REF!,#REF!,#REF!,#REF!,#REF!,#REF!,#REF!</definedName>
    <definedName name="__APW_RESTORE_DATA215__" localSheetId="2" hidden="1">#REF!,#REF!,#REF!,#REF!,#REF!,#REF!,#REF!,#REF!,#REF!,#REF!,#REF!,#REF!,#REF!,#REF!,#REF!,#REF!</definedName>
    <definedName name="__APW_RESTORE_DATA215__" hidden="1">#REF!,#REF!,#REF!,#REF!,#REF!,#REF!,#REF!,#REF!,#REF!,#REF!,#REF!,#REF!,#REF!,#REF!,#REF!,#REF!</definedName>
    <definedName name="__APW_RESTORE_DATA216__" localSheetId="6" hidden="1">#REF!,#REF!,#REF!,#REF!,#REF!,#REF!,#REF!,#REF!,#REF!,#REF!,#REF!,#REF!,#REF!,#REF!,#REF!</definedName>
    <definedName name="__APW_RESTORE_DATA216__" localSheetId="9" hidden="1">#REF!,#REF!,#REF!,#REF!,#REF!,#REF!,#REF!,#REF!,#REF!,#REF!,#REF!,#REF!,#REF!,#REF!,#REF!</definedName>
    <definedName name="__APW_RESTORE_DATA216__" localSheetId="2" hidden="1">#REF!,#REF!,#REF!,#REF!,#REF!,#REF!,#REF!,#REF!,#REF!,#REF!,#REF!,#REF!,#REF!,#REF!,#REF!</definedName>
    <definedName name="__APW_RESTORE_DATA216__" hidden="1">#REF!,#REF!,#REF!,#REF!,#REF!,#REF!,#REF!,#REF!,#REF!,#REF!,#REF!,#REF!,#REF!,#REF!,#REF!</definedName>
    <definedName name="__APW_RESTORE_DATA217__" localSheetId="6" hidden="1">#REF!,#REF!,#REF!,#REF!,#REF!,#REF!,#REF!,#REF!,#REF!,#REF!,#REF!,#REF!,#REF!,#REF!,#REF!</definedName>
    <definedName name="__APW_RESTORE_DATA217__" localSheetId="9" hidden="1">#REF!,#REF!,#REF!,#REF!,#REF!,#REF!,#REF!,#REF!,#REF!,#REF!,#REF!,#REF!,#REF!,#REF!,#REF!</definedName>
    <definedName name="__APW_RESTORE_DATA217__" localSheetId="2" hidden="1">#REF!,#REF!,#REF!,#REF!,#REF!,#REF!,#REF!,#REF!,#REF!,#REF!,#REF!,#REF!,#REF!,#REF!,#REF!</definedName>
    <definedName name="__APW_RESTORE_DATA217__" hidden="1">#REF!,#REF!,#REF!,#REF!,#REF!,#REF!,#REF!,#REF!,#REF!,#REF!,#REF!,#REF!,#REF!,#REF!,#REF!</definedName>
    <definedName name="__APW_RESTORE_DATA218__" localSheetId="6" hidden="1">#REF!,#REF!,#REF!,#REF!,#REF!,#REF!,#REF!,#REF!,#REF!,#REF!,#REF!,#REF!,#REF!,#REF!,#REF!</definedName>
    <definedName name="__APW_RESTORE_DATA218__" localSheetId="9" hidden="1">#REF!,#REF!,#REF!,#REF!,#REF!,#REF!,#REF!,#REF!,#REF!,#REF!,#REF!,#REF!,#REF!,#REF!,#REF!</definedName>
    <definedName name="__APW_RESTORE_DATA218__" localSheetId="2" hidden="1">#REF!,#REF!,#REF!,#REF!,#REF!,#REF!,#REF!,#REF!,#REF!,#REF!,#REF!,#REF!,#REF!,#REF!,#REF!</definedName>
    <definedName name="__APW_RESTORE_DATA218__" hidden="1">#REF!,#REF!,#REF!,#REF!,#REF!,#REF!,#REF!,#REF!,#REF!,#REF!,#REF!,#REF!,#REF!,#REF!,#REF!</definedName>
    <definedName name="__APW_RESTORE_DATA219__" localSheetId="2" hidden="1">#REF!,#REF!,#REF!,#REF!,#REF!,#REF!,#REF!,#REF!,#REF!,#REF!,#REF!,#REF!,#REF!,#REF!,#REF!</definedName>
    <definedName name="__APW_RESTORE_DATA219__" hidden="1">#REF!,#REF!,#REF!,#REF!,#REF!,#REF!,#REF!,#REF!,#REF!,#REF!,#REF!,#REF!,#REF!,#REF!,#REF!</definedName>
    <definedName name="__APW_RESTORE_DATA22__" localSheetId="2" hidden="1">#REF!,#REF!,#REF!,#REF!,#REF!,#REF!,#REF!,#REF!,#REF!,#REF!,#REF!,#REF!,#REF!,#REF!,#REF!</definedName>
    <definedName name="__APW_RESTORE_DATA22__" hidden="1">#REF!,#REF!,#REF!,#REF!,#REF!,#REF!,#REF!,#REF!,#REF!,#REF!,#REF!,#REF!,#REF!,#REF!,#REF!</definedName>
    <definedName name="__APW_RESTORE_DATA220__" localSheetId="6" hidden="1">#REF!,#REF!,#REF!,#REF!,#REF!,#REF!,#REF!,#REF!,#REF!,#REF!,#REF!,#REF!,#REF!,#REF!</definedName>
    <definedName name="__APW_RESTORE_DATA220__" localSheetId="9" hidden="1">#REF!,#REF!,#REF!,#REF!,#REF!,#REF!,#REF!,#REF!,#REF!,#REF!,#REF!,#REF!,#REF!,#REF!</definedName>
    <definedName name="__APW_RESTORE_DATA220__" localSheetId="2" hidden="1">#REF!,#REF!,#REF!,#REF!,#REF!,#REF!,#REF!,#REF!,#REF!,#REF!,#REF!,#REF!,#REF!,#REF!</definedName>
    <definedName name="__APW_RESTORE_DATA220__" hidden="1">#REF!,#REF!,#REF!,#REF!,#REF!,#REF!,#REF!,#REF!,#REF!,#REF!,#REF!,#REF!,#REF!,#REF!</definedName>
    <definedName name="__APW_RESTORE_DATA221__" localSheetId="6" hidden="1">#REF!,#REF!,#REF!,#REF!,#REF!,#REF!,#REF!,#REF!,#REF!,#REF!,#REF!,#REF!,#REF!,#REF!,#REF!,#REF!,#REF!</definedName>
    <definedName name="__APW_RESTORE_DATA221__" localSheetId="9" hidden="1">#REF!,#REF!,#REF!,#REF!,#REF!,#REF!,#REF!,#REF!,#REF!,#REF!,#REF!,#REF!,#REF!,#REF!,#REF!,#REF!,#REF!</definedName>
    <definedName name="__APW_RESTORE_DATA221__" localSheetId="2" hidden="1">#REF!,#REF!,#REF!,#REF!,#REF!,#REF!,#REF!,#REF!,#REF!,#REF!,#REF!,#REF!,#REF!,#REF!,#REF!,#REF!,#REF!</definedName>
    <definedName name="__APW_RESTORE_DATA221__" hidden="1">#REF!,#REF!,#REF!,#REF!,#REF!,#REF!,#REF!,#REF!,#REF!,#REF!,#REF!,#REF!,#REF!,#REF!,#REF!,#REF!,#REF!</definedName>
    <definedName name="__APW_RESTORE_DATA222__" localSheetId="6" hidden="1">#REF!,#REF!,#REF!,#REF!,#REF!,#REF!,#REF!,#REF!,#REF!,#REF!,#REF!,#REF!,#REF!,#REF!,#REF!,#REF!</definedName>
    <definedName name="__APW_RESTORE_DATA222__" localSheetId="9" hidden="1">#REF!,#REF!,#REF!,#REF!,#REF!,#REF!,#REF!,#REF!,#REF!,#REF!,#REF!,#REF!,#REF!,#REF!,#REF!,#REF!</definedName>
    <definedName name="__APW_RESTORE_DATA222__" localSheetId="2" hidden="1">#REF!,#REF!,#REF!,#REF!,#REF!,#REF!,#REF!,#REF!,#REF!,#REF!,#REF!,#REF!,#REF!,#REF!,#REF!,#REF!</definedName>
    <definedName name="__APW_RESTORE_DATA222__" hidden="1">#REF!,#REF!,#REF!,#REF!,#REF!,#REF!,#REF!,#REF!,#REF!,#REF!,#REF!,#REF!,#REF!,#REF!,#REF!,#REF!</definedName>
    <definedName name="__APW_RESTORE_DATA223__" localSheetId="6" hidden="1">#REF!,#REF!,#REF!,#REF!,#REF!,#REF!,#REF!,#REF!,#REF!,#REF!,#REF!,#REF!,#REF!,#REF!,#REF!,#REF!</definedName>
    <definedName name="__APW_RESTORE_DATA223__" localSheetId="9" hidden="1">#REF!,#REF!,#REF!,#REF!,#REF!,#REF!,#REF!,#REF!,#REF!,#REF!,#REF!,#REF!,#REF!,#REF!,#REF!,#REF!</definedName>
    <definedName name="__APW_RESTORE_DATA223__" localSheetId="2" hidden="1">#REF!,#REF!,#REF!,#REF!,#REF!,#REF!,#REF!,#REF!,#REF!,#REF!,#REF!,#REF!,#REF!,#REF!,#REF!,#REF!</definedName>
    <definedName name="__APW_RESTORE_DATA223__" hidden="1">#REF!,#REF!,#REF!,#REF!,#REF!,#REF!,#REF!,#REF!,#REF!,#REF!,#REF!,#REF!,#REF!,#REF!,#REF!,#REF!</definedName>
    <definedName name="__APW_RESTORE_DATA224__" localSheetId="6" hidden="1">#REF!,#REF!,#REF!,#REF!,#REF!,#REF!,#REF!,#REF!,#REF!,#REF!,#REF!,#REF!,#REF!,#REF!,#REF!,#REF!</definedName>
    <definedName name="__APW_RESTORE_DATA224__" localSheetId="9" hidden="1">#REF!,#REF!,#REF!,#REF!,#REF!,#REF!,#REF!,#REF!,#REF!,#REF!,#REF!,#REF!,#REF!,#REF!,#REF!,#REF!</definedName>
    <definedName name="__APW_RESTORE_DATA224__" localSheetId="2" hidden="1">#REF!,#REF!,#REF!,#REF!,#REF!,#REF!,#REF!,#REF!,#REF!,#REF!,#REF!,#REF!,#REF!,#REF!,#REF!,#REF!</definedName>
    <definedName name="__APW_RESTORE_DATA224__" hidden="1">#REF!,#REF!,#REF!,#REF!,#REF!,#REF!,#REF!,#REF!,#REF!,#REF!,#REF!,#REF!,#REF!,#REF!,#REF!,#REF!</definedName>
    <definedName name="__APW_RESTORE_DATA225__" localSheetId="2" hidden="1">#REF!,#REF!,#REF!,#REF!,#REF!,#REF!,#REF!,#REF!,#REF!,#REF!,#REF!,#REF!,#REF!,#REF!,#REF!,#REF!</definedName>
    <definedName name="__APW_RESTORE_DATA225__" hidden="1">#REF!,#REF!,#REF!,#REF!,#REF!,#REF!,#REF!,#REF!,#REF!,#REF!,#REF!,#REF!,#REF!,#REF!,#REF!,#REF!</definedName>
    <definedName name="__APW_RESTORE_DATA226__" localSheetId="2" hidden="1">#REF!,#REF!,#REF!,#REF!,#REF!,#REF!,#REF!,#REF!,#REF!,#REF!,#REF!,#REF!,#REF!,#REF!,#REF!,#REF!</definedName>
    <definedName name="__APW_RESTORE_DATA226__" hidden="1">#REF!,#REF!,#REF!,#REF!,#REF!,#REF!,#REF!,#REF!,#REF!,#REF!,#REF!,#REF!,#REF!,#REF!,#REF!,#REF!</definedName>
    <definedName name="__APW_RESTORE_DATA227__" localSheetId="6" hidden="1">#REF!,#REF!,#REF!,#REF!,#REF!,#REF!,#REF!,#REF!,#REF!,#REF!,#REF!,#REF!,#REF!,#REF!,#REF!</definedName>
    <definedName name="__APW_RESTORE_DATA227__" localSheetId="9" hidden="1">#REF!,#REF!,#REF!,#REF!,#REF!,#REF!,#REF!,#REF!,#REF!,#REF!,#REF!,#REF!,#REF!,#REF!,#REF!</definedName>
    <definedName name="__APW_RESTORE_DATA227__" localSheetId="2" hidden="1">#REF!,#REF!,#REF!,#REF!,#REF!,#REF!,#REF!,#REF!,#REF!,#REF!,#REF!,#REF!,#REF!,#REF!,#REF!</definedName>
    <definedName name="__APW_RESTORE_DATA227__" hidden="1">#REF!,#REF!,#REF!,#REF!,#REF!,#REF!,#REF!,#REF!,#REF!,#REF!,#REF!,#REF!,#REF!,#REF!,#REF!</definedName>
    <definedName name="__APW_RESTORE_DATA228__" localSheetId="6" hidden="1">#REF!,#REF!,#REF!,#REF!,#REF!,#REF!,#REF!,#REF!,#REF!,#REF!,#REF!,#REF!,#REF!,#REF!,#REF!</definedName>
    <definedName name="__APW_RESTORE_DATA228__" localSheetId="9" hidden="1">#REF!,#REF!,#REF!,#REF!,#REF!,#REF!,#REF!,#REF!,#REF!,#REF!,#REF!,#REF!,#REF!,#REF!,#REF!</definedName>
    <definedName name="__APW_RESTORE_DATA228__" localSheetId="2" hidden="1">#REF!,#REF!,#REF!,#REF!,#REF!,#REF!,#REF!,#REF!,#REF!,#REF!,#REF!,#REF!,#REF!,#REF!,#REF!</definedName>
    <definedName name="__APW_RESTORE_DATA228__" hidden="1">#REF!,#REF!,#REF!,#REF!,#REF!,#REF!,#REF!,#REF!,#REF!,#REF!,#REF!,#REF!,#REF!,#REF!,#REF!</definedName>
    <definedName name="__APW_RESTORE_DATA229__" localSheetId="6" hidden="1">#REF!,#REF!,#REF!,#REF!,#REF!,#REF!,#REF!,#REF!,#REF!,#REF!,#REF!,#REF!,#REF!,#REF!,#REF!</definedName>
    <definedName name="__APW_RESTORE_DATA229__" localSheetId="9" hidden="1">#REF!,#REF!,#REF!,#REF!,#REF!,#REF!,#REF!,#REF!,#REF!,#REF!,#REF!,#REF!,#REF!,#REF!,#REF!</definedName>
    <definedName name="__APW_RESTORE_DATA229__" localSheetId="2" hidden="1">#REF!,#REF!,#REF!,#REF!,#REF!,#REF!,#REF!,#REF!,#REF!,#REF!,#REF!,#REF!,#REF!,#REF!,#REF!</definedName>
    <definedName name="__APW_RESTORE_DATA229__" hidden="1">#REF!,#REF!,#REF!,#REF!,#REF!,#REF!,#REF!,#REF!,#REF!,#REF!,#REF!,#REF!,#REF!,#REF!,#REF!</definedName>
    <definedName name="__APW_RESTORE_DATA23__" localSheetId="6" hidden="1">#REF!,#REF!,#REF!,#REF!,#REF!,#REF!</definedName>
    <definedName name="__APW_RESTORE_DATA23__" localSheetId="9" hidden="1">#REF!,#REF!,#REF!,#REF!,#REF!,#REF!</definedName>
    <definedName name="__APW_RESTORE_DATA23__" localSheetId="2" hidden="1">#REF!,#REF!,#REF!,#REF!,#REF!,#REF!</definedName>
    <definedName name="__APW_RESTORE_DATA23__" hidden="1">#REF!,#REF!,#REF!,#REF!,#REF!,#REF!</definedName>
    <definedName name="__APW_RESTORE_DATA230__" localSheetId="6" hidden="1">#REF!,#REF!,#REF!,#REF!,#REF!,#REF!,#REF!,#REF!,#REF!,#REF!,#REF!,#REF!,#REF!,#REF!,#REF!</definedName>
    <definedName name="__APW_RESTORE_DATA230__" localSheetId="9" hidden="1">#REF!,#REF!,#REF!,#REF!,#REF!,#REF!,#REF!,#REF!,#REF!,#REF!,#REF!,#REF!,#REF!,#REF!,#REF!</definedName>
    <definedName name="__APW_RESTORE_DATA230__" localSheetId="2" hidden="1">#REF!,#REF!,#REF!,#REF!,#REF!,#REF!,#REF!,#REF!,#REF!,#REF!,#REF!,#REF!,#REF!,#REF!,#REF!</definedName>
    <definedName name="__APW_RESTORE_DATA230__" hidden="1">#REF!,#REF!,#REF!,#REF!,#REF!,#REF!,#REF!,#REF!,#REF!,#REF!,#REF!,#REF!,#REF!,#REF!,#REF!</definedName>
    <definedName name="__APW_RESTORE_DATA231__" localSheetId="6" hidden="1">#REF!,#REF!,#REF!,#REF!,#REF!,#REF!,#REF!,#REF!,#REF!,#REF!,#REF!,#REF!,#REF!,#REF!</definedName>
    <definedName name="__APW_RESTORE_DATA231__" localSheetId="9" hidden="1">#REF!,#REF!,#REF!,#REF!,#REF!,#REF!,#REF!,#REF!,#REF!,#REF!,#REF!,#REF!,#REF!,#REF!</definedName>
    <definedName name="__APW_RESTORE_DATA231__" localSheetId="2" hidden="1">#REF!,#REF!,#REF!,#REF!,#REF!,#REF!,#REF!,#REF!,#REF!,#REF!,#REF!,#REF!,#REF!,#REF!</definedName>
    <definedName name="__APW_RESTORE_DATA231__" hidden="1">#REF!,#REF!,#REF!,#REF!,#REF!,#REF!,#REF!,#REF!,#REF!,#REF!,#REF!,#REF!,#REF!,#REF!</definedName>
    <definedName name="__APW_RESTORE_DATA232__" localSheetId="6" hidden="1">#REF!,#REF!,#REF!,#REF!,#REF!,#REF!,#REF!,#REF!,#REF!,#REF!,#REF!,#REF!,#REF!,#REF!,#REF!,#REF!,#REF!</definedName>
    <definedName name="__APW_RESTORE_DATA232__" localSheetId="9" hidden="1">#REF!,#REF!,#REF!,#REF!,#REF!,#REF!,#REF!,#REF!,#REF!,#REF!,#REF!,#REF!,#REF!,#REF!,#REF!,#REF!,#REF!</definedName>
    <definedName name="__APW_RESTORE_DATA232__" localSheetId="2" hidden="1">#REF!,#REF!,#REF!,#REF!,#REF!,#REF!,#REF!,#REF!,#REF!,#REF!,#REF!,#REF!,#REF!,#REF!,#REF!,#REF!,#REF!</definedName>
    <definedName name="__APW_RESTORE_DATA232__" hidden="1">#REF!,#REF!,#REF!,#REF!,#REF!,#REF!,#REF!,#REF!,#REF!,#REF!,#REF!,#REF!,#REF!,#REF!,#REF!,#REF!,#REF!</definedName>
    <definedName name="__APW_RESTORE_DATA233__" localSheetId="6" hidden="1">#REF!,#REF!,#REF!,#REF!,#REF!,#REF!,#REF!,#REF!,#REF!,#REF!,#REF!,#REF!,#REF!,#REF!,#REF!,#REF!</definedName>
    <definedName name="__APW_RESTORE_DATA233__" localSheetId="9" hidden="1">#REF!,#REF!,#REF!,#REF!,#REF!,#REF!,#REF!,#REF!,#REF!,#REF!,#REF!,#REF!,#REF!,#REF!,#REF!,#REF!</definedName>
    <definedName name="__APW_RESTORE_DATA233__" localSheetId="2" hidden="1">#REF!,#REF!,#REF!,#REF!,#REF!,#REF!,#REF!,#REF!,#REF!,#REF!,#REF!,#REF!,#REF!,#REF!,#REF!,#REF!</definedName>
    <definedName name="__APW_RESTORE_DATA233__" hidden="1">#REF!,#REF!,#REF!,#REF!,#REF!,#REF!,#REF!,#REF!,#REF!,#REF!,#REF!,#REF!,#REF!,#REF!,#REF!,#REF!</definedName>
    <definedName name="__APW_RESTORE_DATA234__" localSheetId="6" hidden="1">#REF!,#REF!,#REF!,#REF!,#REF!,#REF!,#REF!,#REF!,#REF!,#REF!,#REF!,#REF!,#REF!,#REF!,#REF!,#REF!</definedName>
    <definedName name="__APW_RESTORE_DATA234__" localSheetId="9" hidden="1">#REF!,#REF!,#REF!,#REF!,#REF!,#REF!,#REF!,#REF!,#REF!,#REF!,#REF!,#REF!,#REF!,#REF!,#REF!,#REF!</definedName>
    <definedName name="__APW_RESTORE_DATA234__" localSheetId="2" hidden="1">#REF!,#REF!,#REF!,#REF!,#REF!,#REF!,#REF!,#REF!,#REF!,#REF!,#REF!,#REF!,#REF!,#REF!,#REF!,#REF!</definedName>
    <definedName name="__APW_RESTORE_DATA234__" hidden="1">#REF!,#REF!,#REF!,#REF!,#REF!,#REF!,#REF!,#REF!,#REF!,#REF!,#REF!,#REF!,#REF!,#REF!,#REF!,#REF!</definedName>
    <definedName name="__APW_RESTORE_DATA235__" localSheetId="6" hidden="1">#REF!,#REF!,#REF!,#REF!,#REF!,#REF!,#REF!,#REF!,#REF!,#REF!,#REF!,#REF!,#REF!,#REF!,#REF!,#REF!</definedName>
    <definedName name="__APW_RESTORE_DATA235__" localSheetId="9" hidden="1">#REF!,#REF!,#REF!,#REF!,#REF!,#REF!,#REF!,#REF!,#REF!,#REF!,#REF!,#REF!,#REF!,#REF!,#REF!,#REF!</definedName>
    <definedName name="__APW_RESTORE_DATA235__" localSheetId="2" hidden="1">#REF!,#REF!,#REF!,#REF!,#REF!,#REF!,#REF!,#REF!,#REF!,#REF!,#REF!,#REF!,#REF!,#REF!,#REF!,#REF!</definedName>
    <definedName name="__APW_RESTORE_DATA235__" hidden="1">#REF!,#REF!,#REF!,#REF!,#REF!,#REF!,#REF!,#REF!,#REF!,#REF!,#REF!,#REF!,#REF!,#REF!,#REF!,#REF!</definedName>
    <definedName name="__APW_RESTORE_DATA236__" localSheetId="2" hidden="1">#REF!,#REF!,#REF!,#REF!,#REF!,#REF!,#REF!,#REF!,#REF!,#REF!,#REF!,#REF!,#REF!,#REF!,#REF!,#REF!</definedName>
    <definedName name="__APW_RESTORE_DATA236__" hidden="1">#REF!,#REF!,#REF!,#REF!,#REF!,#REF!,#REF!,#REF!,#REF!,#REF!,#REF!,#REF!,#REF!,#REF!,#REF!,#REF!</definedName>
    <definedName name="__APW_RESTORE_DATA237__" localSheetId="2" hidden="1">#REF!,#REF!,#REF!,#REF!,#REF!,#REF!,#REF!,#REF!,#REF!,#REF!,#REF!,#REF!,#REF!,#REF!,#REF!,#REF!</definedName>
    <definedName name="__APW_RESTORE_DATA237__" hidden="1">#REF!,#REF!,#REF!,#REF!,#REF!,#REF!,#REF!,#REF!,#REF!,#REF!,#REF!,#REF!,#REF!,#REF!,#REF!,#REF!</definedName>
    <definedName name="__APW_RESTORE_DATA238__" localSheetId="6" hidden="1">#REF!,#REF!,#REF!,#REF!,#REF!,#REF!,#REF!,#REF!,#REF!,#REF!,#REF!,#REF!,#REF!,#REF!,#REF!</definedName>
    <definedName name="__APW_RESTORE_DATA238__" localSheetId="9" hidden="1">#REF!,#REF!,#REF!,#REF!,#REF!,#REF!,#REF!,#REF!,#REF!,#REF!,#REF!,#REF!,#REF!,#REF!,#REF!</definedName>
    <definedName name="__APW_RESTORE_DATA238__" localSheetId="2" hidden="1">#REF!,#REF!,#REF!,#REF!,#REF!,#REF!,#REF!,#REF!,#REF!,#REF!,#REF!,#REF!,#REF!,#REF!,#REF!</definedName>
    <definedName name="__APW_RESTORE_DATA238__" hidden="1">#REF!,#REF!,#REF!,#REF!,#REF!,#REF!,#REF!,#REF!,#REF!,#REF!,#REF!,#REF!,#REF!,#REF!,#REF!</definedName>
    <definedName name="__APW_RESTORE_DATA239__" localSheetId="6" hidden="1">#REF!,#REF!,#REF!,#REF!,#REF!,#REF!,#REF!,#REF!,#REF!,#REF!,#REF!,#REF!,#REF!,#REF!,#REF!</definedName>
    <definedName name="__APW_RESTORE_DATA239__" localSheetId="9" hidden="1">#REF!,#REF!,#REF!,#REF!,#REF!,#REF!,#REF!,#REF!,#REF!,#REF!,#REF!,#REF!,#REF!,#REF!,#REF!</definedName>
    <definedName name="__APW_RESTORE_DATA239__" localSheetId="2" hidden="1">#REF!,#REF!,#REF!,#REF!,#REF!,#REF!,#REF!,#REF!,#REF!,#REF!,#REF!,#REF!,#REF!,#REF!,#REF!</definedName>
    <definedName name="__APW_RESTORE_DATA239__" hidden="1">#REF!,#REF!,#REF!,#REF!,#REF!,#REF!,#REF!,#REF!,#REF!,#REF!,#REF!,#REF!,#REF!,#REF!,#REF!</definedName>
    <definedName name="__APW_RESTORE_DATA24__" localSheetId="6" hidden="1">#REF!,#REF!,#REF!,#REF!,#REF!,#REF!,#REF!,#REF!,#REF!,#REF!,#REF!,#REF!,#REF!,#REF!,#REF!,#REF!,#REF!</definedName>
    <definedName name="__APW_RESTORE_DATA24__" localSheetId="9" hidden="1">#REF!,#REF!,#REF!,#REF!,#REF!,#REF!,#REF!,#REF!,#REF!,#REF!,#REF!,#REF!,#REF!,#REF!,#REF!,#REF!,#REF!</definedName>
    <definedName name="__APW_RESTORE_DATA24__" localSheetId="2" hidden="1">#REF!,#REF!,#REF!,#REF!,#REF!,#REF!,#REF!,#REF!,#REF!,#REF!,#REF!,#REF!,#REF!,#REF!,#REF!,#REF!,#REF!</definedName>
    <definedName name="__APW_RESTORE_DATA24__" hidden="1">#REF!,#REF!,#REF!,#REF!,#REF!,#REF!,#REF!,#REF!,#REF!,#REF!,#REF!,#REF!,#REF!,#REF!,#REF!,#REF!,#REF!</definedName>
    <definedName name="__APW_RESTORE_DATA240__" localSheetId="6" hidden="1">#REF!,#REF!,#REF!,#REF!,#REF!,#REF!,#REF!,#REF!,#REF!,#REF!,#REF!,#REF!,#REF!,#REF!,#REF!</definedName>
    <definedName name="__APW_RESTORE_DATA240__" localSheetId="9" hidden="1">#REF!,#REF!,#REF!,#REF!,#REF!,#REF!,#REF!,#REF!,#REF!,#REF!,#REF!,#REF!,#REF!,#REF!,#REF!</definedName>
    <definedName name="__APW_RESTORE_DATA240__" localSheetId="2" hidden="1">#REF!,#REF!,#REF!,#REF!,#REF!,#REF!,#REF!,#REF!,#REF!,#REF!,#REF!,#REF!,#REF!,#REF!,#REF!</definedName>
    <definedName name="__APW_RESTORE_DATA240__" hidden="1">#REF!,#REF!,#REF!,#REF!,#REF!,#REF!,#REF!,#REF!,#REF!,#REF!,#REF!,#REF!,#REF!,#REF!,#REF!</definedName>
    <definedName name="__APW_RESTORE_DATA241__" localSheetId="6" hidden="1">#REF!,#REF!,#REF!,#REF!,#REF!,#REF!,#REF!,#REF!,#REF!,#REF!,#REF!,#REF!,#REF!,#REF!,#REF!</definedName>
    <definedName name="__APW_RESTORE_DATA241__" localSheetId="9" hidden="1">#REF!,#REF!,#REF!,#REF!,#REF!,#REF!,#REF!,#REF!,#REF!,#REF!,#REF!,#REF!,#REF!,#REF!,#REF!</definedName>
    <definedName name="__APW_RESTORE_DATA241__" localSheetId="2" hidden="1">#REF!,#REF!,#REF!,#REF!,#REF!,#REF!,#REF!,#REF!,#REF!,#REF!,#REF!,#REF!,#REF!,#REF!,#REF!</definedName>
    <definedName name="__APW_RESTORE_DATA241__" hidden="1">#REF!,#REF!,#REF!,#REF!,#REF!,#REF!,#REF!,#REF!,#REF!,#REF!,#REF!,#REF!,#REF!,#REF!,#REF!</definedName>
    <definedName name="__APW_RESTORE_DATA242__" localSheetId="6" hidden="1">#REF!,#REF!,#REF!,#REF!,#REF!,#REF!,#REF!,#REF!,#REF!,#REF!,#REF!,#REF!,#REF!,#REF!</definedName>
    <definedName name="__APW_RESTORE_DATA242__" localSheetId="9" hidden="1">#REF!,#REF!,#REF!,#REF!,#REF!,#REF!,#REF!,#REF!,#REF!,#REF!,#REF!,#REF!,#REF!,#REF!</definedName>
    <definedName name="__APW_RESTORE_DATA242__" localSheetId="2" hidden="1">#REF!,#REF!,#REF!,#REF!,#REF!,#REF!,#REF!,#REF!,#REF!,#REF!,#REF!,#REF!,#REF!,#REF!</definedName>
    <definedName name="__APW_RESTORE_DATA242__" hidden="1">#REF!,#REF!,#REF!,#REF!,#REF!,#REF!,#REF!,#REF!,#REF!,#REF!,#REF!,#REF!,#REF!,#REF!</definedName>
    <definedName name="__APW_RESTORE_DATA243__" localSheetId="6" hidden="1">#REF!,#REF!,#REF!,#REF!,#REF!,#REF!,#REF!,#REF!,#REF!,#REF!,#REF!,#REF!,#REF!,#REF!,#REF!,#REF!,#REF!</definedName>
    <definedName name="__APW_RESTORE_DATA243__" localSheetId="9" hidden="1">#REF!,#REF!,#REF!,#REF!,#REF!,#REF!,#REF!,#REF!,#REF!,#REF!,#REF!,#REF!,#REF!,#REF!,#REF!,#REF!,#REF!</definedName>
    <definedName name="__APW_RESTORE_DATA243__" localSheetId="2" hidden="1">#REF!,#REF!,#REF!,#REF!,#REF!,#REF!,#REF!,#REF!,#REF!,#REF!,#REF!,#REF!,#REF!,#REF!,#REF!,#REF!,#REF!</definedName>
    <definedName name="__APW_RESTORE_DATA243__" hidden="1">#REF!,#REF!,#REF!,#REF!,#REF!,#REF!,#REF!,#REF!,#REF!,#REF!,#REF!,#REF!,#REF!,#REF!,#REF!,#REF!,#REF!</definedName>
    <definedName name="__APW_RESTORE_DATA244__" localSheetId="6" hidden="1">#REF!,#REF!,#REF!,#REF!,#REF!,#REF!,#REF!,#REF!,#REF!,#REF!,#REF!,#REF!,#REF!,#REF!,#REF!,#REF!</definedName>
    <definedName name="__APW_RESTORE_DATA244__" localSheetId="9" hidden="1">#REF!,#REF!,#REF!,#REF!,#REF!,#REF!,#REF!,#REF!,#REF!,#REF!,#REF!,#REF!,#REF!,#REF!,#REF!,#REF!</definedName>
    <definedName name="__APW_RESTORE_DATA244__" localSheetId="2" hidden="1">#REF!,#REF!,#REF!,#REF!,#REF!,#REF!,#REF!,#REF!,#REF!,#REF!,#REF!,#REF!,#REF!,#REF!,#REF!,#REF!</definedName>
    <definedName name="__APW_RESTORE_DATA244__" hidden="1">#REF!,#REF!,#REF!,#REF!,#REF!,#REF!,#REF!,#REF!,#REF!,#REF!,#REF!,#REF!,#REF!,#REF!,#REF!,#REF!</definedName>
    <definedName name="__APW_RESTORE_DATA245__" localSheetId="6" hidden="1">#REF!,#REF!,#REF!,#REF!,#REF!,#REF!,#REF!,#REF!,#REF!,#REF!,#REF!,#REF!,#REF!,#REF!,#REF!,#REF!</definedName>
    <definedName name="__APW_RESTORE_DATA245__" localSheetId="9" hidden="1">#REF!,#REF!,#REF!,#REF!,#REF!,#REF!,#REF!,#REF!,#REF!,#REF!,#REF!,#REF!,#REF!,#REF!,#REF!,#REF!</definedName>
    <definedName name="__APW_RESTORE_DATA245__" localSheetId="2" hidden="1">#REF!,#REF!,#REF!,#REF!,#REF!,#REF!,#REF!,#REF!,#REF!,#REF!,#REF!,#REF!,#REF!,#REF!,#REF!,#REF!</definedName>
    <definedName name="__APW_RESTORE_DATA245__" hidden="1">#REF!,#REF!,#REF!,#REF!,#REF!,#REF!,#REF!,#REF!,#REF!,#REF!,#REF!,#REF!,#REF!,#REF!,#REF!,#REF!</definedName>
    <definedName name="__APW_RESTORE_DATA246__" localSheetId="6" hidden="1">#REF!,#REF!,#REF!,#REF!,#REF!,#REF!,#REF!,#REF!,#REF!,#REF!,#REF!,#REF!,#REF!,#REF!,#REF!,#REF!</definedName>
    <definedName name="__APW_RESTORE_DATA246__" localSheetId="9" hidden="1">#REF!,#REF!,#REF!,#REF!,#REF!,#REF!,#REF!,#REF!,#REF!,#REF!,#REF!,#REF!,#REF!,#REF!,#REF!,#REF!</definedName>
    <definedName name="__APW_RESTORE_DATA246__" localSheetId="2" hidden="1">#REF!,#REF!,#REF!,#REF!,#REF!,#REF!,#REF!,#REF!,#REF!,#REF!,#REF!,#REF!,#REF!,#REF!,#REF!,#REF!</definedName>
    <definedName name="__APW_RESTORE_DATA246__" hidden="1">#REF!,#REF!,#REF!,#REF!,#REF!,#REF!,#REF!,#REF!,#REF!,#REF!,#REF!,#REF!,#REF!,#REF!,#REF!,#REF!</definedName>
    <definedName name="__APW_RESTORE_DATA247__" localSheetId="2" hidden="1">#REF!,#REF!,#REF!,#REF!,#REF!,#REF!,#REF!,#REF!,#REF!,#REF!,#REF!,#REF!,#REF!,#REF!,#REF!,#REF!</definedName>
    <definedName name="__APW_RESTORE_DATA247__" hidden="1">#REF!,#REF!,#REF!,#REF!,#REF!,#REF!,#REF!,#REF!,#REF!,#REF!,#REF!,#REF!,#REF!,#REF!,#REF!,#REF!</definedName>
    <definedName name="__APW_RESTORE_DATA248__" localSheetId="2" hidden="1">#REF!,#REF!,#REF!,#REF!,#REF!,#REF!,#REF!,#REF!,#REF!,#REF!,#REF!,#REF!,#REF!,#REF!,#REF!,#REF!</definedName>
    <definedName name="__APW_RESTORE_DATA248__" hidden="1">#REF!,#REF!,#REF!,#REF!,#REF!,#REF!,#REF!,#REF!,#REF!,#REF!,#REF!,#REF!,#REF!,#REF!,#REF!,#REF!</definedName>
    <definedName name="__APW_RESTORE_DATA249__" localSheetId="6" hidden="1">#REF!,#REF!,#REF!,#REF!,#REF!,#REF!,#REF!,#REF!,#REF!,#REF!,#REF!,#REF!,#REF!,#REF!,#REF!</definedName>
    <definedName name="__APW_RESTORE_DATA249__" localSheetId="9" hidden="1">#REF!,#REF!,#REF!,#REF!,#REF!,#REF!,#REF!,#REF!,#REF!,#REF!,#REF!,#REF!,#REF!,#REF!,#REF!</definedName>
    <definedName name="__APW_RESTORE_DATA249__" localSheetId="2" hidden="1">#REF!,#REF!,#REF!,#REF!,#REF!,#REF!,#REF!,#REF!,#REF!,#REF!,#REF!,#REF!,#REF!,#REF!,#REF!</definedName>
    <definedName name="__APW_RESTORE_DATA249__" hidden="1">#REF!,#REF!,#REF!,#REF!,#REF!,#REF!,#REF!,#REF!,#REF!,#REF!,#REF!,#REF!,#REF!,#REF!,#REF!</definedName>
    <definedName name="__APW_RESTORE_DATA25__" localSheetId="6" hidden="1">#REF!,#REF!,#REF!,#REF!,#REF!,#REF!,#REF!,#REF!,#REF!,#REF!,#REF!,#REF!,#REF!,#REF!,#REF!,#REF!</definedName>
    <definedName name="__APW_RESTORE_DATA25__" localSheetId="9" hidden="1">#REF!,#REF!,#REF!,#REF!,#REF!,#REF!,#REF!,#REF!,#REF!,#REF!,#REF!,#REF!,#REF!,#REF!,#REF!,#REF!</definedName>
    <definedName name="__APW_RESTORE_DATA25__" localSheetId="2" hidden="1">#REF!,#REF!,#REF!,#REF!,#REF!,#REF!,#REF!,#REF!,#REF!,#REF!,#REF!,#REF!,#REF!,#REF!,#REF!,#REF!</definedName>
    <definedName name="__APW_RESTORE_DATA25__" hidden="1">#REF!,#REF!,#REF!,#REF!,#REF!,#REF!,#REF!,#REF!,#REF!,#REF!,#REF!,#REF!,#REF!,#REF!,#REF!,#REF!</definedName>
    <definedName name="__APW_RESTORE_DATA250__" localSheetId="6" hidden="1">#REF!,#REF!,#REF!,#REF!,#REF!,#REF!,#REF!,#REF!,#REF!,#REF!,#REF!,#REF!,#REF!,#REF!,#REF!</definedName>
    <definedName name="__APW_RESTORE_DATA250__" localSheetId="9" hidden="1">#REF!,#REF!,#REF!,#REF!,#REF!,#REF!,#REF!,#REF!,#REF!,#REF!,#REF!,#REF!,#REF!,#REF!,#REF!</definedName>
    <definedName name="__APW_RESTORE_DATA250__" localSheetId="2" hidden="1">#REF!,#REF!,#REF!,#REF!,#REF!,#REF!,#REF!,#REF!,#REF!,#REF!,#REF!,#REF!,#REF!,#REF!,#REF!</definedName>
    <definedName name="__APW_RESTORE_DATA250__" hidden="1">#REF!,#REF!,#REF!,#REF!,#REF!,#REF!,#REF!,#REF!,#REF!,#REF!,#REF!,#REF!,#REF!,#REF!,#REF!</definedName>
    <definedName name="__APW_RESTORE_DATA251__" localSheetId="6" hidden="1">#REF!,#REF!,#REF!,#REF!,#REF!,#REF!,#REF!,#REF!,#REF!,#REF!,#REF!,#REF!,#REF!,#REF!,#REF!</definedName>
    <definedName name="__APW_RESTORE_DATA251__" localSheetId="9" hidden="1">#REF!,#REF!,#REF!,#REF!,#REF!,#REF!,#REF!,#REF!,#REF!,#REF!,#REF!,#REF!,#REF!,#REF!,#REF!</definedName>
    <definedName name="__APW_RESTORE_DATA251__" localSheetId="2" hidden="1">#REF!,#REF!,#REF!,#REF!,#REF!,#REF!,#REF!,#REF!,#REF!,#REF!,#REF!,#REF!,#REF!,#REF!,#REF!</definedName>
    <definedName name="__APW_RESTORE_DATA251__" hidden="1">#REF!,#REF!,#REF!,#REF!,#REF!,#REF!,#REF!,#REF!,#REF!,#REF!,#REF!,#REF!,#REF!,#REF!,#REF!</definedName>
    <definedName name="__APW_RESTORE_DATA252__" localSheetId="6" hidden="1">#REF!,#REF!,#REF!,#REF!,#REF!,#REF!,#REF!,#REF!,#REF!,#REF!,#REF!,#REF!,#REF!,#REF!,#REF!</definedName>
    <definedName name="__APW_RESTORE_DATA252__" localSheetId="9" hidden="1">#REF!,#REF!,#REF!,#REF!,#REF!,#REF!,#REF!,#REF!,#REF!,#REF!,#REF!,#REF!,#REF!,#REF!,#REF!</definedName>
    <definedName name="__APW_RESTORE_DATA252__" localSheetId="2" hidden="1">#REF!,#REF!,#REF!,#REF!,#REF!,#REF!,#REF!,#REF!,#REF!,#REF!,#REF!,#REF!,#REF!,#REF!,#REF!</definedName>
    <definedName name="__APW_RESTORE_DATA252__" hidden="1">#REF!,#REF!,#REF!,#REF!,#REF!,#REF!,#REF!,#REF!,#REF!,#REF!,#REF!,#REF!,#REF!,#REF!,#REF!</definedName>
    <definedName name="__APW_RESTORE_DATA253__" localSheetId="6" hidden="1">#REF!,#REF!,#REF!,#REF!,#REF!,#REF!,#REF!,#REF!,#REF!,#REF!,#REF!,#REF!,#REF!,#REF!</definedName>
    <definedName name="__APW_RESTORE_DATA253__" localSheetId="9" hidden="1">#REF!,#REF!,#REF!,#REF!,#REF!,#REF!,#REF!,#REF!,#REF!,#REF!,#REF!,#REF!,#REF!,#REF!</definedName>
    <definedName name="__APW_RESTORE_DATA253__" localSheetId="2" hidden="1">#REF!,#REF!,#REF!,#REF!,#REF!,#REF!,#REF!,#REF!,#REF!,#REF!,#REF!,#REF!,#REF!,#REF!</definedName>
    <definedName name="__APW_RESTORE_DATA253__" hidden="1">#REF!,#REF!,#REF!,#REF!,#REF!,#REF!,#REF!,#REF!,#REF!,#REF!,#REF!,#REF!,#REF!,#REF!</definedName>
    <definedName name="__APW_RESTORE_DATA254__" localSheetId="6" hidden="1">#REF!,#REF!,#REF!,#REF!,#REF!,#REF!,#REF!,#REF!,#REF!,#REF!,#REF!,#REF!,#REF!,#REF!,#REF!,#REF!,#REF!</definedName>
    <definedName name="__APW_RESTORE_DATA254__" localSheetId="9" hidden="1">#REF!,#REF!,#REF!,#REF!,#REF!,#REF!,#REF!,#REF!,#REF!,#REF!,#REF!,#REF!,#REF!,#REF!,#REF!,#REF!,#REF!</definedName>
    <definedName name="__APW_RESTORE_DATA254__" localSheetId="2" hidden="1">#REF!,#REF!,#REF!,#REF!,#REF!,#REF!,#REF!,#REF!,#REF!,#REF!,#REF!,#REF!,#REF!,#REF!,#REF!,#REF!,#REF!</definedName>
    <definedName name="__APW_RESTORE_DATA254__" hidden="1">#REF!,#REF!,#REF!,#REF!,#REF!,#REF!,#REF!,#REF!,#REF!,#REF!,#REF!,#REF!,#REF!,#REF!,#REF!,#REF!,#REF!</definedName>
    <definedName name="__APW_RESTORE_DATA255__" localSheetId="6" hidden="1">#REF!,#REF!,#REF!,#REF!,#REF!,#REF!,#REF!,#REF!,#REF!,#REF!,#REF!,#REF!,#REF!,#REF!,#REF!,#REF!</definedName>
    <definedName name="__APW_RESTORE_DATA255__" localSheetId="9" hidden="1">#REF!,#REF!,#REF!,#REF!,#REF!,#REF!,#REF!,#REF!,#REF!,#REF!,#REF!,#REF!,#REF!,#REF!,#REF!,#REF!</definedName>
    <definedName name="__APW_RESTORE_DATA255__" localSheetId="2" hidden="1">#REF!,#REF!,#REF!,#REF!,#REF!,#REF!,#REF!,#REF!,#REF!,#REF!,#REF!,#REF!,#REF!,#REF!,#REF!,#REF!</definedName>
    <definedName name="__APW_RESTORE_DATA255__" hidden="1">#REF!,#REF!,#REF!,#REF!,#REF!,#REF!,#REF!,#REF!,#REF!,#REF!,#REF!,#REF!,#REF!,#REF!,#REF!,#REF!</definedName>
    <definedName name="__APW_RESTORE_DATA256__" localSheetId="6" hidden="1">#REF!,#REF!,#REF!,#REF!,#REF!,#REF!,#REF!,#REF!,#REF!,#REF!,#REF!,#REF!,#REF!,#REF!,#REF!,#REF!</definedName>
    <definedName name="__APW_RESTORE_DATA256__" localSheetId="9" hidden="1">#REF!,#REF!,#REF!,#REF!,#REF!,#REF!,#REF!,#REF!,#REF!,#REF!,#REF!,#REF!,#REF!,#REF!,#REF!,#REF!</definedName>
    <definedName name="__APW_RESTORE_DATA256__" localSheetId="2" hidden="1">#REF!,#REF!,#REF!,#REF!,#REF!,#REF!,#REF!,#REF!,#REF!,#REF!,#REF!,#REF!,#REF!,#REF!,#REF!,#REF!</definedName>
    <definedName name="__APW_RESTORE_DATA256__" hidden="1">#REF!,#REF!,#REF!,#REF!,#REF!,#REF!,#REF!,#REF!,#REF!,#REF!,#REF!,#REF!,#REF!,#REF!,#REF!,#REF!</definedName>
    <definedName name="__APW_RESTORE_DATA257__" localSheetId="6" hidden="1">#REF!,#REF!,#REF!,#REF!,#REF!,#REF!,#REF!,#REF!,#REF!,#REF!,#REF!,#REF!,#REF!,#REF!,#REF!,#REF!</definedName>
    <definedName name="__APW_RESTORE_DATA257__" localSheetId="9" hidden="1">#REF!,#REF!,#REF!,#REF!,#REF!,#REF!,#REF!,#REF!,#REF!,#REF!,#REF!,#REF!,#REF!,#REF!,#REF!,#REF!</definedName>
    <definedName name="__APW_RESTORE_DATA257__" localSheetId="2" hidden="1">#REF!,#REF!,#REF!,#REF!,#REF!,#REF!,#REF!,#REF!,#REF!,#REF!,#REF!,#REF!,#REF!,#REF!,#REF!,#REF!</definedName>
    <definedName name="__APW_RESTORE_DATA257__" hidden="1">#REF!,#REF!,#REF!,#REF!,#REF!,#REF!,#REF!,#REF!,#REF!,#REF!,#REF!,#REF!,#REF!,#REF!,#REF!,#REF!</definedName>
    <definedName name="__APW_RESTORE_DATA258__" localSheetId="2" hidden="1">#REF!,#REF!,#REF!,#REF!,#REF!,#REF!,#REF!,#REF!,#REF!,#REF!,#REF!,#REF!,#REF!,#REF!,#REF!,#REF!</definedName>
    <definedName name="__APW_RESTORE_DATA258__" hidden="1">#REF!,#REF!,#REF!,#REF!,#REF!,#REF!,#REF!,#REF!,#REF!,#REF!,#REF!,#REF!,#REF!,#REF!,#REF!,#REF!</definedName>
    <definedName name="__APW_RESTORE_DATA259__" localSheetId="2" hidden="1">#REF!,#REF!,#REF!,#REF!,#REF!,#REF!,#REF!,#REF!,#REF!,#REF!,#REF!,#REF!,#REF!,#REF!,#REF!,#REF!</definedName>
    <definedName name="__APW_RESTORE_DATA259__" hidden="1">#REF!,#REF!,#REF!,#REF!,#REF!,#REF!,#REF!,#REF!,#REF!,#REF!,#REF!,#REF!,#REF!,#REF!,#REF!,#REF!</definedName>
    <definedName name="__APW_RESTORE_DATA26__" localSheetId="2" hidden="1">#REF!,#REF!,#REF!,#REF!,#REF!,#REF!,#REF!,#REF!,#REF!,#REF!,#REF!,#REF!,#REF!,#REF!,#REF!,#REF!</definedName>
    <definedName name="__APW_RESTORE_DATA26__" hidden="1">#REF!,#REF!,#REF!,#REF!,#REF!,#REF!,#REF!,#REF!,#REF!,#REF!,#REF!,#REF!,#REF!,#REF!,#REF!,#REF!</definedName>
    <definedName name="__APW_RESTORE_DATA260__" localSheetId="6" hidden="1">#REF!,#REF!,#REF!,#REF!,#REF!,#REF!,#REF!,#REF!,#REF!,#REF!,#REF!,#REF!,#REF!,#REF!,#REF!</definedName>
    <definedName name="__APW_RESTORE_DATA260__" localSheetId="9" hidden="1">#REF!,#REF!,#REF!,#REF!,#REF!,#REF!,#REF!,#REF!,#REF!,#REF!,#REF!,#REF!,#REF!,#REF!,#REF!</definedName>
    <definedName name="__APW_RESTORE_DATA260__" localSheetId="2" hidden="1">#REF!,#REF!,#REF!,#REF!,#REF!,#REF!,#REF!,#REF!,#REF!,#REF!,#REF!,#REF!,#REF!,#REF!,#REF!</definedName>
    <definedName name="__APW_RESTORE_DATA260__" hidden="1">#REF!,#REF!,#REF!,#REF!,#REF!,#REF!,#REF!,#REF!,#REF!,#REF!,#REF!,#REF!,#REF!,#REF!,#REF!</definedName>
    <definedName name="__APW_RESTORE_DATA261__" localSheetId="6" hidden="1">#REF!,#REF!,#REF!,#REF!,#REF!,#REF!,#REF!,#REF!,#REF!,#REF!,#REF!,#REF!,#REF!,#REF!,#REF!</definedName>
    <definedName name="__APW_RESTORE_DATA261__" localSheetId="9" hidden="1">#REF!,#REF!,#REF!,#REF!,#REF!,#REF!,#REF!,#REF!,#REF!,#REF!,#REF!,#REF!,#REF!,#REF!,#REF!</definedName>
    <definedName name="__APW_RESTORE_DATA261__" localSheetId="2" hidden="1">#REF!,#REF!,#REF!,#REF!,#REF!,#REF!,#REF!,#REF!,#REF!,#REF!,#REF!,#REF!,#REF!,#REF!,#REF!</definedName>
    <definedName name="__APW_RESTORE_DATA261__" hidden="1">#REF!,#REF!,#REF!,#REF!,#REF!,#REF!,#REF!,#REF!,#REF!,#REF!,#REF!,#REF!,#REF!,#REF!,#REF!</definedName>
    <definedName name="__APW_RESTORE_DATA262__" localSheetId="6" hidden="1">#REF!,#REF!,#REF!,#REF!,#REF!,#REF!,#REF!,#REF!,#REF!,#REF!,#REF!,#REF!,#REF!,#REF!,#REF!</definedName>
    <definedName name="__APW_RESTORE_DATA262__" localSheetId="9" hidden="1">#REF!,#REF!,#REF!,#REF!,#REF!,#REF!,#REF!,#REF!,#REF!,#REF!,#REF!,#REF!,#REF!,#REF!,#REF!</definedName>
    <definedName name="__APW_RESTORE_DATA262__" localSheetId="2" hidden="1">#REF!,#REF!,#REF!,#REF!,#REF!,#REF!,#REF!,#REF!,#REF!,#REF!,#REF!,#REF!,#REF!,#REF!,#REF!</definedName>
    <definedName name="__APW_RESTORE_DATA262__" hidden="1">#REF!,#REF!,#REF!,#REF!,#REF!,#REF!,#REF!,#REF!,#REF!,#REF!,#REF!,#REF!,#REF!,#REF!,#REF!</definedName>
    <definedName name="__APW_RESTORE_DATA263__" localSheetId="2" hidden="1">#REF!,#REF!,#REF!,#REF!,#REF!,#REF!,#REF!,#REF!,#REF!,#REF!,#REF!,#REF!,#REF!,#REF!,#REF!</definedName>
    <definedName name="__APW_RESTORE_DATA263__" hidden="1">#REF!,#REF!,#REF!,#REF!,#REF!,#REF!,#REF!,#REF!,#REF!,#REF!,#REF!,#REF!,#REF!,#REF!,#REF!</definedName>
    <definedName name="__APW_RESTORE_DATA264__" localSheetId="6" hidden="1">#REF!,#REF!,#REF!,#REF!,#REF!,#REF!,#REF!,#REF!,#REF!,#REF!,#REF!,#REF!,#REF!,#REF!</definedName>
    <definedName name="__APW_RESTORE_DATA264__" localSheetId="9" hidden="1">#REF!,#REF!,#REF!,#REF!,#REF!,#REF!,#REF!,#REF!,#REF!,#REF!,#REF!,#REF!,#REF!,#REF!</definedName>
    <definedName name="__APW_RESTORE_DATA264__" localSheetId="2" hidden="1">#REF!,#REF!,#REF!,#REF!,#REF!,#REF!,#REF!,#REF!,#REF!,#REF!,#REF!,#REF!,#REF!,#REF!</definedName>
    <definedName name="__APW_RESTORE_DATA264__" hidden="1">#REF!,#REF!,#REF!,#REF!,#REF!,#REF!,#REF!,#REF!,#REF!,#REF!,#REF!,#REF!,#REF!,#REF!</definedName>
    <definedName name="__APW_RESTORE_DATA265__" localSheetId="6" hidden="1">#REF!,#REF!,#REF!,#REF!,#REF!,#REF!,#REF!,#REF!,#REF!,#REF!,#REF!,#REF!,#REF!,#REF!,#REF!,#REF!,#REF!</definedName>
    <definedName name="__APW_RESTORE_DATA265__" localSheetId="9" hidden="1">#REF!,#REF!,#REF!,#REF!,#REF!,#REF!,#REF!,#REF!,#REF!,#REF!,#REF!,#REF!,#REF!,#REF!,#REF!,#REF!,#REF!</definedName>
    <definedName name="__APW_RESTORE_DATA265__" localSheetId="2" hidden="1">#REF!,#REF!,#REF!,#REF!,#REF!,#REF!,#REF!,#REF!,#REF!,#REF!,#REF!,#REF!,#REF!,#REF!,#REF!,#REF!,#REF!</definedName>
    <definedName name="__APW_RESTORE_DATA265__" hidden="1">#REF!,#REF!,#REF!,#REF!,#REF!,#REF!,#REF!,#REF!,#REF!,#REF!,#REF!,#REF!,#REF!,#REF!,#REF!,#REF!,#REF!</definedName>
    <definedName name="__APW_RESTORE_DATA266__" localSheetId="6" hidden="1">#REF!,#REF!,#REF!,#REF!,#REF!,#REF!,#REF!,#REF!,#REF!,#REF!,#REF!,#REF!,#REF!,#REF!,#REF!,#REF!</definedName>
    <definedName name="__APW_RESTORE_DATA266__" localSheetId="9" hidden="1">#REF!,#REF!,#REF!,#REF!,#REF!,#REF!,#REF!,#REF!,#REF!,#REF!,#REF!,#REF!,#REF!,#REF!,#REF!,#REF!</definedName>
    <definedName name="__APW_RESTORE_DATA266__" localSheetId="2" hidden="1">#REF!,#REF!,#REF!,#REF!,#REF!,#REF!,#REF!,#REF!,#REF!,#REF!,#REF!,#REF!,#REF!,#REF!,#REF!,#REF!</definedName>
    <definedName name="__APW_RESTORE_DATA266__" hidden="1">#REF!,#REF!,#REF!,#REF!,#REF!,#REF!,#REF!,#REF!,#REF!,#REF!,#REF!,#REF!,#REF!,#REF!,#REF!,#REF!</definedName>
    <definedName name="__APW_RESTORE_DATA267__" localSheetId="6" hidden="1">#REF!,#REF!,#REF!,#REF!,#REF!,#REF!,#REF!,#REF!,#REF!,#REF!,#REF!,#REF!,#REF!,#REF!,#REF!,#REF!</definedName>
    <definedName name="__APW_RESTORE_DATA267__" localSheetId="9" hidden="1">#REF!,#REF!,#REF!,#REF!,#REF!,#REF!,#REF!,#REF!,#REF!,#REF!,#REF!,#REF!,#REF!,#REF!,#REF!,#REF!</definedName>
    <definedName name="__APW_RESTORE_DATA267__" localSheetId="2" hidden="1">#REF!,#REF!,#REF!,#REF!,#REF!,#REF!,#REF!,#REF!,#REF!,#REF!,#REF!,#REF!,#REF!,#REF!,#REF!,#REF!</definedName>
    <definedName name="__APW_RESTORE_DATA267__" hidden="1">#REF!,#REF!,#REF!,#REF!,#REF!,#REF!,#REF!,#REF!,#REF!,#REF!,#REF!,#REF!,#REF!,#REF!,#REF!,#REF!</definedName>
    <definedName name="__APW_RESTORE_DATA268__" localSheetId="6" hidden="1">#REF!,#REF!,#REF!,#REF!,#REF!,#REF!,#REF!,#REF!,#REF!,#REF!,#REF!,#REF!,#REF!,#REF!,#REF!,#REF!</definedName>
    <definedName name="__APW_RESTORE_DATA268__" localSheetId="9" hidden="1">#REF!,#REF!,#REF!,#REF!,#REF!,#REF!,#REF!,#REF!,#REF!,#REF!,#REF!,#REF!,#REF!,#REF!,#REF!,#REF!</definedName>
    <definedName name="__APW_RESTORE_DATA268__" localSheetId="2" hidden="1">#REF!,#REF!,#REF!,#REF!,#REF!,#REF!,#REF!,#REF!,#REF!,#REF!,#REF!,#REF!,#REF!,#REF!,#REF!,#REF!</definedName>
    <definedName name="__APW_RESTORE_DATA268__" hidden="1">#REF!,#REF!,#REF!,#REF!,#REF!,#REF!,#REF!,#REF!,#REF!,#REF!,#REF!,#REF!,#REF!,#REF!,#REF!,#REF!</definedName>
    <definedName name="__APW_RESTORE_DATA269__" localSheetId="2" hidden="1">#REF!,#REF!,#REF!,#REF!,#REF!,#REF!,#REF!,#REF!,#REF!,#REF!,#REF!,#REF!,#REF!,#REF!,#REF!,#REF!</definedName>
    <definedName name="__APW_RESTORE_DATA269__" hidden="1">#REF!,#REF!,#REF!,#REF!,#REF!,#REF!,#REF!,#REF!,#REF!,#REF!,#REF!,#REF!,#REF!,#REF!,#REF!,#REF!</definedName>
    <definedName name="__APW_RESTORE_DATA27__" localSheetId="2" hidden="1">#REF!,#REF!,#REF!,#REF!,#REF!,#REF!,#REF!,#REF!,#REF!,#REF!,#REF!,#REF!,#REF!,#REF!,#REF!,#REF!</definedName>
    <definedName name="__APW_RESTORE_DATA27__" hidden="1">#REF!,#REF!,#REF!,#REF!,#REF!,#REF!,#REF!,#REF!,#REF!,#REF!,#REF!,#REF!,#REF!,#REF!,#REF!,#REF!</definedName>
    <definedName name="__APW_RESTORE_DATA270__" localSheetId="2" hidden="1">#REF!,#REF!,#REF!,#REF!,#REF!,#REF!,#REF!,#REF!,#REF!,#REF!,#REF!,#REF!,#REF!,#REF!,#REF!,#REF!</definedName>
    <definedName name="__APW_RESTORE_DATA270__" hidden="1">#REF!,#REF!,#REF!,#REF!,#REF!,#REF!,#REF!,#REF!,#REF!,#REF!,#REF!,#REF!,#REF!,#REF!,#REF!,#REF!</definedName>
    <definedName name="__APW_RESTORE_DATA271__" localSheetId="6" hidden="1">#REF!,#REF!,#REF!,#REF!,#REF!,#REF!,#REF!,#REF!,#REF!,#REF!,#REF!,#REF!,#REF!,#REF!,#REF!</definedName>
    <definedName name="__APW_RESTORE_DATA271__" localSheetId="9" hidden="1">#REF!,#REF!,#REF!,#REF!,#REF!,#REF!,#REF!,#REF!,#REF!,#REF!,#REF!,#REF!,#REF!,#REF!,#REF!</definedName>
    <definedName name="__APW_RESTORE_DATA271__" localSheetId="2" hidden="1">#REF!,#REF!,#REF!,#REF!,#REF!,#REF!,#REF!,#REF!,#REF!,#REF!,#REF!,#REF!,#REF!,#REF!,#REF!</definedName>
    <definedName name="__APW_RESTORE_DATA271__" hidden="1">#REF!,#REF!,#REF!,#REF!,#REF!,#REF!,#REF!,#REF!,#REF!,#REF!,#REF!,#REF!,#REF!,#REF!,#REF!</definedName>
    <definedName name="__APW_RESTORE_DATA272__" localSheetId="6" hidden="1">#REF!,#REF!,#REF!,#REF!,#REF!,#REF!,#REF!,#REF!,#REF!,#REF!,#REF!,#REF!,#REF!,#REF!,#REF!</definedName>
    <definedName name="__APW_RESTORE_DATA272__" localSheetId="9" hidden="1">#REF!,#REF!,#REF!,#REF!,#REF!,#REF!,#REF!,#REF!,#REF!,#REF!,#REF!,#REF!,#REF!,#REF!,#REF!</definedName>
    <definedName name="__APW_RESTORE_DATA272__" localSheetId="2" hidden="1">#REF!,#REF!,#REF!,#REF!,#REF!,#REF!,#REF!,#REF!,#REF!,#REF!,#REF!,#REF!,#REF!,#REF!,#REF!</definedName>
    <definedName name="__APW_RESTORE_DATA272__" hidden="1">#REF!,#REF!,#REF!,#REF!,#REF!,#REF!,#REF!,#REF!,#REF!,#REF!,#REF!,#REF!,#REF!,#REF!,#REF!</definedName>
    <definedName name="__APW_RESTORE_DATA273__" localSheetId="6" hidden="1">#REF!,#REF!,#REF!,#REF!,#REF!,#REF!,#REF!,#REF!,#REF!,#REF!,#REF!,#REF!,#REF!,#REF!,#REF!</definedName>
    <definedName name="__APW_RESTORE_DATA273__" localSheetId="9" hidden="1">#REF!,#REF!,#REF!,#REF!,#REF!,#REF!,#REF!,#REF!,#REF!,#REF!,#REF!,#REF!,#REF!,#REF!,#REF!</definedName>
    <definedName name="__APW_RESTORE_DATA273__" localSheetId="2" hidden="1">#REF!,#REF!,#REF!,#REF!,#REF!,#REF!,#REF!,#REF!,#REF!,#REF!,#REF!,#REF!,#REF!,#REF!,#REF!</definedName>
    <definedName name="__APW_RESTORE_DATA273__" hidden="1">#REF!,#REF!,#REF!,#REF!,#REF!,#REF!,#REF!,#REF!,#REF!,#REF!,#REF!,#REF!,#REF!,#REF!,#REF!</definedName>
    <definedName name="__APW_RESTORE_DATA274__" localSheetId="2" hidden="1">#REF!,#REF!,#REF!,#REF!,#REF!,#REF!,#REF!,#REF!,#REF!,#REF!,#REF!,#REF!,#REF!,#REF!,#REF!</definedName>
    <definedName name="__APW_RESTORE_DATA274__" hidden="1">#REF!,#REF!,#REF!,#REF!,#REF!,#REF!,#REF!,#REF!,#REF!,#REF!,#REF!,#REF!,#REF!,#REF!,#REF!</definedName>
    <definedName name="__APW_RESTORE_DATA275__" localSheetId="6" hidden="1">#REF!,#REF!,#REF!,#REF!,#REF!,#REF!,#REF!,#REF!,#REF!,#REF!,#REF!,#REF!,#REF!,#REF!</definedName>
    <definedName name="__APW_RESTORE_DATA275__" localSheetId="9" hidden="1">#REF!,#REF!,#REF!,#REF!,#REF!,#REF!,#REF!,#REF!,#REF!,#REF!,#REF!,#REF!,#REF!,#REF!</definedName>
    <definedName name="__APW_RESTORE_DATA275__" localSheetId="2" hidden="1">#REF!,#REF!,#REF!,#REF!,#REF!,#REF!,#REF!,#REF!,#REF!,#REF!,#REF!,#REF!,#REF!,#REF!</definedName>
    <definedName name="__APW_RESTORE_DATA275__" hidden="1">#REF!,#REF!,#REF!,#REF!,#REF!,#REF!,#REF!,#REF!,#REF!,#REF!,#REF!,#REF!,#REF!,#REF!</definedName>
    <definedName name="__APW_RESTORE_DATA276__" localSheetId="6" hidden="1">#REF!,#REF!,#REF!,#REF!,#REF!,#REF!,#REF!,#REF!,#REF!,#REF!,#REF!,#REF!,#REF!,#REF!,#REF!,#REF!,#REF!</definedName>
    <definedName name="__APW_RESTORE_DATA276__" localSheetId="9" hidden="1">#REF!,#REF!,#REF!,#REF!,#REF!,#REF!,#REF!,#REF!,#REF!,#REF!,#REF!,#REF!,#REF!,#REF!,#REF!,#REF!,#REF!</definedName>
    <definedName name="__APW_RESTORE_DATA276__" localSheetId="2" hidden="1">#REF!,#REF!,#REF!,#REF!,#REF!,#REF!,#REF!,#REF!,#REF!,#REF!,#REF!,#REF!,#REF!,#REF!,#REF!,#REF!,#REF!</definedName>
    <definedName name="__APW_RESTORE_DATA276__" hidden="1">#REF!,#REF!,#REF!,#REF!,#REF!,#REF!,#REF!,#REF!,#REF!,#REF!,#REF!,#REF!,#REF!,#REF!,#REF!,#REF!,#REF!</definedName>
    <definedName name="__APW_RESTORE_DATA277__" localSheetId="6" hidden="1">#REF!,#REF!,#REF!,#REF!,#REF!,#REF!,#REF!,#REF!,#REF!,#REF!,#REF!,#REF!,#REF!,#REF!,#REF!,#REF!</definedName>
    <definedName name="__APW_RESTORE_DATA277__" localSheetId="9" hidden="1">#REF!,#REF!,#REF!,#REF!,#REF!,#REF!,#REF!,#REF!,#REF!,#REF!,#REF!,#REF!,#REF!,#REF!,#REF!,#REF!</definedName>
    <definedName name="__APW_RESTORE_DATA277__" localSheetId="2" hidden="1">#REF!,#REF!,#REF!,#REF!,#REF!,#REF!,#REF!,#REF!,#REF!,#REF!,#REF!,#REF!,#REF!,#REF!,#REF!,#REF!</definedName>
    <definedName name="__APW_RESTORE_DATA277__" hidden="1">#REF!,#REF!,#REF!,#REF!,#REF!,#REF!,#REF!,#REF!,#REF!,#REF!,#REF!,#REF!,#REF!,#REF!,#REF!,#REF!</definedName>
    <definedName name="__APW_RESTORE_DATA278__" localSheetId="6" hidden="1">#REF!,#REF!,#REF!,#REF!,#REF!,#REF!,#REF!,#REF!,#REF!,#REF!,#REF!,#REF!,#REF!,#REF!,#REF!,#REF!</definedName>
    <definedName name="__APW_RESTORE_DATA278__" localSheetId="9" hidden="1">#REF!,#REF!,#REF!,#REF!,#REF!,#REF!,#REF!,#REF!,#REF!,#REF!,#REF!,#REF!,#REF!,#REF!,#REF!,#REF!</definedName>
    <definedName name="__APW_RESTORE_DATA278__" localSheetId="2" hidden="1">#REF!,#REF!,#REF!,#REF!,#REF!,#REF!,#REF!,#REF!,#REF!,#REF!,#REF!,#REF!,#REF!,#REF!,#REF!,#REF!</definedName>
    <definedName name="__APW_RESTORE_DATA278__" hidden="1">#REF!,#REF!,#REF!,#REF!,#REF!,#REF!,#REF!,#REF!,#REF!,#REF!,#REF!,#REF!,#REF!,#REF!,#REF!,#REF!</definedName>
    <definedName name="__APW_RESTORE_DATA279__" localSheetId="6" hidden="1">#REF!,#REF!,#REF!,#REF!,#REF!,#REF!,#REF!,#REF!,#REF!,#REF!,#REF!,#REF!,#REF!,#REF!,#REF!,#REF!</definedName>
    <definedName name="__APW_RESTORE_DATA279__" localSheetId="9" hidden="1">#REF!,#REF!,#REF!,#REF!,#REF!,#REF!,#REF!,#REF!,#REF!,#REF!,#REF!,#REF!,#REF!,#REF!,#REF!,#REF!</definedName>
    <definedName name="__APW_RESTORE_DATA279__" localSheetId="2" hidden="1">#REF!,#REF!,#REF!,#REF!,#REF!,#REF!,#REF!,#REF!,#REF!,#REF!,#REF!,#REF!,#REF!,#REF!,#REF!,#REF!</definedName>
    <definedName name="__APW_RESTORE_DATA279__" hidden="1">#REF!,#REF!,#REF!,#REF!,#REF!,#REF!,#REF!,#REF!,#REF!,#REF!,#REF!,#REF!,#REF!,#REF!,#REF!,#REF!</definedName>
    <definedName name="__APW_RESTORE_DATA28__" localSheetId="2" hidden="1">#REF!,#REF!,#REF!,#REF!,#REF!,#REF!,#REF!,#REF!,#REF!,#REF!,#REF!,#REF!,#REF!,#REF!,#REF!,#REF!</definedName>
    <definedName name="__APW_RESTORE_DATA28__" hidden="1">#REF!,#REF!,#REF!,#REF!,#REF!,#REF!,#REF!,#REF!,#REF!,#REF!,#REF!,#REF!,#REF!,#REF!,#REF!,#REF!</definedName>
    <definedName name="__APW_RESTORE_DATA280__" localSheetId="2" hidden="1">#REF!,#REF!,#REF!,#REF!,#REF!,#REF!,#REF!,#REF!,#REF!,#REF!,#REF!,#REF!,#REF!,#REF!,#REF!,#REF!</definedName>
    <definedName name="__APW_RESTORE_DATA280__" hidden="1">#REF!,#REF!,#REF!,#REF!,#REF!,#REF!,#REF!,#REF!,#REF!,#REF!,#REF!,#REF!,#REF!,#REF!,#REF!,#REF!</definedName>
    <definedName name="__APW_RESTORE_DATA281__" localSheetId="2" hidden="1">#REF!,#REF!,#REF!,#REF!,#REF!,#REF!,#REF!,#REF!,#REF!,#REF!,#REF!,#REF!,#REF!,#REF!,#REF!,#REF!</definedName>
    <definedName name="__APW_RESTORE_DATA281__" hidden="1">#REF!,#REF!,#REF!,#REF!,#REF!,#REF!,#REF!,#REF!,#REF!,#REF!,#REF!,#REF!,#REF!,#REF!,#REF!,#REF!</definedName>
    <definedName name="__APW_RESTORE_DATA282__" localSheetId="6" hidden="1">#REF!,#REF!,#REF!,#REF!,#REF!,#REF!,#REF!,#REF!,#REF!,#REF!,#REF!,#REF!,#REF!,#REF!,#REF!</definedName>
    <definedName name="__APW_RESTORE_DATA282__" localSheetId="9" hidden="1">#REF!,#REF!,#REF!,#REF!,#REF!,#REF!,#REF!,#REF!,#REF!,#REF!,#REF!,#REF!,#REF!,#REF!,#REF!</definedName>
    <definedName name="__APW_RESTORE_DATA282__" localSheetId="2" hidden="1">#REF!,#REF!,#REF!,#REF!,#REF!,#REF!,#REF!,#REF!,#REF!,#REF!,#REF!,#REF!,#REF!,#REF!,#REF!</definedName>
    <definedName name="__APW_RESTORE_DATA282__" hidden="1">#REF!,#REF!,#REF!,#REF!,#REF!,#REF!,#REF!,#REF!,#REF!,#REF!,#REF!,#REF!,#REF!,#REF!,#REF!</definedName>
    <definedName name="__APW_RESTORE_DATA283__" localSheetId="6" hidden="1">#REF!,#REF!,#REF!,#REF!,#REF!,#REF!,#REF!,#REF!,#REF!,#REF!,#REF!,#REF!,#REF!,#REF!,#REF!</definedName>
    <definedName name="__APW_RESTORE_DATA283__" localSheetId="9" hidden="1">#REF!,#REF!,#REF!,#REF!,#REF!,#REF!,#REF!,#REF!,#REF!,#REF!,#REF!,#REF!,#REF!,#REF!,#REF!</definedName>
    <definedName name="__APW_RESTORE_DATA283__" localSheetId="2" hidden="1">#REF!,#REF!,#REF!,#REF!,#REF!,#REF!,#REF!,#REF!,#REF!,#REF!,#REF!,#REF!,#REF!,#REF!,#REF!</definedName>
    <definedName name="__APW_RESTORE_DATA283__" hidden="1">#REF!,#REF!,#REF!,#REF!,#REF!,#REF!,#REF!,#REF!,#REF!,#REF!,#REF!,#REF!,#REF!,#REF!,#REF!</definedName>
    <definedName name="__APW_RESTORE_DATA284__" localSheetId="6" hidden="1">#REF!,#REF!,#REF!,#REF!,#REF!,#REF!,#REF!,#REF!,#REF!,#REF!,#REF!,#REF!,#REF!,#REF!,#REF!</definedName>
    <definedName name="__APW_RESTORE_DATA284__" localSheetId="9" hidden="1">#REF!,#REF!,#REF!,#REF!,#REF!,#REF!,#REF!,#REF!,#REF!,#REF!,#REF!,#REF!,#REF!,#REF!,#REF!</definedName>
    <definedName name="__APW_RESTORE_DATA284__" localSheetId="2" hidden="1">#REF!,#REF!,#REF!,#REF!,#REF!,#REF!,#REF!,#REF!,#REF!,#REF!,#REF!,#REF!,#REF!,#REF!,#REF!</definedName>
    <definedName name="__APW_RESTORE_DATA284__" hidden="1">#REF!,#REF!,#REF!,#REF!,#REF!,#REF!,#REF!,#REF!,#REF!,#REF!,#REF!,#REF!,#REF!,#REF!,#REF!</definedName>
    <definedName name="__APW_RESTORE_DATA285__" localSheetId="2" hidden="1">#REF!,#REF!,#REF!,#REF!,#REF!,#REF!,#REF!,#REF!,#REF!,#REF!,#REF!,#REF!,#REF!,#REF!,#REF!</definedName>
    <definedName name="__APW_RESTORE_DATA285__" hidden="1">#REF!,#REF!,#REF!,#REF!,#REF!,#REF!,#REF!,#REF!,#REF!,#REF!,#REF!,#REF!,#REF!,#REF!,#REF!</definedName>
    <definedName name="__APW_RESTORE_DATA286__" localSheetId="6" hidden="1">#REF!,#REF!,#REF!,#REF!,#REF!,#REF!,#REF!,#REF!,#REF!,#REF!,#REF!,#REF!,#REF!,#REF!</definedName>
    <definedName name="__APW_RESTORE_DATA286__" localSheetId="9" hidden="1">#REF!,#REF!,#REF!,#REF!,#REF!,#REF!,#REF!,#REF!,#REF!,#REF!,#REF!,#REF!,#REF!,#REF!</definedName>
    <definedName name="__APW_RESTORE_DATA286__" localSheetId="2" hidden="1">#REF!,#REF!,#REF!,#REF!,#REF!,#REF!,#REF!,#REF!,#REF!,#REF!,#REF!,#REF!,#REF!,#REF!</definedName>
    <definedName name="__APW_RESTORE_DATA286__" hidden="1">#REF!,#REF!,#REF!,#REF!,#REF!,#REF!,#REF!,#REF!,#REF!,#REF!,#REF!,#REF!,#REF!,#REF!</definedName>
    <definedName name="__APW_RESTORE_DATA287__" localSheetId="6" hidden="1">#REF!,#REF!,#REF!,#REF!,#REF!,#REF!,#REF!,#REF!,#REF!,#REF!,#REF!,#REF!,#REF!,#REF!,#REF!,#REF!,#REF!</definedName>
    <definedName name="__APW_RESTORE_DATA287__" localSheetId="9" hidden="1">#REF!,#REF!,#REF!,#REF!,#REF!,#REF!,#REF!,#REF!,#REF!,#REF!,#REF!,#REF!,#REF!,#REF!,#REF!,#REF!,#REF!</definedName>
    <definedName name="__APW_RESTORE_DATA287__" localSheetId="2" hidden="1">#REF!,#REF!,#REF!,#REF!,#REF!,#REF!,#REF!,#REF!,#REF!,#REF!,#REF!,#REF!,#REF!,#REF!,#REF!,#REF!,#REF!</definedName>
    <definedName name="__APW_RESTORE_DATA287__" hidden="1">#REF!,#REF!,#REF!,#REF!,#REF!,#REF!,#REF!,#REF!,#REF!,#REF!,#REF!,#REF!,#REF!,#REF!,#REF!,#REF!,#REF!</definedName>
    <definedName name="__APW_RESTORE_DATA288__" localSheetId="6" hidden="1">#REF!,#REF!,#REF!,#REF!,#REF!,#REF!,#REF!,#REF!,#REF!,#REF!,#REF!,#REF!,#REF!,#REF!,#REF!,#REF!</definedName>
    <definedName name="__APW_RESTORE_DATA288__" localSheetId="9" hidden="1">#REF!,#REF!,#REF!,#REF!,#REF!,#REF!,#REF!,#REF!,#REF!,#REF!,#REF!,#REF!,#REF!,#REF!,#REF!,#REF!</definedName>
    <definedName name="__APW_RESTORE_DATA288__" localSheetId="2" hidden="1">#REF!,#REF!,#REF!,#REF!,#REF!,#REF!,#REF!,#REF!,#REF!,#REF!,#REF!,#REF!,#REF!,#REF!,#REF!,#REF!</definedName>
    <definedName name="__APW_RESTORE_DATA288__" hidden="1">#REF!,#REF!,#REF!,#REF!,#REF!,#REF!,#REF!,#REF!,#REF!,#REF!,#REF!,#REF!,#REF!,#REF!,#REF!,#REF!</definedName>
    <definedName name="__APW_RESTORE_DATA289__" localSheetId="6" hidden="1">#REF!,#REF!,#REF!,#REF!,#REF!,#REF!,#REF!,#REF!,#REF!,#REF!,#REF!,#REF!,#REF!,#REF!,#REF!,#REF!</definedName>
    <definedName name="__APW_RESTORE_DATA289__" localSheetId="9" hidden="1">#REF!,#REF!,#REF!,#REF!,#REF!,#REF!,#REF!,#REF!,#REF!,#REF!,#REF!,#REF!,#REF!,#REF!,#REF!,#REF!</definedName>
    <definedName name="__APW_RESTORE_DATA289__" localSheetId="2" hidden="1">#REF!,#REF!,#REF!,#REF!,#REF!,#REF!,#REF!,#REF!,#REF!,#REF!,#REF!,#REF!,#REF!,#REF!,#REF!,#REF!</definedName>
    <definedName name="__APW_RESTORE_DATA289__" hidden="1">#REF!,#REF!,#REF!,#REF!,#REF!,#REF!,#REF!,#REF!,#REF!,#REF!,#REF!,#REF!,#REF!,#REF!,#REF!,#REF!</definedName>
    <definedName name="__APW_RESTORE_DATA29__" localSheetId="6" hidden="1">#REF!,#REF!,#REF!,#REF!,#REF!,#REF!,#REF!,#REF!,#REF!,#REF!,#REF!,#REF!,#REF!,#REF!,#REF!,#REF!</definedName>
    <definedName name="__APW_RESTORE_DATA29__" localSheetId="9" hidden="1">#REF!,#REF!,#REF!,#REF!,#REF!,#REF!,#REF!,#REF!,#REF!,#REF!,#REF!,#REF!,#REF!,#REF!,#REF!,#REF!</definedName>
    <definedName name="__APW_RESTORE_DATA29__" localSheetId="2" hidden="1">#REF!,#REF!,#REF!,#REF!,#REF!,#REF!,#REF!,#REF!,#REF!,#REF!,#REF!,#REF!,#REF!,#REF!,#REF!,#REF!</definedName>
    <definedName name="__APW_RESTORE_DATA29__" hidden="1">#REF!,#REF!,#REF!,#REF!,#REF!,#REF!,#REF!,#REF!,#REF!,#REF!,#REF!,#REF!,#REF!,#REF!,#REF!,#REF!</definedName>
    <definedName name="__APW_RESTORE_DATA290__" localSheetId="2" hidden="1">#REF!,#REF!,#REF!,#REF!,#REF!,#REF!,#REF!,#REF!,#REF!,#REF!,#REF!,#REF!,#REF!,#REF!,#REF!,#REF!</definedName>
    <definedName name="__APW_RESTORE_DATA290__" hidden="1">#REF!,#REF!,#REF!,#REF!,#REF!,#REF!,#REF!,#REF!,#REF!,#REF!,#REF!,#REF!,#REF!,#REF!,#REF!,#REF!</definedName>
    <definedName name="__APW_RESTORE_DATA291__" localSheetId="2" hidden="1">#REF!,#REF!,#REF!,#REF!,#REF!,#REF!,#REF!,#REF!,#REF!,#REF!,#REF!,#REF!,#REF!,#REF!,#REF!,#REF!</definedName>
    <definedName name="__APW_RESTORE_DATA291__" hidden="1">#REF!,#REF!,#REF!,#REF!,#REF!,#REF!,#REF!,#REF!,#REF!,#REF!,#REF!,#REF!,#REF!,#REF!,#REF!,#REF!</definedName>
    <definedName name="__APW_RESTORE_DATA292__" localSheetId="2" hidden="1">#REF!,#REF!,#REF!,#REF!,#REF!,#REF!,#REF!,#REF!,#REF!,#REF!,#REF!,#REF!,#REF!,#REF!,#REF!,#REF!</definedName>
    <definedName name="__APW_RESTORE_DATA292__" hidden="1">#REF!,#REF!,#REF!,#REF!,#REF!,#REF!,#REF!,#REF!,#REF!,#REF!,#REF!,#REF!,#REF!,#REF!,#REF!,#REF!</definedName>
    <definedName name="__APW_RESTORE_DATA293__" localSheetId="6" hidden="1">#REF!,#REF!,#REF!,#REF!,#REF!,#REF!,#REF!,#REF!,#REF!,#REF!,#REF!,#REF!,#REF!,#REF!,#REF!</definedName>
    <definedName name="__APW_RESTORE_DATA293__" localSheetId="9" hidden="1">#REF!,#REF!,#REF!,#REF!,#REF!,#REF!,#REF!,#REF!,#REF!,#REF!,#REF!,#REF!,#REF!,#REF!,#REF!</definedName>
    <definedName name="__APW_RESTORE_DATA293__" localSheetId="2" hidden="1">#REF!,#REF!,#REF!,#REF!,#REF!,#REF!,#REF!,#REF!,#REF!,#REF!,#REF!,#REF!,#REF!,#REF!,#REF!</definedName>
    <definedName name="__APW_RESTORE_DATA293__" hidden="1">#REF!,#REF!,#REF!,#REF!,#REF!,#REF!,#REF!,#REF!,#REF!,#REF!,#REF!,#REF!,#REF!,#REF!,#REF!</definedName>
    <definedName name="__APW_RESTORE_DATA294__" localSheetId="6" hidden="1">#REF!,#REF!,#REF!,#REF!,#REF!,#REF!,#REF!,#REF!,#REF!,#REF!,#REF!,#REF!,#REF!,#REF!,#REF!</definedName>
    <definedName name="__APW_RESTORE_DATA294__" localSheetId="9" hidden="1">#REF!,#REF!,#REF!,#REF!,#REF!,#REF!,#REF!,#REF!,#REF!,#REF!,#REF!,#REF!,#REF!,#REF!,#REF!</definedName>
    <definedName name="__APW_RESTORE_DATA294__" localSheetId="2" hidden="1">#REF!,#REF!,#REF!,#REF!,#REF!,#REF!,#REF!,#REF!,#REF!,#REF!,#REF!,#REF!,#REF!,#REF!,#REF!</definedName>
    <definedName name="__APW_RESTORE_DATA294__" hidden="1">#REF!,#REF!,#REF!,#REF!,#REF!,#REF!,#REF!,#REF!,#REF!,#REF!,#REF!,#REF!,#REF!,#REF!,#REF!</definedName>
    <definedName name="__APW_RESTORE_DATA295__" localSheetId="6" hidden="1">#REF!,#REF!,#REF!,#REF!,#REF!,#REF!,#REF!,#REF!,#REF!,#REF!,#REF!,#REF!,#REF!,#REF!,#REF!</definedName>
    <definedName name="__APW_RESTORE_DATA295__" localSheetId="9" hidden="1">#REF!,#REF!,#REF!,#REF!,#REF!,#REF!,#REF!,#REF!,#REF!,#REF!,#REF!,#REF!,#REF!,#REF!,#REF!</definedName>
    <definedName name="__APW_RESTORE_DATA295__" localSheetId="2" hidden="1">#REF!,#REF!,#REF!,#REF!,#REF!,#REF!,#REF!,#REF!,#REF!,#REF!,#REF!,#REF!,#REF!,#REF!,#REF!</definedName>
    <definedName name="__APW_RESTORE_DATA295__" hidden="1">#REF!,#REF!,#REF!,#REF!,#REF!,#REF!,#REF!,#REF!,#REF!,#REF!,#REF!,#REF!,#REF!,#REF!,#REF!</definedName>
    <definedName name="__APW_RESTORE_DATA296__" localSheetId="2" hidden="1">#REF!,#REF!,#REF!,#REF!,#REF!,#REF!,#REF!,#REF!,#REF!,#REF!,#REF!,#REF!,#REF!,#REF!,#REF!</definedName>
    <definedName name="__APW_RESTORE_DATA296__" hidden="1">#REF!,#REF!,#REF!,#REF!,#REF!,#REF!,#REF!,#REF!,#REF!,#REF!,#REF!,#REF!,#REF!,#REF!,#REF!</definedName>
    <definedName name="__APW_RESTORE_DATA297__" localSheetId="6" hidden="1">#REF!,#REF!,#REF!,#REF!,#REF!,#REF!,#REF!,#REF!,#REF!,#REF!,#REF!,#REF!,#REF!,#REF!</definedName>
    <definedName name="__APW_RESTORE_DATA297__" localSheetId="9" hidden="1">#REF!,#REF!,#REF!,#REF!,#REF!,#REF!,#REF!,#REF!,#REF!,#REF!,#REF!,#REF!,#REF!,#REF!</definedName>
    <definedName name="__APW_RESTORE_DATA297__" localSheetId="2" hidden="1">#REF!,#REF!,#REF!,#REF!,#REF!,#REF!,#REF!,#REF!,#REF!,#REF!,#REF!,#REF!,#REF!,#REF!</definedName>
    <definedName name="__APW_RESTORE_DATA297__" hidden="1">#REF!,#REF!,#REF!,#REF!,#REF!,#REF!,#REF!,#REF!,#REF!,#REF!,#REF!,#REF!,#REF!,#REF!</definedName>
    <definedName name="__APW_RESTORE_DATA298__" localSheetId="6" hidden="1">#REF!,#REF!,#REF!,#REF!,#REF!,#REF!,#REF!,#REF!,#REF!,#REF!,#REF!,#REF!,#REF!,#REF!,#REF!,#REF!,#REF!</definedName>
    <definedName name="__APW_RESTORE_DATA298__" localSheetId="9" hidden="1">#REF!,#REF!,#REF!,#REF!,#REF!,#REF!,#REF!,#REF!,#REF!,#REF!,#REF!,#REF!,#REF!,#REF!,#REF!,#REF!,#REF!</definedName>
    <definedName name="__APW_RESTORE_DATA298__" localSheetId="2" hidden="1">#REF!,#REF!,#REF!,#REF!,#REF!,#REF!,#REF!,#REF!,#REF!,#REF!,#REF!,#REF!,#REF!,#REF!,#REF!,#REF!,#REF!</definedName>
    <definedName name="__APW_RESTORE_DATA298__" hidden="1">#REF!,#REF!,#REF!,#REF!,#REF!,#REF!,#REF!,#REF!,#REF!,#REF!,#REF!,#REF!,#REF!,#REF!,#REF!,#REF!,#REF!</definedName>
    <definedName name="__APW_RESTORE_DATA299__" localSheetId="6" hidden="1">#REF!,#REF!,#REF!,#REF!,#REF!,#REF!,#REF!,#REF!,#REF!,#REF!,#REF!,#REF!,#REF!,#REF!,#REF!,#REF!</definedName>
    <definedName name="__APW_RESTORE_DATA299__" localSheetId="9" hidden="1">#REF!,#REF!,#REF!,#REF!,#REF!,#REF!,#REF!,#REF!,#REF!,#REF!,#REF!,#REF!,#REF!,#REF!,#REF!,#REF!</definedName>
    <definedName name="__APW_RESTORE_DATA299__" localSheetId="2" hidden="1">#REF!,#REF!,#REF!,#REF!,#REF!,#REF!,#REF!,#REF!,#REF!,#REF!,#REF!,#REF!,#REF!,#REF!,#REF!,#REF!</definedName>
    <definedName name="__APW_RESTORE_DATA299__" hidden="1">#REF!,#REF!,#REF!,#REF!,#REF!,#REF!,#REF!,#REF!,#REF!,#REF!,#REF!,#REF!,#REF!,#REF!,#REF!,#REF!</definedName>
    <definedName name="__APW_RESTORE_DATA3__" localSheetId="6" hidden="1">#REF!,#REF!,#REF!,#REF!,#REF!,#REF!,#REF!,#REF!,#REF!,#REF!,#REF!,#REF!,#REF!,#REF!,#REF!,#REF!</definedName>
    <definedName name="__APW_RESTORE_DATA3__" localSheetId="9" hidden="1">#REF!,#REF!,#REF!,#REF!,#REF!,#REF!,#REF!,#REF!,#REF!,#REF!,#REF!,#REF!,#REF!,#REF!,#REF!,#REF!</definedName>
    <definedName name="__APW_RESTORE_DATA3__" localSheetId="2" hidden="1">#REF!,#REF!,#REF!,#REF!,#REF!,#REF!,#REF!,#REF!,#REF!,#REF!,#REF!,#REF!,#REF!,#REF!,#REF!,#REF!</definedName>
    <definedName name="__APW_RESTORE_DATA3__" hidden="1">#REF!,#REF!,#REF!,#REF!,#REF!,#REF!,#REF!,#REF!,#REF!,#REF!,#REF!,#REF!,#REF!,#REF!,#REF!,#REF!</definedName>
    <definedName name="__APW_RESTORE_DATA30__" localSheetId="6" hidden="1">#REF!,#REF!,#REF!,#REF!,#REF!,#REF!,#REF!,#REF!,#REF!,#REF!,#REF!,#REF!,#REF!,#REF!,#REF!</definedName>
    <definedName name="__APW_RESTORE_DATA30__" localSheetId="9" hidden="1">#REF!,#REF!,#REF!,#REF!,#REF!,#REF!,#REF!,#REF!,#REF!,#REF!,#REF!,#REF!,#REF!,#REF!,#REF!</definedName>
    <definedName name="__APW_RESTORE_DATA30__" localSheetId="2" hidden="1">#REF!,#REF!,#REF!,#REF!,#REF!,#REF!,#REF!,#REF!,#REF!,#REF!,#REF!,#REF!,#REF!,#REF!,#REF!</definedName>
    <definedName name="__APW_RESTORE_DATA30__" hidden="1">#REF!,#REF!,#REF!,#REF!,#REF!,#REF!,#REF!,#REF!,#REF!,#REF!,#REF!,#REF!,#REF!,#REF!,#REF!</definedName>
    <definedName name="__APW_RESTORE_DATA300__" localSheetId="6" hidden="1">#REF!,#REF!,#REF!,#REF!,#REF!,#REF!,#REF!,#REF!,#REF!,#REF!,#REF!,#REF!,#REF!,#REF!,#REF!,#REF!</definedName>
    <definedName name="__APW_RESTORE_DATA300__" localSheetId="9" hidden="1">#REF!,#REF!,#REF!,#REF!,#REF!,#REF!,#REF!,#REF!,#REF!,#REF!,#REF!,#REF!,#REF!,#REF!,#REF!,#REF!</definedName>
    <definedName name="__APW_RESTORE_DATA300__" localSheetId="2" hidden="1">#REF!,#REF!,#REF!,#REF!,#REF!,#REF!,#REF!,#REF!,#REF!,#REF!,#REF!,#REF!,#REF!,#REF!,#REF!,#REF!</definedName>
    <definedName name="__APW_RESTORE_DATA300__" hidden="1">#REF!,#REF!,#REF!,#REF!,#REF!,#REF!,#REF!,#REF!,#REF!,#REF!,#REF!,#REF!,#REF!,#REF!,#REF!,#REF!</definedName>
    <definedName name="__APW_RESTORE_DATA301__" localSheetId="6" hidden="1">#REF!,#REF!,#REF!,#REF!,#REF!,#REF!,#REF!,#REF!,#REF!,#REF!,#REF!,#REF!,#REF!,#REF!,#REF!,#REF!</definedName>
    <definedName name="__APW_RESTORE_DATA301__" localSheetId="9" hidden="1">#REF!,#REF!,#REF!,#REF!,#REF!,#REF!,#REF!,#REF!,#REF!,#REF!,#REF!,#REF!,#REF!,#REF!,#REF!,#REF!</definedName>
    <definedName name="__APW_RESTORE_DATA301__" localSheetId="2" hidden="1">#REF!,#REF!,#REF!,#REF!,#REF!,#REF!,#REF!,#REF!,#REF!,#REF!,#REF!,#REF!,#REF!,#REF!,#REF!,#REF!</definedName>
    <definedName name="__APW_RESTORE_DATA301__" hidden="1">#REF!,#REF!,#REF!,#REF!,#REF!,#REF!,#REF!,#REF!,#REF!,#REF!,#REF!,#REF!,#REF!,#REF!,#REF!,#REF!</definedName>
    <definedName name="__APW_RESTORE_DATA302__" localSheetId="6" hidden="1">#REF!,#REF!,#REF!,#REF!,#REF!,#REF!,#REF!,#REF!,#REF!,#REF!,#REF!,#REF!,#REF!,#REF!,#REF!,#REF!</definedName>
    <definedName name="__APW_RESTORE_DATA302__" localSheetId="9" hidden="1">#REF!,#REF!,#REF!,#REF!,#REF!,#REF!,#REF!,#REF!,#REF!,#REF!,#REF!,#REF!,#REF!,#REF!,#REF!,#REF!</definedName>
    <definedName name="__APW_RESTORE_DATA302__" localSheetId="2" hidden="1">#REF!,#REF!,#REF!,#REF!,#REF!,#REF!,#REF!,#REF!,#REF!,#REF!,#REF!,#REF!,#REF!,#REF!,#REF!,#REF!</definedName>
    <definedName name="__APW_RESTORE_DATA302__" hidden="1">#REF!,#REF!,#REF!,#REF!,#REF!,#REF!,#REF!,#REF!,#REF!,#REF!,#REF!,#REF!,#REF!,#REF!,#REF!,#REF!</definedName>
    <definedName name="__APW_RESTORE_DATA303__" localSheetId="2" hidden="1">#REF!,#REF!,#REF!,#REF!,#REF!,#REF!,#REF!,#REF!,#REF!,#REF!,#REF!,#REF!,#REF!,#REF!,#REF!,#REF!</definedName>
    <definedName name="__APW_RESTORE_DATA303__" hidden="1">#REF!,#REF!,#REF!,#REF!,#REF!,#REF!,#REF!,#REF!,#REF!,#REF!,#REF!,#REF!,#REF!,#REF!,#REF!,#REF!</definedName>
    <definedName name="__APW_RESTORE_DATA304__" localSheetId="6" hidden="1">#REF!,#REF!,#REF!,#REF!,#REF!,#REF!,#REF!,#REF!,#REF!,#REF!,#REF!,#REF!,#REF!,#REF!,#REF!</definedName>
    <definedName name="__APW_RESTORE_DATA304__" localSheetId="9" hidden="1">#REF!,#REF!,#REF!,#REF!,#REF!,#REF!,#REF!,#REF!,#REF!,#REF!,#REF!,#REF!,#REF!,#REF!,#REF!</definedName>
    <definedName name="__APW_RESTORE_DATA304__" localSheetId="2" hidden="1">#REF!,#REF!,#REF!,#REF!,#REF!,#REF!,#REF!,#REF!,#REF!,#REF!,#REF!,#REF!,#REF!,#REF!,#REF!</definedName>
    <definedName name="__APW_RESTORE_DATA304__" hidden="1">#REF!,#REF!,#REF!,#REF!,#REF!,#REF!,#REF!,#REF!,#REF!,#REF!,#REF!,#REF!,#REF!,#REF!,#REF!</definedName>
    <definedName name="__APW_RESTORE_DATA305__" localSheetId="6" hidden="1">#REF!,#REF!,#REF!,#REF!,#REF!,#REF!,#REF!,#REF!,#REF!,#REF!,#REF!,#REF!,#REF!,#REF!,#REF!</definedName>
    <definedName name="__APW_RESTORE_DATA305__" localSheetId="9" hidden="1">#REF!,#REF!,#REF!,#REF!,#REF!,#REF!,#REF!,#REF!,#REF!,#REF!,#REF!,#REF!,#REF!,#REF!,#REF!</definedName>
    <definedName name="__APW_RESTORE_DATA305__" localSheetId="2" hidden="1">#REF!,#REF!,#REF!,#REF!,#REF!,#REF!,#REF!,#REF!,#REF!,#REF!,#REF!,#REF!,#REF!,#REF!,#REF!</definedName>
    <definedName name="__APW_RESTORE_DATA305__" hidden="1">#REF!,#REF!,#REF!,#REF!,#REF!,#REF!,#REF!,#REF!,#REF!,#REF!,#REF!,#REF!,#REF!,#REF!,#REF!</definedName>
    <definedName name="__APW_RESTORE_DATA306__" localSheetId="6" hidden="1">#REF!,#REF!,#REF!,#REF!,#REF!,#REF!,#REF!,#REF!,#REF!,#REF!,#REF!,#REF!,#REF!,#REF!,#REF!</definedName>
    <definedName name="__APW_RESTORE_DATA306__" localSheetId="9" hidden="1">#REF!,#REF!,#REF!,#REF!,#REF!,#REF!,#REF!,#REF!,#REF!,#REF!,#REF!,#REF!,#REF!,#REF!,#REF!</definedName>
    <definedName name="__APW_RESTORE_DATA306__" localSheetId="2" hidden="1">#REF!,#REF!,#REF!,#REF!,#REF!,#REF!,#REF!,#REF!,#REF!,#REF!,#REF!,#REF!,#REF!,#REF!,#REF!</definedName>
    <definedName name="__APW_RESTORE_DATA306__" hidden="1">#REF!,#REF!,#REF!,#REF!,#REF!,#REF!,#REF!,#REF!,#REF!,#REF!,#REF!,#REF!,#REF!,#REF!,#REF!</definedName>
    <definedName name="__APW_RESTORE_DATA307__" localSheetId="2" hidden="1">#REF!,#REF!,#REF!,#REF!,#REF!,#REF!,#REF!,#REF!,#REF!,#REF!,#REF!,#REF!,#REF!,#REF!,#REF!</definedName>
    <definedName name="__APW_RESTORE_DATA307__" hidden="1">#REF!,#REF!,#REF!,#REF!,#REF!,#REF!,#REF!,#REF!,#REF!,#REF!,#REF!,#REF!,#REF!,#REF!,#REF!</definedName>
    <definedName name="__APW_RESTORE_DATA308__" localSheetId="6" hidden="1">#REF!,#REF!,#REF!,#REF!,#REF!,#REF!,#REF!,#REF!,#REF!,#REF!,#REF!,#REF!,#REF!,#REF!</definedName>
    <definedName name="__APW_RESTORE_DATA308__" localSheetId="9" hidden="1">#REF!,#REF!,#REF!,#REF!,#REF!,#REF!,#REF!,#REF!,#REF!,#REF!,#REF!,#REF!,#REF!,#REF!</definedName>
    <definedName name="__APW_RESTORE_DATA308__" localSheetId="2" hidden="1">#REF!,#REF!,#REF!,#REF!,#REF!,#REF!,#REF!,#REF!,#REF!,#REF!,#REF!,#REF!,#REF!,#REF!</definedName>
    <definedName name="__APW_RESTORE_DATA308__" hidden="1">#REF!,#REF!,#REF!,#REF!,#REF!,#REF!,#REF!,#REF!,#REF!,#REF!,#REF!,#REF!,#REF!,#REF!</definedName>
    <definedName name="__APW_RESTORE_DATA309__" localSheetId="6" hidden="1">#REF!,#REF!,#REF!,#REF!,#REF!,#REF!,#REF!,#REF!,#REF!,#REF!,#REF!,#REF!,#REF!,#REF!,#REF!,#REF!,#REF!</definedName>
    <definedName name="__APW_RESTORE_DATA309__" localSheetId="9" hidden="1">#REF!,#REF!,#REF!,#REF!,#REF!,#REF!,#REF!,#REF!,#REF!,#REF!,#REF!,#REF!,#REF!,#REF!,#REF!,#REF!,#REF!</definedName>
    <definedName name="__APW_RESTORE_DATA309__" localSheetId="2" hidden="1">#REF!,#REF!,#REF!,#REF!,#REF!,#REF!,#REF!,#REF!,#REF!,#REF!,#REF!,#REF!,#REF!,#REF!,#REF!,#REF!,#REF!</definedName>
    <definedName name="__APW_RESTORE_DATA309__" hidden="1">#REF!,#REF!,#REF!,#REF!,#REF!,#REF!,#REF!,#REF!,#REF!,#REF!,#REF!,#REF!,#REF!,#REF!,#REF!,#REF!,#REF!</definedName>
    <definedName name="__APW_RESTORE_DATA31__" localSheetId="6" hidden="1">#REF!,#REF!,#REF!,#REF!,#REF!,#REF!,#REF!,#REF!,#REF!,#REF!,#REF!,#REF!,#REF!,#REF!,#REF!</definedName>
    <definedName name="__APW_RESTORE_DATA31__" localSheetId="9" hidden="1">#REF!,#REF!,#REF!,#REF!,#REF!,#REF!,#REF!,#REF!,#REF!,#REF!,#REF!,#REF!,#REF!,#REF!,#REF!</definedName>
    <definedName name="__APW_RESTORE_DATA31__" localSheetId="2" hidden="1">#REF!,#REF!,#REF!,#REF!,#REF!,#REF!,#REF!,#REF!,#REF!,#REF!,#REF!,#REF!,#REF!,#REF!,#REF!</definedName>
    <definedName name="__APW_RESTORE_DATA31__" hidden="1">#REF!,#REF!,#REF!,#REF!,#REF!,#REF!,#REF!,#REF!,#REF!,#REF!,#REF!,#REF!,#REF!,#REF!,#REF!</definedName>
    <definedName name="__APW_RESTORE_DATA310__" localSheetId="6" hidden="1">#REF!,#REF!,#REF!,#REF!,#REF!,#REF!,#REF!,#REF!,#REF!,#REF!,#REF!,#REF!,#REF!,#REF!,#REF!,#REF!</definedName>
    <definedName name="__APW_RESTORE_DATA310__" localSheetId="9" hidden="1">#REF!,#REF!,#REF!,#REF!,#REF!,#REF!,#REF!,#REF!,#REF!,#REF!,#REF!,#REF!,#REF!,#REF!,#REF!,#REF!</definedName>
    <definedName name="__APW_RESTORE_DATA310__" localSheetId="2" hidden="1">#REF!,#REF!,#REF!,#REF!,#REF!,#REF!,#REF!,#REF!,#REF!,#REF!,#REF!,#REF!,#REF!,#REF!,#REF!,#REF!</definedName>
    <definedName name="__APW_RESTORE_DATA310__" hidden="1">#REF!,#REF!,#REF!,#REF!,#REF!,#REF!,#REF!,#REF!,#REF!,#REF!,#REF!,#REF!,#REF!,#REF!,#REF!,#REF!</definedName>
    <definedName name="__APW_RESTORE_DATA311__" localSheetId="6" hidden="1">#REF!,#REF!,#REF!,#REF!,#REF!,#REF!,#REF!,#REF!,#REF!,#REF!,#REF!,#REF!,#REF!,#REF!,#REF!,#REF!</definedName>
    <definedName name="__APW_RESTORE_DATA311__" localSheetId="9" hidden="1">#REF!,#REF!,#REF!,#REF!,#REF!,#REF!,#REF!,#REF!,#REF!,#REF!,#REF!,#REF!,#REF!,#REF!,#REF!,#REF!</definedName>
    <definedName name="__APW_RESTORE_DATA311__" localSheetId="2" hidden="1">#REF!,#REF!,#REF!,#REF!,#REF!,#REF!,#REF!,#REF!,#REF!,#REF!,#REF!,#REF!,#REF!,#REF!,#REF!,#REF!</definedName>
    <definedName name="__APW_RESTORE_DATA311__" hidden="1">#REF!,#REF!,#REF!,#REF!,#REF!,#REF!,#REF!,#REF!,#REF!,#REF!,#REF!,#REF!,#REF!,#REF!,#REF!,#REF!</definedName>
    <definedName name="__APW_RESTORE_DATA312__" localSheetId="6" hidden="1">#REF!,#REF!,#REF!,#REF!,#REF!,#REF!,#REF!,#REF!,#REF!,#REF!,#REF!,#REF!,#REF!,#REF!,#REF!,#REF!</definedName>
    <definedName name="__APW_RESTORE_DATA312__" localSheetId="9" hidden="1">#REF!,#REF!,#REF!,#REF!,#REF!,#REF!,#REF!,#REF!,#REF!,#REF!,#REF!,#REF!,#REF!,#REF!,#REF!,#REF!</definedName>
    <definedName name="__APW_RESTORE_DATA312__" localSheetId="2" hidden="1">#REF!,#REF!,#REF!,#REF!,#REF!,#REF!,#REF!,#REF!,#REF!,#REF!,#REF!,#REF!,#REF!,#REF!,#REF!,#REF!</definedName>
    <definedName name="__APW_RESTORE_DATA312__" hidden="1">#REF!,#REF!,#REF!,#REF!,#REF!,#REF!,#REF!,#REF!,#REF!,#REF!,#REF!,#REF!,#REF!,#REF!,#REF!,#REF!</definedName>
    <definedName name="__APW_RESTORE_DATA313__" localSheetId="2" hidden="1">#REF!,#REF!,#REF!,#REF!,#REF!,#REF!,#REF!,#REF!,#REF!,#REF!,#REF!,#REF!,#REF!,#REF!,#REF!,#REF!</definedName>
    <definedName name="__APW_RESTORE_DATA313__" hidden="1">#REF!,#REF!,#REF!,#REF!,#REF!,#REF!,#REF!,#REF!,#REF!,#REF!,#REF!,#REF!,#REF!,#REF!,#REF!,#REF!</definedName>
    <definedName name="__APW_RESTORE_DATA314__" localSheetId="2" hidden="1">#REF!,#REF!,#REF!,#REF!,#REF!,#REF!,#REF!,#REF!,#REF!,#REF!,#REF!,#REF!,#REF!,#REF!,#REF!,#REF!</definedName>
    <definedName name="__APW_RESTORE_DATA314__" hidden="1">#REF!,#REF!,#REF!,#REF!,#REF!,#REF!,#REF!,#REF!,#REF!,#REF!,#REF!,#REF!,#REF!,#REF!,#REF!,#REF!</definedName>
    <definedName name="__APW_RESTORE_DATA315__" localSheetId="6" hidden="1">#REF!,#REF!,#REF!,#REF!,#REF!,#REF!,#REF!,#REF!,#REF!,#REF!,#REF!,#REF!,#REF!,#REF!,#REF!</definedName>
    <definedName name="__APW_RESTORE_DATA315__" localSheetId="9" hidden="1">#REF!,#REF!,#REF!,#REF!,#REF!,#REF!,#REF!,#REF!,#REF!,#REF!,#REF!,#REF!,#REF!,#REF!,#REF!</definedName>
    <definedName name="__APW_RESTORE_DATA315__" localSheetId="2" hidden="1">#REF!,#REF!,#REF!,#REF!,#REF!,#REF!,#REF!,#REF!,#REF!,#REF!,#REF!,#REF!,#REF!,#REF!,#REF!</definedName>
    <definedName name="__APW_RESTORE_DATA315__" hidden="1">#REF!,#REF!,#REF!,#REF!,#REF!,#REF!,#REF!,#REF!,#REF!,#REF!,#REF!,#REF!,#REF!,#REF!,#REF!</definedName>
    <definedName name="__APW_RESTORE_DATA316__" localSheetId="6" hidden="1">#REF!,#REF!,#REF!,#REF!,#REF!,#REF!,#REF!,#REF!,#REF!,#REF!,#REF!,#REF!,#REF!,#REF!,#REF!</definedName>
    <definedName name="__APW_RESTORE_DATA316__" localSheetId="9" hidden="1">#REF!,#REF!,#REF!,#REF!,#REF!,#REF!,#REF!,#REF!,#REF!,#REF!,#REF!,#REF!,#REF!,#REF!,#REF!</definedName>
    <definedName name="__APW_RESTORE_DATA316__" localSheetId="2" hidden="1">#REF!,#REF!,#REF!,#REF!,#REF!,#REF!,#REF!,#REF!,#REF!,#REF!,#REF!,#REF!,#REF!,#REF!,#REF!</definedName>
    <definedName name="__APW_RESTORE_DATA316__" hidden="1">#REF!,#REF!,#REF!,#REF!,#REF!,#REF!,#REF!,#REF!,#REF!,#REF!,#REF!,#REF!,#REF!,#REF!,#REF!</definedName>
    <definedName name="__APW_RESTORE_DATA317__" localSheetId="6" hidden="1">#REF!,#REF!,#REF!,#REF!,#REF!,#REF!,#REF!,#REF!,#REF!,#REF!,#REF!,#REF!,#REF!,#REF!,#REF!</definedName>
    <definedName name="__APW_RESTORE_DATA317__" localSheetId="9" hidden="1">#REF!,#REF!,#REF!,#REF!,#REF!,#REF!,#REF!,#REF!,#REF!,#REF!,#REF!,#REF!,#REF!,#REF!,#REF!</definedName>
    <definedName name="__APW_RESTORE_DATA317__" localSheetId="2" hidden="1">#REF!,#REF!,#REF!,#REF!,#REF!,#REF!,#REF!,#REF!,#REF!,#REF!,#REF!,#REF!,#REF!,#REF!,#REF!</definedName>
    <definedName name="__APW_RESTORE_DATA317__" hidden="1">#REF!,#REF!,#REF!,#REF!,#REF!,#REF!,#REF!,#REF!,#REF!,#REF!,#REF!,#REF!,#REF!,#REF!,#REF!</definedName>
    <definedName name="__APW_RESTORE_DATA318__" localSheetId="2" hidden="1">#REF!,#REF!,#REF!,#REF!,#REF!,#REF!,#REF!,#REF!,#REF!,#REF!,#REF!,#REF!,#REF!,#REF!,#REF!</definedName>
    <definedName name="__APW_RESTORE_DATA318__" hidden="1">#REF!,#REF!,#REF!,#REF!,#REF!,#REF!,#REF!,#REF!,#REF!,#REF!,#REF!,#REF!,#REF!,#REF!,#REF!</definedName>
    <definedName name="__APW_RESTORE_DATA319__" localSheetId="6" hidden="1">#REF!,#REF!,#REF!,#REF!,#REF!,#REF!,#REF!,#REF!,#REF!,#REF!,#REF!,#REF!,#REF!,#REF!</definedName>
    <definedName name="__APW_RESTORE_DATA319__" localSheetId="9" hidden="1">#REF!,#REF!,#REF!,#REF!,#REF!,#REF!,#REF!,#REF!,#REF!,#REF!,#REF!,#REF!,#REF!,#REF!</definedName>
    <definedName name="__APW_RESTORE_DATA319__" localSheetId="2" hidden="1">#REF!,#REF!,#REF!,#REF!,#REF!,#REF!,#REF!,#REF!,#REF!,#REF!,#REF!,#REF!,#REF!,#REF!</definedName>
    <definedName name="__APW_RESTORE_DATA319__" hidden="1">#REF!,#REF!,#REF!,#REF!,#REF!,#REF!,#REF!,#REF!,#REF!,#REF!,#REF!,#REF!,#REF!,#REF!</definedName>
    <definedName name="__APW_RESTORE_DATA32__" localSheetId="6" hidden="1">#REF!,#REF!,#REF!,#REF!,#REF!,#REF!,#REF!,#REF!,#REF!,#REF!,#REF!,#REF!,#REF!,#REF!,#REF!</definedName>
    <definedName name="__APW_RESTORE_DATA32__" localSheetId="9" hidden="1">#REF!,#REF!,#REF!,#REF!,#REF!,#REF!,#REF!,#REF!,#REF!,#REF!,#REF!,#REF!,#REF!,#REF!,#REF!</definedName>
    <definedName name="__APW_RESTORE_DATA32__" localSheetId="2" hidden="1">#REF!,#REF!,#REF!,#REF!,#REF!,#REF!,#REF!,#REF!,#REF!,#REF!,#REF!,#REF!,#REF!,#REF!,#REF!</definedName>
    <definedName name="__APW_RESTORE_DATA32__" hidden="1">#REF!,#REF!,#REF!,#REF!,#REF!,#REF!,#REF!,#REF!,#REF!,#REF!,#REF!,#REF!,#REF!,#REF!,#REF!</definedName>
    <definedName name="__APW_RESTORE_DATA320__" localSheetId="6" hidden="1">#REF!,#REF!,#REF!,#REF!,#REF!,#REF!,#REF!,#REF!,#REF!,#REF!,#REF!,#REF!,#REF!,#REF!,#REF!,#REF!,#REF!</definedName>
    <definedName name="__APW_RESTORE_DATA320__" localSheetId="9" hidden="1">#REF!,#REF!,#REF!,#REF!,#REF!,#REF!,#REF!,#REF!,#REF!,#REF!,#REF!,#REF!,#REF!,#REF!,#REF!,#REF!,#REF!</definedName>
    <definedName name="__APW_RESTORE_DATA320__" localSheetId="2" hidden="1">#REF!,#REF!,#REF!,#REF!,#REF!,#REF!,#REF!,#REF!,#REF!,#REF!,#REF!,#REF!,#REF!,#REF!,#REF!,#REF!,#REF!</definedName>
    <definedName name="__APW_RESTORE_DATA320__" hidden="1">#REF!,#REF!,#REF!,#REF!,#REF!,#REF!,#REF!,#REF!,#REF!,#REF!,#REF!,#REF!,#REF!,#REF!,#REF!,#REF!,#REF!</definedName>
    <definedName name="__APW_RESTORE_DATA321__" localSheetId="6" hidden="1">#REF!,#REF!,#REF!,#REF!,#REF!,#REF!,#REF!,#REF!,#REF!,#REF!,#REF!,#REF!,#REF!,#REF!,#REF!,#REF!</definedName>
    <definedName name="__APW_RESTORE_DATA321__" localSheetId="9" hidden="1">#REF!,#REF!,#REF!,#REF!,#REF!,#REF!,#REF!,#REF!,#REF!,#REF!,#REF!,#REF!,#REF!,#REF!,#REF!,#REF!</definedName>
    <definedName name="__APW_RESTORE_DATA321__" localSheetId="2" hidden="1">#REF!,#REF!,#REF!,#REF!,#REF!,#REF!,#REF!,#REF!,#REF!,#REF!,#REF!,#REF!,#REF!,#REF!,#REF!,#REF!</definedName>
    <definedName name="__APW_RESTORE_DATA321__" hidden="1">#REF!,#REF!,#REF!,#REF!,#REF!,#REF!,#REF!,#REF!,#REF!,#REF!,#REF!,#REF!,#REF!,#REF!,#REF!,#REF!</definedName>
    <definedName name="__APW_RESTORE_DATA322__" localSheetId="6" hidden="1">#REF!,#REF!,#REF!,#REF!,#REF!,#REF!,#REF!,#REF!,#REF!,#REF!,#REF!,#REF!,#REF!,#REF!,#REF!,#REF!</definedName>
    <definedName name="__APW_RESTORE_DATA322__" localSheetId="9" hidden="1">#REF!,#REF!,#REF!,#REF!,#REF!,#REF!,#REF!,#REF!,#REF!,#REF!,#REF!,#REF!,#REF!,#REF!,#REF!,#REF!</definedName>
    <definedName name="__APW_RESTORE_DATA322__" localSheetId="2" hidden="1">#REF!,#REF!,#REF!,#REF!,#REF!,#REF!,#REF!,#REF!,#REF!,#REF!,#REF!,#REF!,#REF!,#REF!,#REF!,#REF!</definedName>
    <definedName name="__APW_RESTORE_DATA322__" hidden="1">#REF!,#REF!,#REF!,#REF!,#REF!,#REF!,#REF!,#REF!,#REF!,#REF!,#REF!,#REF!,#REF!,#REF!,#REF!,#REF!</definedName>
    <definedName name="__APW_RESTORE_DATA323__" localSheetId="6" hidden="1">#REF!,#REF!,#REF!,#REF!,#REF!,#REF!,#REF!,#REF!,#REF!,#REF!,#REF!,#REF!,#REF!,#REF!,#REF!,#REF!</definedName>
    <definedName name="__APW_RESTORE_DATA323__" localSheetId="9" hidden="1">#REF!,#REF!,#REF!,#REF!,#REF!,#REF!,#REF!,#REF!,#REF!,#REF!,#REF!,#REF!,#REF!,#REF!,#REF!,#REF!</definedName>
    <definedName name="__APW_RESTORE_DATA323__" localSheetId="2" hidden="1">#REF!,#REF!,#REF!,#REF!,#REF!,#REF!,#REF!,#REF!,#REF!,#REF!,#REF!,#REF!,#REF!,#REF!,#REF!,#REF!</definedName>
    <definedName name="__APW_RESTORE_DATA323__" hidden="1">#REF!,#REF!,#REF!,#REF!,#REF!,#REF!,#REF!,#REF!,#REF!,#REF!,#REF!,#REF!,#REF!,#REF!,#REF!,#REF!</definedName>
    <definedName name="__APW_RESTORE_DATA324__" localSheetId="2" hidden="1">#REF!,#REF!,#REF!,#REF!,#REF!,#REF!,#REF!,#REF!,#REF!,#REF!,#REF!,#REF!,#REF!,#REF!,#REF!,#REF!</definedName>
    <definedName name="__APW_RESTORE_DATA324__" hidden="1">#REF!,#REF!,#REF!,#REF!,#REF!,#REF!,#REF!,#REF!,#REF!,#REF!,#REF!,#REF!,#REF!,#REF!,#REF!,#REF!</definedName>
    <definedName name="__APW_RESTORE_DATA325__" localSheetId="2" hidden="1">#REF!,#REF!,#REF!,#REF!,#REF!,#REF!,#REF!,#REF!,#REF!,#REF!,#REF!,#REF!,#REF!,#REF!,#REF!,#REF!</definedName>
    <definedName name="__APW_RESTORE_DATA325__" hidden="1">#REF!,#REF!,#REF!,#REF!,#REF!,#REF!,#REF!,#REF!,#REF!,#REF!,#REF!,#REF!,#REF!,#REF!,#REF!,#REF!</definedName>
    <definedName name="__APW_RESTORE_DATA326__" localSheetId="6" hidden="1">#REF!,#REF!,#REF!,#REF!,#REF!,#REF!,#REF!,#REF!,#REF!,#REF!,#REF!,#REF!,#REF!,#REF!,#REF!</definedName>
    <definedName name="__APW_RESTORE_DATA326__" localSheetId="9" hidden="1">#REF!,#REF!,#REF!,#REF!,#REF!,#REF!,#REF!,#REF!,#REF!,#REF!,#REF!,#REF!,#REF!,#REF!,#REF!</definedName>
    <definedName name="__APW_RESTORE_DATA326__" localSheetId="2" hidden="1">#REF!,#REF!,#REF!,#REF!,#REF!,#REF!,#REF!,#REF!,#REF!,#REF!,#REF!,#REF!,#REF!,#REF!,#REF!</definedName>
    <definedName name="__APW_RESTORE_DATA326__" hidden="1">#REF!,#REF!,#REF!,#REF!,#REF!,#REF!,#REF!,#REF!,#REF!,#REF!,#REF!,#REF!,#REF!,#REF!,#REF!</definedName>
    <definedName name="__APW_RESTORE_DATA327__" localSheetId="6" hidden="1">#REF!,#REF!,#REF!,#REF!,#REF!,#REF!,#REF!,#REF!,#REF!,#REF!,#REF!,#REF!,#REF!,#REF!,#REF!</definedName>
    <definedName name="__APW_RESTORE_DATA327__" localSheetId="9" hidden="1">#REF!,#REF!,#REF!,#REF!,#REF!,#REF!,#REF!,#REF!,#REF!,#REF!,#REF!,#REF!,#REF!,#REF!,#REF!</definedName>
    <definedName name="__APW_RESTORE_DATA327__" localSheetId="2" hidden="1">#REF!,#REF!,#REF!,#REF!,#REF!,#REF!,#REF!,#REF!,#REF!,#REF!,#REF!,#REF!,#REF!,#REF!,#REF!</definedName>
    <definedName name="__APW_RESTORE_DATA327__" hidden="1">#REF!,#REF!,#REF!,#REF!,#REF!,#REF!,#REF!,#REF!,#REF!,#REF!,#REF!,#REF!,#REF!,#REF!,#REF!</definedName>
    <definedName name="__APW_RESTORE_DATA328__" localSheetId="6" hidden="1">#REF!,#REF!,#REF!,#REF!,#REF!,#REF!,#REF!,#REF!,#REF!,#REF!,#REF!,#REF!,#REF!,#REF!,#REF!</definedName>
    <definedName name="__APW_RESTORE_DATA328__" localSheetId="9" hidden="1">#REF!,#REF!,#REF!,#REF!,#REF!,#REF!,#REF!,#REF!,#REF!,#REF!,#REF!,#REF!,#REF!,#REF!,#REF!</definedName>
    <definedName name="__APW_RESTORE_DATA328__" localSheetId="2" hidden="1">#REF!,#REF!,#REF!,#REF!,#REF!,#REF!,#REF!,#REF!,#REF!,#REF!,#REF!,#REF!,#REF!,#REF!,#REF!</definedName>
    <definedName name="__APW_RESTORE_DATA328__" hidden="1">#REF!,#REF!,#REF!,#REF!,#REF!,#REF!,#REF!,#REF!,#REF!,#REF!,#REF!,#REF!,#REF!,#REF!,#REF!</definedName>
    <definedName name="__APW_RESTORE_DATA329__" localSheetId="2" hidden="1">#REF!,#REF!,#REF!,#REF!,#REF!,#REF!,#REF!,#REF!,#REF!,#REF!,#REF!,#REF!,#REF!,#REF!,#REF!</definedName>
    <definedName name="__APW_RESTORE_DATA329__" hidden="1">#REF!,#REF!,#REF!,#REF!,#REF!,#REF!,#REF!,#REF!,#REF!,#REF!,#REF!,#REF!,#REF!,#REF!,#REF!</definedName>
    <definedName name="__APW_RESTORE_DATA33__" localSheetId="2" hidden="1">#REF!,#REF!,#REF!,#REF!,#REF!,#REF!,#REF!,#REF!,#REF!,#REF!,#REF!,#REF!,#REF!,#REF!,#REF!</definedName>
    <definedName name="__APW_RESTORE_DATA33__" hidden="1">#REF!,#REF!,#REF!,#REF!,#REF!,#REF!,#REF!,#REF!,#REF!,#REF!,#REF!,#REF!,#REF!,#REF!,#REF!</definedName>
    <definedName name="__APW_RESTORE_DATA330__" localSheetId="6" hidden="1">#REF!,#REF!,#REF!,#REF!,#REF!,#REF!,#REF!,#REF!,#REF!,#REF!,#REF!,#REF!,#REF!,#REF!</definedName>
    <definedName name="__APW_RESTORE_DATA330__" localSheetId="9" hidden="1">#REF!,#REF!,#REF!,#REF!,#REF!,#REF!,#REF!,#REF!,#REF!,#REF!,#REF!,#REF!,#REF!,#REF!</definedName>
    <definedName name="__APW_RESTORE_DATA330__" localSheetId="2" hidden="1">#REF!,#REF!,#REF!,#REF!,#REF!,#REF!,#REF!,#REF!,#REF!,#REF!,#REF!,#REF!,#REF!,#REF!</definedName>
    <definedName name="__APW_RESTORE_DATA330__" hidden="1">#REF!,#REF!,#REF!,#REF!,#REF!,#REF!,#REF!,#REF!,#REF!,#REF!,#REF!,#REF!,#REF!,#REF!</definedName>
    <definedName name="__APW_RESTORE_DATA331__" localSheetId="6" hidden="1">#REF!,#REF!,#REF!,#REF!,#REF!,#REF!,#REF!,#REF!,#REF!,#REF!,#REF!,#REF!,#REF!,#REF!,#REF!,#REF!,#REF!</definedName>
    <definedName name="__APW_RESTORE_DATA331__" localSheetId="9" hidden="1">#REF!,#REF!,#REF!,#REF!,#REF!,#REF!,#REF!,#REF!,#REF!,#REF!,#REF!,#REF!,#REF!,#REF!,#REF!,#REF!,#REF!</definedName>
    <definedName name="__APW_RESTORE_DATA331__" localSheetId="2" hidden="1">#REF!,#REF!,#REF!,#REF!,#REF!,#REF!,#REF!,#REF!,#REF!,#REF!,#REF!,#REF!,#REF!,#REF!,#REF!,#REF!,#REF!</definedName>
    <definedName name="__APW_RESTORE_DATA331__" hidden="1">#REF!,#REF!,#REF!,#REF!,#REF!,#REF!,#REF!,#REF!,#REF!,#REF!,#REF!,#REF!,#REF!,#REF!,#REF!,#REF!,#REF!</definedName>
    <definedName name="__APW_RESTORE_DATA332__" localSheetId="6" hidden="1">#REF!,#REF!,#REF!,#REF!,#REF!,#REF!,#REF!,#REF!,#REF!,#REF!,#REF!,#REF!,#REF!,#REF!,#REF!,#REF!</definedName>
    <definedName name="__APW_RESTORE_DATA332__" localSheetId="9" hidden="1">#REF!,#REF!,#REF!,#REF!,#REF!,#REF!,#REF!,#REF!,#REF!,#REF!,#REF!,#REF!,#REF!,#REF!,#REF!,#REF!</definedName>
    <definedName name="__APW_RESTORE_DATA332__" localSheetId="2" hidden="1">#REF!,#REF!,#REF!,#REF!,#REF!,#REF!,#REF!,#REF!,#REF!,#REF!,#REF!,#REF!,#REF!,#REF!,#REF!,#REF!</definedName>
    <definedName name="__APW_RESTORE_DATA332__" hidden="1">#REF!,#REF!,#REF!,#REF!,#REF!,#REF!,#REF!,#REF!,#REF!,#REF!,#REF!,#REF!,#REF!,#REF!,#REF!,#REF!</definedName>
    <definedName name="__APW_RESTORE_DATA333__" localSheetId="6" hidden="1">#REF!,#REF!,#REF!,#REF!,#REF!,#REF!,#REF!,#REF!,#REF!,#REF!,#REF!,#REF!,#REF!,#REF!,#REF!,#REF!</definedName>
    <definedName name="__APW_RESTORE_DATA333__" localSheetId="9" hidden="1">#REF!,#REF!,#REF!,#REF!,#REF!,#REF!,#REF!,#REF!,#REF!,#REF!,#REF!,#REF!,#REF!,#REF!,#REF!,#REF!</definedName>
    <definedName name="__APW_RESTORE_DATA333__" localSheetId="2" hidden="1">#REF!,#REF!,#REF!,#REF!,#REF!,#REF!,#REF!,#REF!,#REF!,#REF!,#REF!,#REF!,#REF!,#REF!,#REF!,#REF!</definedName>
    <definedName name="__APW_RESTORE_DATA333__" hidden="1">#REF!,#REF!,#REF!,#REF!,#REF!,#REF!,#REF!,#REF!,#REF!,#REF!,#REF!,#REF!,#REF!,#REF!,#REF!,#REF!</definedName>
    <definedName name="__APW_RESTORE_DATA334__" localSheetId="6" hidden="1">#REF!,#REF!,#REF!,#REF!,#REF!,#REF!,#REF!,#REF!,#REF!,#REF!,#REF!,#REF!,#REF!,#REF!,#REF!,#REF!</definedName>
    <definedName name="__APW_RESTORE_DATA334__" localSheetId="9" hidden="1">#REF!,#REF!,#REF!,#REF!,#REF!,#REF!,#REF!,#REF!,#REF!,#REF!,#REF!,#REF!,#REF!,#REF!,#REF!,#REF!</definedName>
    <definedName name="__APW_RESTORE_DATA334__" localSheetId="2" hidden="1">#REF!,#REF!,#REF!,#REF!,#REF!,#REF!,#REF!,#REF!,#REF!,#REF!,#REF!,#REF!,#REF!,#REF!,#REF!,#REF!</definedName>
    <definedName name="__APW_RESTORE_DATA334__" hidden="1">#REF!,#REF!,#REF!,#REF!,#REF!,#REF!,#REF!,#REF!,#REF!,#REF!,#REF!,#REF!,#REF!,#REF!,#REF!,#REF!</definedName>
    <definedName name="__APW_RESTORE_DATA335__" localSheetId="2" hidden="1">#REF!,#REF!,#REF!,#REF!,#REF!,#REF!,#REF!,#REF!,#REF!,#REF!,#REF!,#REF!,#REF!,#REF!,#REF!,#REF!</definedName>
    <definedName name="__APW_RESTORE_DATA335__" hidden="1">#REF!,#REF!,#REF!,#REF!,#REF!,#REF!,#REF!,#REF!,#REF!,#REF!,#REF!,#REF!,#REF!,#REF!,#REF!,#REF!</definedName>
    <definedName name="__APW_RESTORE_DATA336__" localSheetId="2" hidden="1">#REF!,#REF!,#REF!,#REF!,#REF!,#REF!,#REF!,#REF!,#REF!,#REF!,#REF!,#REF!,#REF!,#REF!,#REF!,#REF!</definedName>
    <definedName name="__APW_RESTORE_DATA336__" hidden="1">#REF!,#REF!,#REF!,#REF!,#REF!,#REF!,#REF!,#REF!,#REF!,#REF!,#REF!,#REF!,#REF!,#REF!,#REF!,#REF!</definedName>
    <definedName name="__APW_RESTORE_DATA337__" localSheetId="6" hidden="1">#REF!,#REF!,#REF!,#REF!,#REF!,#REF!,#REF!,#REF!,#REF!,#REF!,#REF!,#REF!,#REF!,#REF!,#REF!</definedName>
    <definedName name="__APW_RESTORE_DATA337__" localSheetId="9" hidden="1">#REF!,#REF!,#REF!,#REF!,#REF!,#REF!,#REF!,#REF!,#REF!,#REF!,#REF!,#REF!,#REF!,#REF!,#REF!</definedName>
    <definedName name="__APW_RESTORE_DATA337__" localSheetId="2" hidden="1">#REF!,#REF!,#REF!,#REF!,#REF!,#REF!,#REF!,#REF!,#REF!,#REF!,#REF!,#REF!,#REF!,#REF!,#REF!</definedName>
    <definedName name="__APW_RESTORE_DATA337__" hidden="1">#REF!,#REF!,#REF!,#REF!,#REF!,#REF!,#REF!,#REF!,#REF!,#REF!,#REF!,#REF!,#REF!,#REF!,#REF!</definedName>
    <definedName name="__APW_RESTORE_DATA338__" localSheetId="6" hidden="1">#REF!,#REF!,#REF!,#REF!,#REF!,#REF!,#REF!,#REF!,#REF!,#REF!,#REF!,#REF!,#REF!,#REF!,#REF!</definedName>
    <definedName name="__APW_RESTORE_DATA338__" localSheetId="9" hidden="1">#REF!,#REF!,#REF!,#REF!,#REF!,#REF!,#REF!,#REF!,#REF!,#REF!,#REF!,#REF!,#REF!,#REF!,#REF!</definedName>
    <definedName name="__APW_RESTORE_DATA338__" localSheetId="2" hidden="1">#REF!,#REF!,#REF!,#REF!,#REF!,#REF!,#REF!,#REF!,#REF!,#REF!,#REF!,#REF!,#REF!,#REF!,#REF!</definedName>
    <definedName name="__APW_RESTORE_DATA338__" hidden="1">#REF!,#REF!,#REF!,#REF!,#REF!,#REF!,#REF!,#REF!,#REF!,#REF!,#REF!,#REF!,#REF!,#REF!,#REF!</definedName>
    <definedName name="__APW_RESTORE_DATA339__" localSheetId="6" hidden="1">#REF!,#REF!,#REF!,#REF!,#REF!,#REF!,#REF!,#REF!,#REF!,#REF!,#REF!,#REF!,#REF!,#REF!,#REF!</definedName>
    <definedName name="__APW_RESTORE_DATA339__" localSheetId="9" hidden="1">#REF!,#REF!,#REF!,#REF!,#REF!,#REF!,#REF!,#REF!,#REF!,#REF!,#REF!,#REF!,#REF!,#REF!,#REF!</definedName>
    <definedName name="__APW_RESTORE_DATA339__" localSheetId="2" hidden="1">#REF!,#REF!,#REF!,#REF!,#REF!,#REF!,#REF!,#REF!,#REF!,#REF!,#REF!,#REF!,#REF!,#REF!,#REF!</definedName>
    <definedName name="__APW_RESTORE_DATA339__" hidden="1">#REF!,#REF!,#REF!,#REF!,#REF!,#REF!,#REF!,#REF!,#REF!,#REF!,#REF!,#REF!,#REF!,#REF!,#REF!</definedName>
    <definedName name="__APW_RESTORE_DATA34__" localSheetId="2" hidden="1">#REF!,#REF!,#REF!,#REF!,#REF!,#REF!,#REF!,#REF!,#REF!,#REF!,#REF!,#REF!,#REF!,#REF!,#REF!</definedName>
    <definedName name="__APW_RESTORE_DATA34__" hidden="1">#REF!,#REF!,#REF!,#REF!,#REF!,#REF!,#REF!,#REF!,#REF!,#REF!,#REF!,#REF!,#REF!,#REF!,#REF!</definedName>
    <definedName name="__APW_RESTORE_DATA340__" localSheetId="2" hidden="1">#REF!,#REF!,#REF!,#REF!,#REF!,#REF!,#REF!,#REF!,#REF!,#REF!,#REF!,#REF!,#REF!,#REF!,#REF!</definedName>
    <definedName name="__APW_RESTORE_DATA340__" hidden="1">#REF!,#REF!,#REF!,#REF!,#REF!,#REF!,#REF!,#REF!,#REF!,#REF!,#REF!,#REF!,#REF!,#REF!,#REF!</definedName>
    <definedName name="__APW_RESTORE_DATA341__" localSheetId="6" hidden="1">#REF!,#REF!,#REF!,#REF!,#REF!,#REF!,#REF!,#REF!,#REF!,#REF!,#REF!,#REF!,#REF!,#REF!</definedName>
    <definedName name="__APW_RESTORE_DATA341__" localSheetId="9" hidden="1">#REF!,#REF!,#REF!,#REF!,#REF!,#REF!,#REF!,#REF!,#REF!,#REF!,#REF!,#REF!,#REF!,#REF!</definedName>
    <definedName name="__APW_RESTORE_DATA341__" localSheetId="2" hidden="1">#REF!,#REF!,#REF!,#REF!,#REF!,#REF!,#REF!,#REF!,#REF!,#REF!,#REF!,#REF!,#REF!,#REF!</definedName>
    <definedName name="__APW_RESTORE_DATA341__" hidden="1">#REF!,#REF!,#REF!,#REF!,#REF!,#REF!,#REF!,#REF!,#REF!,#REF!,#REF!,#REF!,#REF!,#REF!</definedName>
    <definedName name="__APW_RESTORE_DATA342__" localSheetId="6" hidden="1">#REF!,#REF!,#REF!,#REF!,#REF!,#REF!,#REF!,#REF!,#REF!,#REF!,#REF!,#REF!,#REF!,#REF!,#REF!,#REF!,#REF!</definedName>
    <definedName name="__APW_RESTORE_DATA342__" localSheetId="9" hidden="1">#REF!,#REF!,#REF!,#REF!,#REF!,#REF!,#REF!,#REF!,#REF!,#REF!,#REF!,#REF!,#REF!,#REF!,#REF!,#REF!,#REF!</definedName>
    <definedName name="__APW_RESTORE_DATA342__" localSheetId="2" hidden="1">#REF!,#REF!,#REF!,#REF!,#REF!,#REF!,#REF!,#REF!,#REF!,#REF!,#REF!,#REF!,#REF!,#REF!,#REF!,#REF!,#REF!</definedName>
    <definedName name="__APW_RESTORE_DATA342__" hidden="1">#REF!,#REF!,#REF!,#REF!,#REF!,#REF!,#REF!,#REF!,#REF!,#REF!,#REF!,#REF!,#REF!,#REF!,#REF!,#REF!,#REF!</definedName>
    <definedName name="__APW_RESTORE_DATA343__" localSheetId="6" hidden="1">#REF!,#REF!,#REF!,#REF!,#REF!,#REF!,#REF!,#REF!,#REF!,#REF!,#REF!,#REF!,#REF!,#REF!,#REF!,#REF!</definedName>
    <definedName name="__APW_RESTORE_DATA343__" localSheetId="9" hidden="1">#REF!,#REF!,#REF!,#REF!,#REF!,#REF!,#REF!,#REF!,#REF!,#REF!,#REF!,#REF!,#REF!,#REF!,#REF!,#REF!</definedName>
    <definedName name="__APW_RESTORE_DATA343__" localSheetId="2" hidden="1">#REF!,#REF!,#REF!,#REF!,#REF!,#REF!,#REF!,#REF!,#REF!,#REF!,#REF!,#REF!,#REF!,#REF!,#REF!,#REF!</definedName>
    <definedName name="__APW_RESTORE_DATA343__" hidden="1">#REF!,#REF!,#REF!,#REF!,#REF!,#REF!,#REF!,#REF!,#REF!,#REF!,#REF!,#REF!,#REF!,#REF!,#REF!,#REF!</definedName>
    <definedName name="__APW_RESTORE_DATA344__" localSheetId="6" hidden="1">#REF!,#REF!,#REF!,#REF!,#REF!,#REF!,#REF!,#REF!,#REF!,#REF!,#REF!,#REF!,#REF!,#REF!,#REF!,#REF!</definedName>
    <definedName name="__APW_RESTORE_DATA344__" localSheetId="9" hidden="1">#REF!,#REF!,#REF!,#REF!,#REF!,#REF!,#REF!,#REF!,#REF!,#REF!,#REF!,#REF!,#REF!,#REF!,#REF!,#REF!</definedName>
    <definedName name="__APW_RESTORE_DATA344__" localSheetId="2" hidden="1">#REF!,#REF!,#REF!,#REF!,#REF!,#REF!,#REF!,#REF!,#REF!,#REF!,#REF!,#REF!,#REF!,#REF!,#REF!,#REF!</definedName>
    <definedName name="__APW_RESTORE_DATA344__" hidden="1">#REF!,#REF!,#REF!,#REF!,#REF!,#REF!,#REF!,#REF!,#REF!,#REF!,#REF!,#REF!,#REF!,#REF!,#REF!,#REF!</definedName>
    <definedName name="__APW_RESTORE_DATA345__" localSheetId="6" hidden="1">#REF!,#REF!,#REF!,#REF!,#REF!,#REF!,#REF!,#REF!,#REF!,#REF!,#REF!,#REF!,#REF!,#REF!,#REF!,#REF!</definedName>
    <definedName name="__APW_RESTORE_DATA345__" localSheetId="9" hidden="1">#REF!,#REF!,#REF!,#REF!,#REF!,#REF!,#REF!,#REF!,#REF!,#REF!,#REF!,#REF!,#REF!,#REF!,#REF!,#REF!</definedName>
    <definedName name="__APW_RESTORE_DATA345__" localSheetId="2" hidden="1">#REF!,#REF!,#REF!,#REF!,#REF!,#REF!,#REF!,#REF!,#REF!,#REF!,#REF!,#REF!,#REF!,#REF!,#REF!,#REF!</definedName>
    <definedName name="__APW_RESTORE_DATA345__" hidden="1">#REF!,#REF!,#REF!,#REF!,#REF!,#REF!,#REF!,#REF!,#REF!,#REF!,#REF!,#REF!,#REF!,#REF!,#REF!,#REF!</definedName>
    <definedName name="__APW_RESTORE_DATA346__" localSheetId="2" hidden="1">#REF!,#REF!,#REF!,#REF!,#REF!,#REF!,#REF!,#REF!,#REF!,#REF!,#REF!,#REF!,#REF!,#REF!,#REF!,#REF!</definedName>
    <definedName name="__APW_RESTORE_DATA346__" hidden="1">#REF!,#REF!,#REF!,#REF!,#REF!,#REF!,#REF!,#REF!,#REF!,#REF!,#REF!,#REF!,#REF!,#REF!,#REF!,#REF!</definedName>
    <definedName name="__APW_RESTORE_DATA347__" localSheetId="2" hidden="1">#REF!,#REF!,#REF!,#REF!,#REF!,#REF!,#REF!,#REF!,#REF!,#REF!,#REF!,#REF!,#REF!,#REF!,#REF!,#REF!</definedName>
    <definedName name="__APW_RESTORE_DATA347__" hidden="1">#REF!,#REF!,#REF!,#REF!,#REF!,#REF!,#REF!,#REF!,#REF!,#REF!,#REF!,#REF!,#REF!,#REF!,#REF!,#REF!</definedName>
    <definedName name="__APW_RESTORE_DATA348__" localSheetId="6" hidden="1">#REF!,#REF!,#REF!,#REF!,#REF!,#REF!,#REF!,#REF!,#REF!,#REF!,#REF!,#REF!,#REF!,#REF!,#REF!</definedName>
    <definedName name="__APW_RESTORE_DATA348__" localSheetId="9" hidden="1">#REF!,#REF!,#REF!,#REF!,#REF!,#REF!,#REF!,#REF!,#REF!,#REF!,#REF!,#REF!,#REF!,#REF!,#REF!</definedName>
    <definedName name="__APW_RESTORE_DATA348__" localSheetId="2" hidden="1">#REF!,#REF!,#REF!,#REF!,#REF!,#REF!,#REF!,#REF!,#REF!,#REF!,#REF!,#REF!,#REF!,#REF!,#REF!</definedName>
    <definedName name="__APW_RESTORE_DATA348__" hidden="1">#REF!,#REF!,#REF!,#REF!,#REF!,#REF!,#REF!,#REF!,#REF!,#REF!,#REF!,#REF!,#REF!,#REF!,#REF!</definedName>
    <definedName name="__APW_RESTORE_DATA349__" localSheetId="6" hidden="1">#REF!,#REF!,#REF!,#REF!,#REF!,#REF!,#REF!,#REF!,#REF!,#REF!,#REF!,#REF!,#REF!,#REF!,#REF!</definedName>
    <definedName name="__APW_RESTORE_DATA349__" localSheetId="9" hidden="1">#REF!,#REF!,#REF!,#REF!,#REF!,#REF!,#REF!,#REF!,#REF!,#REF!,#REF!,#REF!,#REF!,#REF!,#REF!</definedName>
    <definedName name="__APW_RESTORE_DATA349__" localSheetId="2" hidden="1">#REF!,#REF!,#REF!,#REF!,#REF!,#REF!,#REF!,#REF!,#REF!,#REF!,#REF!,#REF!,#REF!,#REF!,#REF!</definedName>
    <definedName name="__APW_RESTORE_DATA349__" hidden="1">#REF!,#REF!,#REF!,#REF!,#REF!,#REF!,#REF!,#REF!,#REF!,#REF!,#REF!,#REF!,#REF!,#REF!,#REF!</definedName>
    <definedName name="__APW_RESTORE_DATA35__" localSheetId="6" hidden="1">#REF!,#REF!,#REF!,#REF!,#REF!,#REF!</definedName>
    <definedName name="__APW_RESTORE_DATA35__" localSheetId="9" hidden="1">#REF!,#REF!,#REF!,#REF!,#REF!,#REF!</definedName>
    <definedName name="__APW_RESTORE_DATA35__" localSheetId="2" hidden="1">#REF!,#REF!,#REF!,#REF!,#REF!,#REF!</definedName>
    <definedName name="__APW_RESTORE_DATA35__" hidden="1">#REF!,#REF!,#REF!,#REF!,#REF!,#REF!</definedName>
    <definedName name="__APW_RESTORE_DATA350__" localSheetId="6" hidden="1">#REF!,#REF!,#REF!,#REF!,#REF!,#REF!,#REF!,#REF!,#REF!,#REF!,#REF!,#REF!,#REF!,#REF!,#REF!</definedName>
    <definedName name="__APW_RESTORE_DATA350__" localSheetId="9" hidden="1">#REF!,#REF!,#REF!,#REF!,#REF!,#REF!,#REF!,#REF!,#REF!,#REF!,#REF!,#REF!,#REF!,#REF!,#REF!</definedName>
    <definedName name="__APW_RESTORE_DATA350__" localSheetId="2" hidden="1">#REF!,#REF!,#REF!,#REF!,#REF!,#REF!,#REF!,#REF!,#REF!,#REF!,#REF!,#REF!,#REF!,#REF!,#REF!</definedName>
    <definedName name="__APW_RESTORE_DATA350__" hidden="1">#REF!,#REF!,#REF!,#REF!,#REF!,#REF!,#REF!,#REF!,#REF!,#REF!,#REF!,#REF!,#REF!,#REF!,#REF!</definedName>
    <definedName name="__APW_RESTORE_DATA351__" localSheetId="6" hidden="1">#REF!,#REF!,#REF!,#REF!,#REF!,#REF!,#REF!,#REF!,#REF!,#REF!,#REF!,#REF!,#REF!,#REF!,#REF!</definedName>
    <definedName name="__APW_RESTORE_DATA351__" localSheetId="9" hidden="1">#REF!,#REF!,#REF!,#REF!,#REF!,#REF!,#REF!,#REF!,#REF!,#REF!,#REF!,#REF!,#REF!,#REF!,#REF!</definedName>
    <definedName name="__APW_RESTORE_DATA351__" localSheetId="2" hidden="1">#REF!,#REF!,#REF!,#REF!,#REF!,#REF!,#REF!,#REF!,#REF!,#REF!,#REF!,#REF!,#REF!,#REF!,#REF!</definedName>
    <definedName name="__APW_RESTORE_DATA351__" hidden="1">#REF!,#REF!,#REF!,#REF!,#REF!,#REF!,#REF!,#REF!,#REF!,#REF!,#REF!,#REF!,#REF!,#REF!,#REF!</definedName>
    <definedName name="__APW_RESTORE_DATA352__" localSheetId="6" hidden="1">#REF!,#REF!,#REF!,#REF!,#REF!,#REF!,#REF!,#REF!,#REF!,#REF!,#REF!,#REF!,#REF!,#REF!</definedName>
    <definedName name="__APW_RESTORE_DATA352__" localSheetId="9" hidden="1">#REF!,#REF!,#REF!,#REF!,#REF!,#REF!,#REF!,#REF!,#REF!,#REF!,#REF!,#REF!,#REF!,#REF!</definedName>
    <definedName name="__APW_RESTORE_DATA352__" localSheetId="2" hidden="1">#REF!,#REF!,#REF!,#REF!,#REF!,#REF!,#REF!,#REF!,#REF!,#REF!,#REF!,#REF!,#REF!,#REF!</definedName>
    <definedName name="__APW_RESTORE_DATA352__" hidden="1">#REF!,#REF!,#REF!,#REF!,#REF!,#REF!,#REF!,#REF!,#REF!,#REF!,#REF!,#REF!,#REF!,#REF!</definedName>
    <definedName name="__APW_RESTORE_DATA353__" localSheetId="6" hidden="1">#REF!,#REF!,#REF!,#REF!,#REF!,#REF!,#REF!,#REF!,#REF!,#REF!,#REF!,#REF!,#REF!,#REF!,#REF!,#REF!,#REF!</definedName>
    <definedName name="__APW_RESTORE_DATA353__" localSheetId="9" hidden="1">#REF!,#REF!,#REF!,#REF!,#REF!,#REF!,#REF!,#REF!,#REF!,#REF!,#REF!,#REF!,#REF!,#REF!,#REF!,#REF!,#REF!</definedName>
    <definedName name="__APW_RESTORE_DATA353__" localSheetId="2" hidden="1">#REF!,#REF!,#REF!,#REF!,#REF!,#REF!,#REF!,#REF!,#REF!,#REF!,#REF!,#REF!,#REF!,#REF!,#REF!,#REF!,#REF!</definedName>
    <definedName name="__APW_RESTORE_DATA353__" hidden="1">#REF!,#REF!,#REF!,#REF!,#REF!,#REF!,#REF!,#REF!,#REF!,#REF!,#REF!,#REF!,#REF!,#REF!,#REF!,#REF!,#REF!</definedName>
    <definedName name="__APW_RESTORE_DATA354__" localSheetId="6" hidden="1">#REF!,#REF!,#REF!,#REF!,#REF!,#REF!,#REF!,#REF!,#REF!,#REF!,#REF!,#REF!,#REF!,#REF!,#REF!,#REF!</definedName>
    <definedName name="__APW_RESTORE_DATA354__" localSheetId="9" hidden="1">#REF!,#REF!,#REF!,#REF!,#REF!,#REF!,#REF!,#REF!,#REF!,#REF!,#REF!,#REF!,#REF!,#REF!,#REF!,#REF!</definedName>
    <definedName name="__APW_RESTORE_DATA354__" localSheetId="2" hidden="1">#REF!,#REF!,#REF!,#REF!,#REF!,#REF!,#REF!,#REF!,#REF!,#REF!,#REF!,#REF!,#REF!,#REF!,#REF!,#REF!</definedName>
    <definedName name="__APW_RESTORE_DATA354__" hidden="1">#REF!,#REF!,#REF!,#REF!,#REF!,#REF!,#REF!,#REF!,#REF!,#REF!,#REF!,#REF!,#REF!,#REF!,#REF!,#REF!</definedName>
    <definedName name="__APW_RESTORE_DATA355__" localSheetId="6" hidden="1">#REF!,#REF!,#REF!,#REF!,#REF!,#REF!,#REF!,#REF!,#REF!,#REF!,#REF!,#REF!,#REF!,#REF!,#REF!,#REF!</definedName>
    <definedName name="__APW_RESTORE_DATA355__" localSheetId="9" hidden="1">#REF!,#REF!,#REF!,#REF!,#REF!,#REF!,#REF!,#REF!,#REF!,#REF!,#REF!,#REF!,#REF!,#REF!,#REF!,#REF!</definedName>
    <definedName name="__APW_RESTORE_DATA355__" localSheetId="2" hidden="1">#REF!,#REF!,#REF!,#REF!,#REF!,#REF!,#REF!,#REF!,#REF!,#REF!,#REF!,#REF!,#REF!,#REF!,#REF!,#REF!</definedName>
    <definedName name="__APW_RESTORE_DATA355__" hidden="1">#REF!,#REF!,#REF!,#REF!,#REF!,#REF!,#REF!,#REF!,#REF!,#REF!,#REF!,#REF!,#REF!,#REF!,#REF!,#REF!</definedName>
    <definedName name="__APW_RESTORE_DATA356__" localSheetId="6" hidden="1">#REF!,#REF!,#REF!,#REF!,#REF!,#REF!,#REF!,#REF!,#REF!,#REF!,#REF!,#REF!,#REF!,#REF!,#REF!,#REF!</definedName>
    <definedName name="__APW_RESTORE_DATA356__" localSheetId="9" hidden="1">#REF!,#REF!,#REF!,#REF!,#REF!,#REF!,#REF!,#REF!,#REF!,#REF!,#REF!,#REF!,#REF!,#REF!,#REF!,#REF!</definedName>
    <definedName name="__APW_RESTORE_DATA356__" localSheetId="2" hidden="1">#REF!,#REF!,#REF!,#REF!,#REF!,#REF!,#REF!,#REF!,#REF!,#REF!,#REF!,#REF!,#REF!,#REF!,#REF!,#REF!</definedName>
    <definedName name="__APW_RESTORE_DATA356__" hidden="1">#REF!,#REF!,#REF!,#REF!,#REF!,#REF!,#REF!,#REF!,#REF!,#REF!,#REF!,#REF!,#REF!,#REF!,#REF!,#REF!</definedName>
    <definedName name="__APW_RESTORE_DATA357__" localSheetId="2" hidden="1">#REF!,#REF!,#REF!,#REF!,#REF!,#REF!,#REF!,#REF!,#REF!,#REF!,#REF!,#REF!,#REF!,#REF!,#REF!,#REF!</definedName>
    <definedName name="__APW_RESTORE_DATA357__" hidden="1">#REF!,#REF!,#REF!,#REF!,#REF!,#REF!,#REF!,#REF!,#REF!,#REF!,#REF!,#REF!,#REF!,#REF!,#REF!,#REF!</definedName>
    <definedName name="__APW_RESTORE_DATA358__" localSheetId="2" hidden="1">#REF!,#REF!,#REF!,#REF!,#REF!,#REF!,#REF!,#REF!,#REF!,#REF!,#REF!,#REF!,#REF!,#REF!,#REF!,#REF!</definedName>
    <definedName name="__APW_RESTORE_DATA358__" hidden="1">#REF!,#REF!,#REF!,#REF!,#REF!,#REF!,#REF!,#REF!,#REF!,#REF!,#REF!,#REF!,#REF!,#REF!,#REF!,#REF!</definedName>
    <definedName name="__APW_RESTORE_DATA359__" localSheetId="6" hidden="1">#REF!,#REF!,#REF!,#REF!,#REF!,#REF!,#REF!,#REF!,#REF!,#REF!,#REF!,#REF!,#REF!,#REF!,#REF!</definedName>
    <definedName name="__APW_RESTORE_DATA359__" localSheetId="9" hidden="1">#REF!,#REF!,#REF!,#REF!,#REF!,#REF!,#REF!,#REF!,#REF!,#REF!,#REF!,#REF!,#REF!,#REF!,#REF!</definedName>
    <definedName name="__APW_RESTORE_DATA359__" localSheetId="2" hidden="1">#REF!,#REF!,#REF!,#REF!,#REF!,#REF!,#REF!,#REF!,#REF!,#REF!,#REF!,#REF!,#REF!,#REF!,#REF!</definedName>
    <definedName name="__APW_RESTORE_DATA359__" hidden="1">#REF!,#REF!,#REF!,#REF!,#REF!,#REF!,#REF!,#REF!,#REF!,#REF!,#REF!,#REF!,#REF!,#REF!,#REF!</definedName>
    <definedName name="__APW_RESTORE_DATA36__" localSheetId="6" hidden="1">#REF!,#REF!,#REF!,#REF!,#REF!,#REF!,#REF!,#REF!,#REF!,#REF!,#REF!,#REF!,#REF!,#REF!,#REF!,#REF!,#REF!</definedName>
    <definedName name="__APW_RESTORE_DATA36__" localSheetId="9" hidden="1">#REF!,#REF!,#REF!,#REF!,#REF!,#REF!,#REF!,#REF!,#REF!,#REF!,#REF!,#REF!,#REF!,#REF!,#REF!,#REF!,#REF!</definedName>
    <definedName name="__APW_RESTORE_DATA36__" localSheetId="2" hidden="1">#REF!,#REF!,#REF!,#REF!,#REF!,#REF!,#REF!,#REF!,#REF!,#REF!,#REF!,#REF!,#REF!,#REF!,#REF!,#REF!,#REF!</definedName>
    <definedName name="__APW_RESTORE_DATA36__" hidden="1">#REF!,#REF!,#REF!,#REF!,#REF!,#REF!,#REF!,#REF!,#REF!,#REF!,#REF!,#REF!,#REF!,#REF!,#REF!,#REF!,#REF!</definedName>
    <definedName name="__APW_RESTORE_DATA360__" localSheetId="6" hidden="1">#REF!,#REF!,#REF!,#REF!,#REF!,#REF!,#REF!,#REF!,#REF!,#REF!,#REF!,#REF!,#REF!,#REF!,#REF!</definedName>
    <definedName name="__APW_RESTORE_DATA360__" localSheetId="9" hidden="1">#REF!,#REF!,#REF!,#REF!,#REF!,#REF!,#REF!,#REF!,#REF!,#REF!,#REF!,#REF!,#REF!,#REF!,#REF!</definedName>
    <definedName name="__APW_RESTORE_DATA360__" localSheetId="2" hidden="1">#REF!,#REF!,#REF!,#REF!,#REF!,#REF!,#REF!,#REF!,#REF!,#REF!,#REF!,#REF!,#REF!,#REF!,#REF!</definedName>
    <definedName name="__APW_RESTORE_DATA360__" hidden="1">#REF!,#REF!,#REF!,#REF!,#REF!,#REF!,#REF!,#REF!,#REF!,#REF!,#REF!,#REF!,#REF!,#REF!,#REF!</definedName>
    <definedName name="__APW_RESTORE_DATA361__" localSheetId="6" hidden="1">#REF!,#REF!,#REF!,#REF!,#REF!,#REF!,#REF!,#REF!,#REF!,#REF!,#REF!,#REF!,#REF!,#REF!,#REF!</definedName>
    <definedName name="__APW_RESTORE_DATA361__" localSheetId="9" hidden="1">#REF!,#REF!,#REF!,#REF!,#REF!,#REF!,#REF!,#REF!,#REF!,#REF!,#REF!,#REF!,#REF!,#REF!,#REF!</definedName>
    <definedName name="__APW_RESTORE_DATA361__" localSheetId="2" hidden="1">#REF!,#REF!,#REF!,#REF!,#REF!,#REF!,#REF!,#REF!,#REF!,#REF!,#REF!,#REF!,#REF!,#REF!,#REF!</definedName>
    <definedName name="__APW_RESTORE_DATA361__" hidden="1">#REF!,#REF!,#REF!,#REF!,#REF!,#REF!,#REF!,#REF!,#REF!,#REF!,#REF!,#REF!,#REF!,#REF!,#REF!</definedName>
    <definedName name="__APW_RESTORE_DATA362__" localSheetId="6" hidden="1">#REF!,#REF!,#REF!,#REF!,#REF!,#REF!,#REF!,#REF!,#REF!,#REF!,#REF!,#REF!,#REF!,#REF!,#REF!</definedName>
    <definedName name="__APW_RESTORE_DATA362__" localSheetId="9" hidden="1">#REF!,#REF!,#REF!,#REF!,#REF!,#REF!,#REF!,#REF!,#REF!,#REF!,#REF!,#REF!,#REF!,#REF!,#REF!</definedName>
    <definedName name="__APW_RESTORE_DATA362__" localSheetId="2" hidden="1">#REF!,#REF!,#REF!,#REF!,#REF!,#REF!,#REF!,#REF!,#REF!,#REF!,#REF!,#REF!,#REF!,#REF!,#REF!</definedName>
    <definedName name="__APW_RESTORE_DATA362__" hidden="1">#REF!,#REF!,#REF!,#REF!,#REF!,#REF!,#REF!,#REF!,#REF!,#REF!,#REF!,#REF!,#REF!,#REF!,#REF!</definedName>
    <definedName name="__APW_RESTORE_DATA363__" localSheetId="6" hidden="1">#REF!,#REF!,#REF!,#REF!,#REF!,#REF!,#REF!,#REF!,#REF!,#REF!,#REF!,#REF!,#REF!,#REF!</definedName>
    <definedName name="__APW_RESTORE_DATA363__" localSheetId="9" hidden="1">#REF!,#REF!,#REF!,#REF!,#REF!,#REF!,#REF!,#REF!,#REF!,#REF!,#REF!,#REF!,#REF!,#REF!</definedName>
    <definedName name="__APW_RESTORE_DATA363__" localSheetId="2" hidden="1">#REF!,#REF!,#REF!,#REF!,#REF!,#REF!,#REF!,#REF!,#REF!,#REF!,#REF!,#REF!,#REF!,#REF!</definedName>
    <definedName name="__APW_RESTORE_DATA363__" hidden="1">#REF!,#REF!,#REF!,#REF!,#REF!,#REF!,#REF!,#REF!,#REF!,#REF!,#REF!,#REF!,#REF!,#REF!</definedName>
    <definedName name="__APW_RESTORE_DATA364__" localSheetId="6" hidden="1">#REF!,#REF!,#REF!,#REF!,#REF!,#REF!,#REF!,#REF!,#REF!,#REF!,#REF!,#REF!,#REF!,#REF!,#REF!,#REF!,#REF!</definedName>
    <definedName name="__APW_RESTORE_DATA364__" localSheetId="9" hidden="1">#REF!,#REF!,#REF!,#REF!,#REF!,#REF!,#REF!,#REF!,#REF!,#REF!,#REF!,#REF!,#REF!,#REF!,#REF!,#REF!,#REF!</definedName>
    <definedName name="__APW_RESTORE_DATA364__" localSheetId="2" hidden="1">#REF!,#REF!,#REF!,#REF!,#REF!,#REF!,#REF!,#REF!,#REF!,#REF!,#REF!,#REF!,#REF!,#REF!,#REF!,#REF!,#REF!</definedName>
    <definedName name="__APW_RESTORE_DATA364__" hidden="1">#REF!,#REF!,#REF!,#REF!,#REF!,#REF!,#REF!,#REF!,#REF!,#REF!,#REF!,#REF!,#REF!,#REF!,#REF!,#REF!,#REF!</definedName>
    <definedName name="__APW_RESTORE_DATA365__" localSheetId="6" hidden="1">#REF!,#REF!,#REF!,#REF!,#REF!,#REF!,#REF!,#REF!,#REF!,#REF!,#REF!,#REF!,#REF!,#REF!,#REF!,#REF!</definedName>
    <definedName name="__APW_RESTORE_DATA365__" localSheetId="9" hidden="1">#REF!,#REF!,#REF!,#REF!,#REF!,#REF!,#REF!,#REF!,#REF!,#REF!,#REF!,#REF!,#REF!,#REF!,#REF!,#REF!</definedName>
    <definedName name="__APW_RESTORE_DATA365__" localSheetId="2" hidden="1">#REF!,#REF!,#REF!,#REF!,#REF!,#REF!,#REF!,#REF!,#REF!,#REF!,#REF!,#REF!,#REF!,#REF!,#REF!,#REF!</definedName>
    <definedName name="__APW_RESTORE_DATA365__" hidden="1">#REF!,#REF!,#REF!,#REF!,#REF!,#REF!,#REF!,#REF!,#REF!,#REF!,#REF!,#REF!,#REF!,#REF!,#REF!,#REF!</definedName>
    <definedName name="__APW_RESTORE_DATA366__" localSheetId="6" hidden="1">#REF!,#REF!,#REF!,#REF!,#REF!,#REF!,#REF!,#REF!,#REF!,#REF!,#REF!,#REF!,#REF!,#REF!,#REF!,#REF!</definedName>
    <definedName name="__APW_RESTORE_DATA366__" localSheetId="9" hidden="1">#REF!,#REF!,#REF!,#REF!,#REF!,#REF!,#REF!,#REF!,#REF!,#REF!,#REF!,#REF!,#REF!,#REF!,#REF!,#REF!</definedName>
    <definedName name="__APW_RESTORE_DATA366__" localSheetId="2" hidden="1">#REF!,#REF!,#REF!,#REF!,#REF!,#REF!,#REF!,#REF!,#REF!,#REF!,#REF!,#REF!,#REF!,#REF!,#REF!,#REF!</definedName>
    <definedName name="__APW_RESTORE_DATA366__" hidden="1">#REF!,#REF!,#REF!,#REF!,#REF!,#REF!,#REF!,#REF!,#REF!,#REF!,#REF!,#REF!,#REF!,#REF!,#REF!,#REF!</definedName>
    <definedName name="__APW_RESTORE_DATA367__" localSheetId="6" hidden="1">#REF!,#REF!,#REF!,#REF!,#REF!,#REF!,#REF!,#REF!,#REF!,#REF!,#REF!,#REF!,#REF!,#REF!,#REF!,#REF!</definedName>
    <definedName name="__APW_RESTORE_DATA367__" localSheetId="9" hidden="1">#REF!,#REF!,#REF!,#REF!,#REF!,#REF!,#REF!,#REF!,#REF!,#REF!,#REF!,#REF!,#REF!,#REF!,#REF!,#REF!</definedName>
    <definedName name="__APW_RESTORE_DATA367__" localSheetId="2" hidden="1">#REF!,#REF!,#REF!,#REF!,#REF!,#REF!,#REF!,#REF!,#REF!,#REF!,#REF!,#REF!,#REF!,#REF!,#REF!,#REF!</definedName>
    <definedName name="__APW_RESTORE_DATA367__" hidden="1">#REF!,#REF!,#REF!,#REF!,#REF!,#REF!,#REF!,#REF!,#REF!,#REF!,#REF!,#REF!,#REF!,#REF!,#REF!,#REF!</definedName>
    <definedName name="__APW_RESTORE_DATA368__" localSheetId="2" hidden="1">#REF!,#REF!,#REF!,#REF!,#REF!,#REF!,#REF!,#REF!,#REF!,#REF!,#REF!,#REF!,#REF!,#REF!,#REF!,#REF!</definedName>
    <definedName name="__APW_RESTORE_DATA368__" hidden="1">#REF!,#REF!,#REF!,#REF!,#REF!,#REF!,#REF!,#REF!,#REF!,#REF!,#REF!,#REF!,#REF!,#REF!,#REF!,#REF!</definedName>
    <definedName name="__APW_RESTORE_DATA369__" localSheetId="2" hidden="1">#REF!,#REF!,#REF!,#REF!,#REF!,#REF!,#REF!,#REF!,#REF!,#REF!,#REF!,#REF!,#REF!,#REF!,#REF!,#REF!</definedName>
    <definedName name="__APW_RESTORE_DATA369__" hidden="1">#REF!,#REF!,#REF!,#REF!,#REF!,#REF!,#REF!,#REF!,#REF!,#REF!,#REF!,#REF!,#REF!,#REF!,#REF!,#REF!</definedName>
    <definedName name="__APW_RESTORE_DATA37__" localSheetId="2" hidden="1">#REF!,#REF!,#REF!,#REF!,#REF!,#REF!,#REF!,#REF!,#REF!,#REF!,#REF!,#REF!,#REF!,#REF!,#REF!,#REF!</definedName>
    <definedName name="__APW_RESTORE_DATA37__" hidden="1">#REF!,#REF!,#REF!,#REF!,#REF!,#REF!,#REF!,#REF!,#REF!,#REF!,#REF!,#REF!,#REF!,#REF!,#REF!,#REF!</definedName>
    <definedName name="__APW_RESTORE_DATA370__" localSheetId="6" hidden="1">#REF!,#REF!,#REF!,#REF!,#REF!,#REF!,#REF!,#REF!,#REF!,#REF!,#REF!,#REF!,#REF!,#REF!,#REF!</definedName>
    <definedName name="__APW_RESTORE_DATA370__" localSheetId="9" hidden="1">#REF!,#REF!,#REF!,#REF!,#REF!,#REF!,#REF!,#REF!,#REF!,#REF!,#REF!,#REF!,#REF!,#REF!,#REF!</definedName>
    <definedName name="__APW_RESTORE_DATA370__" localSheetId="2" hidden="1">#REF!,#REF!,#REF!,#REF!,#REF!,#REF!,#REF!,#REF!,#REF!,#REF!,#REF!,#REF!,#REF!,#REF!,#REF!</definedName>
    <definedName name="__APW_RESTORE_DATA370__" hidden="1">#REF!,#REF!,#REF!,#REF!,#REF!,#REF!,#REF!,#REF!,#REF!,#REF!,#REF!,#REF!,#REF!,#REF!,#REF!</definedName>
    <definedName name="__APW_RESTORE_DATA371__" localSheetId="6" hidden="1">#REF!,#REF!,#REF!,#REF!,#REF!,#REF!,#REF!,#REF!,#REF!,#REF!,#REF!,#REF!,#REF!,#REF!,#REF!</definedName>
    <definedName name="__APW_RESTORE_DATA371__" localSheetId="9" hidden="1">#REF!,#REF!,#REF!,#REF!,#REF!,#REF!,#REF!,#REF!,#REF!,#REF!,#REF!,#REF!,#REF!,#REF!,#REF!</definedName>
    <definedName name="__APW_RESTORE_DATA371__" localSheetId="2" hidden="1">#REF!,#REF!,#REF!,#REF!,#REF!,#REF!,#REF!,#REF!,#REF!,#REF!,#REF!,#REF!,#REF!,#REF!,#REF!</definedName>
    <definedName name="__APW_RESTORE_DATA371__" hidden="1">#REF!,#REF!,#REF!,#REF!,#REF!,#REF!,#REF!,#REF!,#REF!,#REF!,#REF!,#REF!,#REF!,#REF!,#REF!</definedName>
    <definedName name="__APW_RESTORE_DATA372__" localSheetId="6" hidden="1">#REF!,#REF!,#REF!,#REF!,#REF!,#REF!,#REF!,#REF!,#REF!,#REF!,#REF!,#REF!,#REF!,#REF!,#REF!</definedName>
    <definedName name="__APW_RESTORE_DATA372__" localSheetId="9" hidden="1">#REF!,#REF!,#REF!,#REF!,#REF!,#REF!,#REF!,#REF!,#REF!,#REF!,#REF!,#REF!,#REF!,#REF!,#REF!</definedName>
    <definedName name="__APW_RESTORE_DATA372__" localSheetId="2" hidden="1">#REF!,#REF!,#REF!,#REF!,#REF!,#REF!,#REF!,#REF!,#REF!,#REF!,#REF!,#REF!,#REF!,#REF!,#REF!</definedName>
    <definedName name="__APW_RESTORE_DATA372__" hidden="1">#REF!,#REF!,#REF!,#REF!,#REF!,#REF!,#REF!,#REF!,#REF!,#REF!,#REF!,#REF!,#REF!,#REF!,#REF!</definedName>
    <definedName name="__APW_RESTORE_DATA373__" localSheetId="2" hidden="1">#REF!,#REF!,#REF!,#REF!,#REF!,#REF!,#REF!,#REF!,#REF!,#REF!,#REF!,#REF!,#REF!,#REF!,#REF!</definedName>
    <definedName name="__APW_RESTORE_DATA373__" hidden="1">#REF!,#REF!,#REF!,#REF!,#REF!,#REF!,#REF!,#REF!,#REF!,#REF!,#REF!,#REF!,#REF!,#REF!,#REF!</definedName>
    <definedName name="__APW_RESTORE_DATA374__" localSheetId="6" hidden="1">#REF!,#REF!,#REF!,#REF!,#REF!,#REF!,#REF!,#REF!,#REF!,#REF!,#REF!,#REF!,#REF!,#REF!</definedName>
    <definedName name="__APW_RESTORE_DATA374__" localSheetId="9" hidden="1">#REF!,#REF!,#REF!,#REF!,#REF!,#REF!,#REF!,#REF!,#REF!,#REF!,#REF!,#REF!,#REF!,#REF!</definedName>
    <definedName name="__APW_RESTORE_DATA374__" localSheetId="2" hidden="1">#REF!,#REF!,#REF!,#REF!,#REF!,#REF!,#REF!,#REF!,#REF!,#REF!,#REF!,#REF!,#REF!,#REF!</definedName>
    <definedName name="__APW_RESTORE_DATA374__" hidden="1">#REF!,#REF!,#REF!,#REF!,#REF!,#REF!,#REF!,#REF!,#REF!,#REF!,#REF!,#REF!,#REF!,#REF!</definedName>
    <definedName name="__APW_RESTORE_DATA375__" localSheetId="6" hidden="1">#REF!,#REF!,#REF!,#REF!,#REF!,#REF!,#REF!,#REF!,#REF!,#REF!,#REF!,#REF!,#REF!,#REF!,#REF!,#REF!,#REF!</definedName>
    <definedName name="__APW_RESTORE_DATA375__" localSheetId="9" hidden="1">#REF!,#REF!,#REF!,#REF!,#REF!,#REF!,#REF!,#REF!,#REF!,#REF!,#REF!,#REF!,#REF!,#REF!,#REF!,#REF!,#REF!</definedName>
    <definedName name="__APW_RESTORE_DATA375__" localSheetId="2" hidden="1">#REF!,#REF!,#REF!,#REF!,#REF!,#REF!,#REF!,#REF!,#REF!,#REF!,#REF!,#REF!,#REF!,#REF!,#REF!,#REF!,#REF!</definedName>
    <definedName name="__APW_RESTORE_DATA375__" hidden="1">#REF!,#REF!,#REF!,#REF!,#REF!,#REF!,#REF!,#REF!,#REF!,#REF!,#REF!,#REF!,#REF!,#REF!,#REF!,#REF!,#REF!</definedName>
    <definedName name="__APW_RESTORE_DATA376__" localSheetId="6" hidden="1">#REF!,#REF!,#REF!,#REF!,#REF!,#REF!,#REF!,#REF!,#REF!,#REF!,#REF!,#REF!,#REF!,#REF!,#REF!,#REF!</definedName>
    <definedName name="__APW_RESTORE_DATA376__" localSheetId="9" hidden="1">#REF!,#REF!,#REF!,#REF!,#REF!,#REF!,#REF!,#REF!,#REF!,#REF!,#REF!,#REF!,#REF!,#REF!,#REF!,#REF!</definedName>
    <definedName name="__APW_RESTORE_DATA376__" localSheetId="2" hidden="1">#REF!,#REF!,#REF!,#REF!,#REF!,#REF!,#REF!,#REF!,#REF!,#REF!,#REF!,#REF!,#REF!,#REF!,#REF!,#REF!</definedName>
    <definedName name="__APW_RESTORE_DATA376__" hidden="1">#REF!,#REF!,#REF!,#REF!,#REF!,#REF!,#REF!,#REF!,#REF!,#REF!,#REF!,#REF!,#REF!,#REF!,#REF!,#REF!</definedName>
    <definedName name="__APW_RESTORE_DATA377__" localSheetId="6" hidden="1">#REF!,#REF!,#REF!,#REF!,#REF!,#REF!,#REF!,#REF!,#REF!,#REF!,#REF!,#REF!,#REF!,#REF!,#REF!,#REF!</definedName>
    <definedName name="__APW_RESTORE_DATA377__" localSheetId="9" hidden="1">#REF!,#REF!,#REF!,#REF!,#REF!,#REF!,#REF!,#REF!,#REF!,#REF!,#REF!,#REF!,#REF!,#REF!,#REF!,#REF!</definedName>
    <definedName name="__APW_RESTORE_DATA377__" localSheetId="2" hidden="1">#REF!,#REF!,#REF!,#REF!,#REF!,#REF!,#REF!,#REF!,#REF!,#REF!,#REF!,#REF!,#REF!,#REF!,#REF!,#REF!</definedName>
    <definedName name="__APW_RESTORE_DATA377__" hidden="1">#REF!,#REF!,#REF!,#REF!,#REF!,#REF!,#REF!,#REF!,#REF!,#REF!,#REF!,#REF!,#REF!,#REF!,#REF!,#REF!</definedName>
    <definedName name="__APW_RESTORE_DATA378__" localSheetId="6" hidden="1">#REF!,#REF!,#REF!,#REF!,#REF!,#REF!,#REF!,#REF!,#REF!,#REF!,#REF!,#REF!,#REF!,#REF!,#REF!,#REF!</definedName>
    <definedName name="__APW_RESTORE_DATA378__" localSheetId="9" hidden="1">#REF!,#REF!,#REF!,#REF!,#REF!,#REF!,#REF!,#REF!,#REF!,#REF!,#REF!,#REF!,#REF!,#REF!,#REF!,#REF!</definedName>
    <definedName name="__APW_RESTORE_DATA378__" localSheetId="2" hidden="1">#REF!,#REF!,#REF!,#REF!,#REF!,#REF!,#REF!,#REF!,#REF!,#REF!,#REF!,#REF!,#REF!,#REF!,#REF!,#REF!</definedName>
    <definedName name="__APW_RESTORE_DATA378__" hidden="1">#REF!,#REF!,#REF!,#REF!,#REF!,#REF!,#REF!,#REF!,#REF!,#REF!,#REF!,#REF!,#REF!,#REF!,#REF!,#REF!</definedName>
    <definedName name="__APW_RESTORE_DATA379__" localSheetId="2" hidden="1">#REF!,#REF!,#REF!,#REF!,#REF!,#REF!,#REF!,#REF!,#REF!,#REF!,#REF!,#REF!,#REF!,#REF!,#REF!,#REF!</definedName>
    <definedName name="__APW_RESTORE_DATA379__" hidden="1">#REF!,#REF!,#REF!,#REF!,#REF!,#REF!,#REF!,#REF!,#REF!,#REF!,#REF!,#REF!,#REF!,#REF!,#REF!,#REF!</definedName>
    <definedName name="__APW_RESTORE_DATA38__" localSheetId="2" hidden="1">#REF!,#REF!,#REF!,#REF!,#REF!,#REF!,#REF!,#REF!,#REF!,#REF!,#REF!,#REF!,#REF!,#REF!,#REF!,#REF!</definedName>
    <definedName name="__APW_RESTORE_DATA38__" hidden="1">#REF!,#REF!,#REF!,#REF!,#REF!,#REF!,#REF!,#REF!,#REF!,#REF!,#REF!,#REF!,#REF!,#REF!,#REF!,#REF!</definedName>
    <definedName name="__APW_RESTORE_DATA380__" localSheetId="2" hidden="1">#REF!,#REF!,#REF!,#REF!,#REF!,#REF!,#REF!,#REF!,#REF!,#REF!,#REF!,#REF!,#REF!,#REF!,#REF!,#REF!</definedName>
    <definedName name="__APW_RESTORE_DATA380__" hidden="1">#REF!,#REF!,#REF!,#REF!,#REF!,#REF!,#REF!,#REF!,#REF!,#REF!,#REF!,#REF!,#REF!,#REF!,#REF!,#REF!</definedName>
    <definedName name="__APW_RESTORE_DATA381__" localSheetId="6" hidden="1">#REF!,#REF!,#REF!,#REF!,#REF!,#REF!,#REF!,#REF!,#REF!,#REF!,#REF!,#REF!,#REF!,#REF!,#REF!</definedName>
    <definedName name="__APW_RESTORE_DATA381__" localSheetId="9" hidden="1">#REF!,#REF!,#REF!,#REF!,#REF!,#REF!,#REF!,#REF!,#REF!,#REF!,#REF!,#REF!,#REF!,#REF!,#REF!</definedName>
    <definedName name="__APW_RESTORE_DATA381__" localSheetId="2" hidden="1">#REF!,#REF!,#REF!,#REF!,#REF!,#REF!,#REF!,#REF!,#REF!,#REF!,#REF!,#REF!,#REF!,#REF!,#REF!</definedName>
    <definedName name="__APW_RESTORE_DATA381__" hidden="1">#REF!,#REF!,#REF!,#REF!,#REF!,#REF!,#REF!,#REF!,#REF!,#REF!,#REF!,#REF!,#REF!,#REF!,#REF!</definedName>
    <definedName name="__APW_RESTORE_DATA382__" localSheetId="6" hidden="1">#REF!,#REF!,#REF!,#REF!,#REF!,#REF!,#REF!,#REF!,#REF!,#REF!,#REF!,#REF!,#REF!,#REF!,#REF!</definedName>
    <definedName name="__APW_RESTORE_DATA382__" localSheetId="9" hidden="1">#REF!,#REF!,#REF!,#REF!,#REF!,#REF!,#REF!,#REF!,#REF!,#REF!,#REF!,#REF!,#REF!,#REF!,#REF!</definedName>
    <definedName name="__APW_RESTORE_DATA382__" localSheetId="2" hidden="1">#REF!,#REF!,#REF!,#REF!,#REF!,#REF!,#REF!,#REF!,#REF!,#REF!,#REF!,#REF!,#REF!,#REF!,#REF!</definedName>
    <definedName name="__APW_RESTORE_DATA382__" hidden="1">#REF!,#REF!,#REF!,#REF!,#REF!,#REF!,#REF!,#REF!,#REF!,#REF!,#REF!,#REF!,#REF!,#REF!,#REF!</definedName>
    <definedName name="__APW_RESTORE_DATA383__" localSheetId="6" hidden="1">#REF!,#REF!,#REF!,#REF!,#REF!,#REF!,#REF!,#REF!,#REF!,#REF!,#REF!,#REF!,#REF!,#REF!,#REF!</definedName>
    <definedName name="__APW_RESTORE_DATA383__" localSheetId="9" hidden="1">#REF!,#REF!,#REF!,#REF!,#REF!,#REF!,#REF!,#REF!,#REF!,#REF!,#REF!,#REF!,#REF!,#REF!,#REF!</definedName>
    <definedName name="__APW_RESTORE_DATA383__" localSheetId="2" hidden="1">#REF!,#REF!,#REF!,#REF!,#REF!,#REF!,#REF!,#REF!,#REF!,#REF!,#REF!,#REF!,#REF!,#REF!,#REF!</definedName>
    <definedName name="__APW_RESTORE_DATA383__" hidden="1">#REF!,#REF!,#REF!,#REF!,#REF!,#REF!,#REF!,#REF!,#REF!,#REF!,#REF!,#REF!,#REF!,#REF!,#REF!</definedName>
    <definedName name="__APW_RESTORE_DATA384__" localSheetId="2" hidden="1">#REF!,#REF!,#REF!,#REF!,#REF!,#REF!,#REF!,#REF!,#REF!,#REF!,#REF!,#REF!,#REF!,#REF!,#REF!</definedName>
    <definedName name="__APW_RESTORE_DATA384__" hidden="1">#REF!,#REF!,#REF!,#REF!,#REF!,#REF!,#REF!,#REF!,#REF!,#REF!,#REF!,#REF!,#REF!,#REF!,#REF!</definedName>
    <definedName name="__APW_RESTORE_DATA385__" localSheetId="6" hidden="1">#REF!,#REF!,#REF!,#REF!,#REF!,#REF!,#REF!,#REF!,#REF!,#REF!,#REF!,#REF!,#REF!,#REF!</definedName>
    <definedName name="__APW_RESTORE_DATA385__" localSheetId="9" hidden="1">#REF!,#REF!,#REF!,#REF!,#REF!,#REF!,#REF!,#REF!,#REF!,#REF!,#REF!,#REF!,#REF!,#REF!</definedName>
    <definedName name="__APW_RESTORE_DATA385__" localSheetId="2" hidden="1">#REF!,#REF!,#REF!,#REF!,#REF!,#REF!,#REF!,#REF!,#REF!,#REF!,#REF!,#REF!,#REF!,#REF!</definedName>
    <definedName name="__APW_RESTORE_DATA385__" hidden="1">#REF!,#REF!,#REF!,#REF!,#REF!,#REF!,#REF!,#REF!,#REF!,#REF!,#REF!,#REF!,#REF!,#REF!</definedName>
    <definedName name="__APW_RESTORE_DATA386__" localSheetId="6" hidden="1">#REF!,#REF!,#REF!,#REF!,#REF!,#REF!,#REF!,#REF!,#REF!,#REF!,#REF!,#REF!,#REF!,#REF!,#REF!,#REF!</definedName>
    <definedName name="__APW_RESTORE_DATA386__" localSheetId="9" hidden="1">#REF!,#REF!,#REF!,#REF!,#REF!,#REF!,#REF!,#REF!,#REF!,#REF!,#REF!,#REF!,#REF!,#REF!,#REF!,#REF!</definedName>
    <definedName name="__APW_RESTORE_DATA386__" localSheetId="2" hidden="1">#REF!,#REF!,#REF!,#REF!,#REF!,#REF!,#REF!,#REF!,#REF!,#REF!,#REF!,#REF!,#REF!,#REF!,#REF!,#REF!</definedName>
    <definedName name="__APW_RESTORE_DATA386__" hidden="1">#REF!,#REF!,#REF!,#REF!,#REF!,#REF!,#REF!,#REF!,#REF!,#REF!,#REF!,#REF!,#REF!,#REF!,#REF!,#REF!</definedName>
    <definedName name="__APW_RESTORE_DATA387__" localSheetId="6" hidden="1">#REF!,#REF!,#REF!,#REF!,#REF!,#REF!,#REF!,#REF!,#REF!,#REF!,#REF!,#REF!,#REF!,#REF!,#REF!</definedName>
    <definedName name="__APW_RESTORE_DATA387__" localSheetId="9" hidden="1">#REF!,#REF!,#REF!,#REF!,#REF!,#REF!,#REF!,#REF!,#REF!,#REF!,#REF!,#REF!,#REF!,#REF!,#REF!</definedName>
    <definedName name="__APW_RESTORE_DATA387__" localSheetId="2" hidden="1">#REF!,#REF!,#REF!,#REF!,#REF!,#REF!,#REF!,#REF!,#REF!,#REF!,#REF!,#REF!,#REF!,#REF!,#REF!</definedName>
    <definedName name="__APW_RESTORE_DATA387__" hidden="1">#REF!,#REF!,#REF!,#REF!,#REF!,#REF!,#REF!,#REF!,#REF!,#REF!,#REF!,#REF!,#REF!,#REF!,#REF!</definedName>
    <definedName name="__APW_RESTORE_DATA388__" localSheetId="6" hidden="1">#REF!,#REF!,#REF!,#REF!,#REF!,#REF!,#REF!,#REF!,#REF!,#REF!,#REF!,#REF!,#REF!,#REF!,#REF!</definedName>
    <definedName name="__APW_RESTORE_DATA388__" localSheetId="9" hidden="1">#REF!,#REF!,#REF!,#REF!,#REF!,#REF!,#REF!,#REF!,#REF!,#REF!,#REF!,#REF!,#REF!,#REF!,#REF!</definedName>
    <definedName name="__APW_RESTORE_DATA388__" localSheetId="2" hidden="1">#REF!,#REF!,#REF!,#REF!,#REF!,#REF!,#REF!,#REF!,#REF!,#REF!,#REF!,#REF!,#REF!,#REF!,#REF!</definedName>
    <definedName name="__APW_RESTORE_DATA388__" hidden="1">#REF!,#REF!,#REF!,#REF!,#REF!,#REF!,#REF!,#REF!,#REF!,#REF!,#REF!,#REF!,#REF!,#REF!,#REF!</definedName>
    <definedName name="__APW_RESTORE_DATA389__" localSheetId="6" hidden="1">#REF!,#REF!,#REF!,#REF!,#REF!,#REF!,#REF!,#REF!,#REF!,#REF!,#REF!,#REF!,#REF!,#REF!,#REF!</definedName>
    <definedName name="__APW_RESTORE_DATA389__" localSheetId="9" hidden="1">#REF!,#REF!,#REF!,#REF!,#REF!,#REF!,#REF!,#REF!,#REF!,#REF!,#REF!,#REF!,#REF!,#REF!,#REF!</definedName>
    <definedName name="__APW_RESTORE_DATA389__" localSheetId="2" hidden="1">#REF!,#REF!,#REF!,#REF!,#REF!,#REF!,#REF!,#REF!,#REF!,#REF!,#REF!,#REF!,#REF!,#REF!,#REF!</definedName>
    <definedName name="__APW_RESTORE_DATA389__" hidden="1">#REF!,#REF!,#REF!,#REF!,#REF!,#REF!,#REF!,#REF!,#REF!,#REF!,#REF!,#REF!,#REF!,#REF!,#REF!</definedName>
    <definedName name="__APW_RESTORE_DATA39__" localSheetId="6" hidden="1">#REF!,#REF!,#REF!,#REF!,#REF!,#REF!,#REF!,#REF!,#REF!,#REF!,#REF!,#REF!,#REF!,#REF!,#REF!,#REF!</definedName>
    <definedName name="__APW_RESTORE_DATA39__" localSheetId="9" hidden="1">#REF!,#REF!,#REF!,#REF!,#REF!,#REF!,#REF!,#REF!,#REF!,#REF!,#REF!,#REF!,#REF!,#REF!,#REF!,#REF!</definedName>
    <definedName name="__APW_RESTORE_DATA39__" localSheetId="2" hidden="1">#REF!,#REF!,#REF!,#REF!,#REF!,#REF!,#REF!,#REF!,#REF!,#REF!,#REF!,#REF!,#REF!,#REF!,#REF!,#REF!</definedName>
    <definedName name="__APW_RESTORE_DATA39__" hidden="1">#REF!,#REF!,#REF!,#REF!,#REF!,#REF!,#REF!,#REF!,#REF!,#REF!,#REF!,#REF!,#REF!,#REF!,#REF!,#REF!</definedName>
    <definedName name="__APW_RESTORE_DATA390__" localSheetId="6" hidden="1">#REF!,#REF!,#REF!,#REF!,#REF!,#REF!,#REF!,#REF!,#REF!,#REF!,#REF!,#REF!,#REF!,#REF!,#REF!</definedName>
    <definedName name="__APW_RESTORE_DATA390__" localSheetId="9" hidden="1">#REF!,#REF!,#REF!,#REF!,#REF!,#REF!,#REF!,#REF!,#REF!,#REF!,#REF!,#REF!,#REF!,#REF!,#REF!</definedName>
    <definedName name="__APW_RESTORE_DATA390__" localSheetId="2" hidden="1">#REF!,#REF!,#REF!,#REF!,#REF!,#REF!,#REF!,#REF!,#REF!,#REF!,#REF!,#REF!,#REF!,#REF!,#REF!</definedName>
    <definedName name="__APW_RESTORE_DATA390__" hidden="1">#REF!,#REF!,#REF!,#REF!,#REF!,#REF!,#REF!,#REF!,#REF!,#REF!,#REF!,#REF!,#REF!,#REF!,#REF!</definedName>
    <definedName name="__APW_RESTORE_DATA391__" localSheetId="6" hidden="1">#REF!,#REF!,#REF!,#REF!,#REF!,#REF!,#REF!,#REF!,#REF!,#REF!,#REF!,#REF!,#REF!,#REF!,#REF!</definedName>
    <definedName name="__APW_RESTORE_DATA391__" localSheetId="9" hidden="1">#REF!,#REF!,#REF!,#REF!,#REF!,#REF!,#REF!,#REF!,#REF!,#REF!,#REF!,#REF!,#REF!,#REF!,#REF!</definedName>
    <definedName name="__APW_RESTORE_DATA391__" localSheetId="2" hidden="1">#REF!,#REF!,#REF!,#REF!,#REF!,#REF!,#REF!,#REF!,#REF!,#REF!,#REF!,#REF!,#REF!,#REF!,#REF!</definedName>
    <definedName name="__APW_RESTORE_DATA391__" hidden="1">#REF!,#REF!,#REF!,#REF!,#REF!,#REF!,#REF!,#REF!,#REF!,#REF!,#REF!,#REF!,#REF!,#REF!,#REF!</definedName>
    <definedName name="__APW_RESTORE_DATA392__" localSheetId="6" hidden="1">#REF!,#REF!,#REF!,#REF!,#REF!,#REF!,#REF!,#REF!,#REF!,#REF!,#REF!,#REF!,#REF!,#REF!,#REF!</definedName>
    <definedName name="__APW_RESTORE_DATA392__" localSheetId="9" hidden="1">#REF!,#REF!,#REF!,#REF!,#REF!,#REF!,#REF!,#REF!,#REF!,#REF!,#REF!,#REF!,#REF!,#REF!,#REF!</definedName>
    <definedName name="__APW_RESTORE_DATA392__" localSheetId="2" hidden="1">#REF!,#REF!,#REF!,#REF!,#REF!,#REF!,#REF!,#REF!,#REF!,#REF!,#REF!,#REF!,#REF!,#REF!,#REF!</definedName>
    <definedName name="__APW_RESTORE_DATA392__" hidden="1">#REF!,#REF!,#REF!,#REF!,#REF!,#REF!,#REF!,#REF!,#REF!,#REF!,#REF!,#REF!,#REF!,#REF!,#REF!</definedName>
    <definedName name="__APW_RESTORE_DATA393__" localSheetId="6" hidden="1">#REF!,#REF!,#REF!,#REF!,#REF!,#REF!,#REF!,#REF!,#REF!,#REF!,#REF!,#REF!,#REF!,#REF!</definedName>
    <definedName name="__APW_RESTORE_DATA393__" localSheetId="9" hidden="1">#REF!,#REF!,#REF!,#REF!,#REF!,#REF!,#REF!,#REF!,#REF!,#REF!,#REF!,#REF!,#REF!,#REF!</definedName>
    <definedName name="__APW_RESTORE_DATA393__" localSheetId="2" hidden="1">#REF!,#REF!,#REF!,#REF!,#REF!,#REF!,#REF!,#REF!,#REF!,#REF!,#REF!,#REF!,#REF!,#REF!</definedName>
    <definedName name="__APW_RESTORE_DATA393__" hidden="1">#REF!,#REF!,#REF!,#REF!,#REF!,#REF!,#REF!,#REF!,#REF!,#REF!,#REF!,#REF!,#REF!,#REF!</definedName>
    <definedName name="__APW_RESTORE_DATA394__" localSheetId="6" hidden="1">#REF!,#REF!,#REF!,#REF!,#REF!,#REF!,#REF!,#REF!,#REF!,#REF!,#REF!,#REF!,#REF!,#REF!</definedName>
    <definedName name="__APW_RESTORE_DATA394__" localSheetId="9" hidden="1">#REF!,#REF!,#REF!,#REF!,#REF!,#REF!,#REF!,#REF!,#REF!,#REF!,#REF!,#REF!,#REF!,#REF!</definedName>
    <definedName name="__APW_RESTORE_DATA394__" localSheetId="2" hidden="1">#REF!,#REF!,#REF!,#REF!,#REF!,#REF!,#REF!,#REF!,#REF!,#REF!,#REF!,#REF!,#REF!,#REF!</definedName>
    <definedName name="__APW_RESTORE_DATA394__" hidden="1">#REF!,#REF!,#REF!,#REF!,#REF!,#REF!,#REF!,#REF!,#REF!,#REF!,#REF!,#REF!,#REF!,#REF!</definedName>
    <definedName name="__APW_RESTORE_DATA395__" localSheetId="6" hidden="1">#REF!,#REF!,#REF!,#REF!,#REF!,#REF!,#REF!,#REF!,#REF!,#REF!,#REF!,#REF!,#REF!,#REF!</definedName>
    <definedName name="__APW_RESTORE_DATA395__" localSheetId="9" hidden="1">#REF!,#REF!,#REF!,#REF!,#REF!,#REF!,#REF!,#REF!,#REF!,#REF!,#REF!,#REF!,#REF!,#REF!</definedName>
    <definedName name="__APW_RESTORE_DATA395__" localSheetId="2" hidden="1">#REF!,#REF!,#REF!,#REF!,#REF!,#REF!,#REF!,#REF!,#REF!,#REF!,#REF!,#REF!,#REF!,#REF!</definedName>
    <definedName name="__APW_RESTORE_DATA395__" hidden="1">#REF!,#REF!,#REF!,#REF!,#REF!,#REF!,#REF!,#REF!,#REF!,#REF!,#REF!,#REF!,#REF!,#REF!</definedName>
    <definedName name="__APW_RESTORE_DATA396__" localSheetId="2" hidden="1">#REF!,#REF!,#REF!,#REF!,#REF!,#REF!,#REF!,#REF!,#REF!,#REF!,#REF!,#REF!,#REF!,#REF!</definedName>
    <definedName name="__APW_RESTORE_DATA396__" hidden="1">#REF!,#REF!,#REF!,#REF!,#REF!,#REF!,#REF!,#REF!,#REF!,#REF!,#REF!,#REF!,#REF!,#REF!</definedName>
    <definedName name="__APW_RESTORE_DATA397__" localSheetId="6" hidden="1">#REF!,#REF!,#REF!,#REF!,#REF!,#REF!,#REF!,#REF!,#REF!</definedName>
    <definedName name="__APW_RESTORE_DATA397__" localSheetId="9" hidden="1">#REF!,#REF!,#REF!,#REF!,#REF!,#REF!,#REF!,#REF!,#REF!</definedName>
    <definedName name="__APW_RESTORE_DATA397__" localSheetId="2" hidden="1">#REF!,#REF!,#REF!,#REF!,#REF!,#REF!,#REF!,#REF!,#REF!</definedName>
    <definedName name="__APW_RESTORE_DATA397__" hidden="1">#REF!,#REF!,#REF!,#REF!,#REF!,#REF!,#REF!,#REF!,#REF!</definedName>
    <definedName name="__APW_RESTORE_DATA398__" localSheetId="6" hidden="1">#REF!,#REF!,#REF!,#REF!,#REF!,#REF!,#REF!,#REF!,#REF!,#REF!,#REF!,#REF!,#REF!,#REF!,#REF!,#REF!</definedName>
    <definedName name="__APW_RESTORE_DATA398__" localSheetId="9" hidden="1">#REF!,#REF!,#REF!,#REF!,#REF!,#REF!,#REF!,#REF!,#REF!,#REF!,#REF!,#REF!,#REF!,#REF!,#REF!,#REF!</definedName>
    <definedName name="__APW_RESTORE_DATA398__" localSheetId="2" hidden="1">#REF!,#REF!,#REF!,#REF!,#REF!,#REF!,#REF!,#REF!,#REF!,#REF!,#REF!,#REF!,#REF!,#REF!,#REF!,#REF!</definedName>
    <definedName name="__APW_RESTORE_DATA398__" hidden="1">#REF!,#REF!,#REF!,#REF!,#REF!,#REF!,#REF!,#REF!,#REF!,#REF!,#REF!,#REF!,#REF!,#REF!,#REF!,#REF!</definedName>
    <definedName name="__APW_RESTORE_DATA399__" localSheetId="6" hidden="1">#REF!,#REF!,#REF!,#REF!,#REF!,#REF!,#REF!,#REF!,#REF!,#REF!,#REF!,#REF!,#REF!,#REF!,#REF!,#REF!</definedName>
    <definedName name="__APW_RESTORE_DATA399__" localSheetId="9" hidden="1">#REF!,#REF!,#REF!,#REF!,#REF!,#REF!,#REF!,#REF!,#REF!,#REF!,#REF!,#REF!,#REF!,#REF!,#REF!,#REF!</definedName>
    <definedName name="__APW_RESTORE_DATA399__" localSheetId="2" hidden="1">#REF!,#REF!,#REF!,#REF!,#REF!,#REF!,#REF!,#REF!,#REF!,#REF!,#REF!,#REF!,#REF!,#REF!,#REF!,#REF!</definedName>
    <definedName name="__APW_RESTORE_DATA399__" hidden="1">#REF!,#REF!,#REF!,#REF!,#REF!,#REF!,#REF!,#REF!,#REF!,#REF!,#REF!,#REF!,#REF!,#REF!,#REF!,#REF!</definedName>
    <definedName name="__APW_RESTORE_DATA4__" localSheetId="6" hidden="1">#REF!,#REF!,#REF!,#REF!,#REF!,#REF!,#REF!,#REF!,#REF!,#REF!,#REF!,#REF!,#REF!,#REF!,#REF!,#REF!</definedName>
    <definedName name="__APW_RESTORE_DATA4__" localSheetId="9" hidden="1">#REF!,#REF!,#REF!,#REF!,#REF!,#REF!,#REF!,#REF!,#REF!,#REF!,#REF!,#REF!,#REF!,#REF!,#REF!,#REF!</definedName>
    <definedName name="__APW_RESTORE_DATA4__" localSheetId="2" hidden="1">#REF!,#REF!,#REF!,#REF!,#REF!,#REF!,#REF!,#REF!,#REF!,#REF!,#REF!,#REF!,#REF!,#REF!,#REF!,#REF!</definedName>
    <definedName name="__APW_RESTORE_DATA4__" hidden="1">#REF!,#REF!,#REF!,#REF!,#REF!,#REF!,#REF!,#REF!,#REF!,#REF!,#REF!,#REF!,#REF!,#REF!,#REF!,#REF!</definedName>
    <definedName name="__APW_RESTORE_DATA40__" localSheetId="2" hidden="1">#REF!,#REF!,#REF!,#REF!,#REF!,#REF!,#REF!,#REF!,#REF!,#REF!,#REF!,#REF!,#REF!,#REF!,#REF!,#REF!</definedName>
    <definedName name="__APW_RESTORE_DATA40__" hidden="1">#REF!,#REF!,#REF!,#REF!,#REF!,#REF!,#REF!,#REF!,#REF!,#REF!,#REF!,#REF!,#REF!,#REF!,#REF!,#REF!</definedName>
    <definedName name="__APW_RESTORE_DATA400__" localSheetId="2" hidden="1">#REF!,#REF!,#REF!,#REF!,#REF!,#REF!,#REF!,#REF!,#REF!,#REF!,#REF!,#REF!,#REF!,#REF!,#REF!,#REF!</definedName>
    <definedName name="__APW_RESTORE_DATA400__" hidden="1">#REF!,#REF!,#REF!,#REF!,#REF!,#REF!,#REF!,#REF!,#REF!,#REF!,#REF!,#REF!,#REF!,#REF!,#REF!,#REF!</definedName>
    <definedName name="__APW_RESTORE_DATA401__" localSheetId="2" hidden="1">#REF!,#REF!,#REF!,#REF!,#REF!,#REF!,#REF!,#REF!,#REF!,#REF!,#REF!,#REF!,#REF!,#REF!,#REF!,#REF!</definedName>
    <definedName name="__APW_RESTORE_DATA401__" hidden="1">#REF!,#REF!,#REF!,#REF!,#REF!,#REF!,#REF!,#REF!,#REF!,#REF!,#REF!,#REF!,#REF!,#REF!,#REF!,#REF!</definedName>
    <definedName name="__APW_RESTORE_DATA402__" localSheetId="2" hidden="1">#REF!,#REF!,#REF!,#REF!,#REF!,#REF!,#REF!,#REF!,#REF!,#REF!,#REF!,#REF!,#REF!,#REF!,#REF!,#REF!</definedName>
    <definedName name="__APW_RESTORE_DATA402__" hidden="1">#REF!,#REF!,#REF!,#REF!,#REF!,#REF!,#REF!,#REF!,#REF!,#REF!,#REF!,#REF!,#REF!,#REF!,#REF!,#REF!</definedName>
    <definedName name="__APW_RESTORE_DATA403__" localSheetId="6" hidden="1">#REF!,#REF!,#REF!,#REF!,#REF!,#REF!,#REF!,#REF!,#REF!,#REF!,#REF!,#REF!,#REF!,#REF!,#REF!</definedName>
    <definedName name="__APW_RESTORE_DATA403__" localSheetId="9" hidden="1">#REF!,#REF!,#REF!,#REF!,#REF!,#REF!,#REF!,#REF!,#REF!,#REF!,#REF!,#REF!,#REF!,#REF!,#REF!</definedName>
    <definedName name="__APW_RESTORE_DATA403__" localSheetId="2" hidden="1">#REF!,#REF!,#REF!,#REF!,#REF!,#REF!,#REF!,#REF!,#REF!,#REF!,#REF!,#REF!,#REF!,#REF!,#REF!</definedName>
    <definedName name="__APW_RESTORE_DATA403__" hidden="1">#REF!,#REF!,#REF!,#REF!,#REF!,#REF!,#REF!,#REF!,#REF!,#REF!,#REF!,#REF!,#REF!,#REF!,#REF!</definedName>
    <definedName name="__APW_RESTORE_DATA404__" localSheetId="6" hidden="1">#REF!,#REF!,#REF!,#REF!,#REF!,#REF!,#REF!,#REF!,#REF!,#REF!,#REF!,#REF!,#REF!,#REF!,#REF!</definedName>
    <definedName name="__APW_RESTORE_DATA404__" localSheetId="9" hidden="1">#REF!,#REF!,#REF!,#REF!,#REF!,#REF!,#REF!,#REF!,#REF!,#REF!,#REF!,#REF!,#REF!,#REF!,#REF!</definedName>
    <definedName name="__APW_RESTORE_DATA404__" localSheetId="2" hidden="1">#REF!,#REF!,#REF!,#REF!,#REF!,#REF!,#REF!,#REF!,#REF!,#REF!,#REF!,#REF!,#REF!,#REF!,#REF!</definedName>
    <definedName name="__APW_RESTORE_DATA404__" hidden="1">#REF!,#REF!,#REF!,#REF!,#REF!,#REF!,#REF!,#REF!,#REF!,#REF!,#REF!,#REF!,#REF!,#REF!,#REF!</definedName>
    <definedName name="__APW_RESTORE_DATA405__" localSheetId="6" hidden="1">#REF!,#REF!,#REF!,#REF!,#REF!,#REF!,#REF!,#REF!,#REF!,#REF!,#REF!,#REF!,#REF!,#REF!,#REF!</definedName>
    <definedName name="__APW_RESTORE_DATA405__" localSheetId="9" hidden="1">#REF!,#REF!,#REF!,#REF!,#REF!,#REF!,#REF!,#REF!,#REF!,#REF!,#REF!,#REF!,#REF!,#REF!,#REF!</definedName>
    <definedName name="__APW_RESTORE_DATA405__" localSheetId="2" hidden="1">#REF!,#REF!,#REF!,#REF!,#REF!,#REF!,#REF!,#REF!,#REF!,#REF!,#REF!,#REF!,#REF!,#REF!,#REF!</definedName>
    <definedName name="__APW_RESTORE_DATA405__" hidden="1">#REF!,#REF!,#REF!,#REF!,#REF!,#REF!,#REF!,#REF!,#REF!,#REF!,#REF!,#REF!,#REF!,#REF!,#REF!</definedName>
    <definedName name="__APW_RESTORE_DATA406__" localSheetId="2" hidden="1">#REF!,#REF!,#REF!,#REF!,#REF!,#REF!,#REF!,#REF!,#REF!,#REF!,#REF!,#REF!,#REF!,#REF!,#REF!</definedName>
    <definedName name="__APW_RESTORE_DATA406__" hidden="1">#REF!,#REF!,#REF!,#REF!,#REF!,#REF!,#REF!,#REF!,#REF!,#REF!,#REF!,#REF!,#REF!,#REF!,#REF!</definedName>
    <definedName name="__APW_RESTORE_DATA407__" localSheetId="2" hidden="1">#REF!,#REF!,#REF!,#REF!,#REF!,#REF!,#REF!,#REF!,#REF!,#REF!,#REF!,#REF!,#REF!,#REF!,#REF!</definedName>
    <definedName name="__APW_RESTORE_DATA407__" hidden="1">#REF!,#REF!,#REF!,#REF!,#REF!,#REF!,#REF!,#REF!,#REF!,#REF!,#REF!,#REF!,#REF!,#REF!,#REF!</definedName>
    <definedName name="__APW_RESTORE_DATA408__" localSheetId="6" hidden="1">#REF!,#REF!,#REF!,#REF!,#REF!,#REF!,#REF!,#REF!,#REF!,#REF!,#REF!</definedName>
    <definedName name="__APW_RESTORE_DATA408__" localSheetId="9" hidden="1">#REF!,#REF!,#REF!,#REF!,#REF!,#REF!,#REF!,#REF!,#REF!,#REF!,#REF!</definedName>
    <definedName name="__APW_RESTORE_DATA408__" localSheetId="2" hidden="1">#REF!,#REF!,#REF!,#REF!,#REF!,#REF!,#REF!,#REF!,#REF!,#REF!,#REF!</definedName>
    <definedName name="__APW_RESTORE_DATA408__" hidden="1">#REF!,#REF!,#REF!,#REF!,#REF!,#REF!,#REF!,#REF!,#REF!,#REF!,#REF!</definedName>
    <definedName name="__APW_RESTORE_DATA409__" localSheetId="6" hidden="1">#REF!,#REF!,#REF!,#REF!,#REF!,#REF!,#REF!,#REF!,#REF!,#REF!,#REF!,#REF!,#REF!,#REF!,#REF!,#REF!,#REF!</definedName>
    <definedName name="__APW_RESTORE_DATA409__" localSheetId="9" hidden="1">#REF!,#REF!,#REF!,#REF!,#REF!,#REF!,#REF!,#REF!,#REF!,#REF!,#REF!,#REF!,#REF!,#REF!,#REF!,#REF!,#REF!</definedName>
    <definedName name="__APW_RESTORE_DATA409__" localSheetId="2" hidden="1">#REF!,#REF!,#REF!,#REF!,#REF!,#REF!,#REF!,#REF!,#REF!,#REF!,#REF!,#REF!,#REF!,#REF!,#REF!,#REF!,#REF!</definedName>
    <definedName name="__APW_RESTORE_DATA409__" hidden="1">#REF!,#REF!,#REF!,#REF!,#REF!,#REF!,#REF!,#REF!,#REF!,#REF!,#REF!,#REF!,#REF!,#REF!,#REF!,#REF!,#REF!</definedName>
    <definedName name="__APW_RESTORE_DATA41__" localSheetId="6" hidden="1">#REF!,#REF!,#REF!,#REF!,#REF!,#REF!,#REF!,#REF!,#REF!,#REF!,#REF!,#REF!,#REF!,#REF!,#REF!,#REF!</definedName>
    <definedName name="__APW_RESTORE_DATA41__" localSheetId="9" hidden="1">#REF!,#REF!,#REF!,#REF!,#REF!,#REF!,#REF!,#REF!,#REF!,#REF!,#REF!,#REF!,#REF!,#REF!,#REF!,#REF!</definedName>
    <definedName name="__APW_RESTORE_DATA41__" localSheetId="2" hidden="1">#REF!,#REF!,#REF!,#REF!,#REF!,#REF!,#REF!,#REF!,#REF!,#REF!,#REF!,#REF!,#REF!,#REF!,#REF!,#REF!</definedName>
    <definedName name="__APW_RESTORE_DATA41__" hidden="1">#REF!,#REF!,#REF!,#REF!,#REF!,#REF!,#REF!,#REF!,#REF!,#REF!,#REF!,#REF!,#REF!,#REF!,#REF!,#REF!</definedName>
    <definedName name="__APW_RESTORE_DATA410__" localSheetId="6" hidden="1">#REF!,#REF!,#REF!,#REF!,#REF!,#REF!,#REF!,#REF!,#REF!,#REF!,#REF!,#REF!,#REF!,#REF!,#REF!,#REF!</definedName>
    <definedName name="__APW_RESTORE_DATA410__" localSheetId="9" hidden="1">#REF!,#REF!,#REF!,#REF!,#REF!,#REF!,#REF!,#REF!,#REF!,#REF!,#REF!,#REF!,#REF!,#REF!,#REF!,#REF!</definedName>
    <definedName name="__APW_RESTORE_DATA410__" localSheetId="2" hidden="1">#REF!,#REF!,#REF!,#REF!,#REF!,#REF!,#REF!,#REF!,#REF!,#REF!,#REF!,#REF!,#REF!,#REF!,#REF!,#REF!</definedName>
    <definedName name="__APW_RESTORE_DATA410__" hidden="1">#REF!,#REF!,#REF!,#REF!,#REF!,#REF!,#REF!,#REF!,#REF!,#REF!,#REF!,#REF!,#REF!,#REF!,#REF!,#REF!</definedName>
    <definedName name="__APW_RESTORE_DATA411__" localSheetId="6" hidden="1">#REF!,#REF!,#REF!,#REF!,#REF!,#REF!,#REF!,#REF!,#REF!,#REF!,#REF!,#REF!,#REF!,#REF!,#REF!,#REF!</definedName>
    <definedName name="__APW_RESTORE_DATA411__" localSheetId="9" hidden="1">#REF!,#REF!,#REF!,#REF!,#REF!,#REF!,#REF!,#REF!,#REF!,#REF!,#REF!,#REF!,#REF!,#REF!,#REF!,#REF!</definedName>
    <definedName name="__APW_RESTORE_DATA411__" localSheetId="2" hidden="1">#REF!,#REF!,#REF!,#REF!,#REF!,#REF!,#REF!,#REF!,#REF!,#REF!,#REF!,#REF!,#REF!,#REF!,#REF!,#REF!</definedName>
    <definedName name="__APW_RESTORE_DATA411__" hidden="1">#REF!,#REF!,#REF!,#REF!,#REF!,#REF!,#REF!,#REF!,#REF!,#REF!,#REF!,#REF!,#REF!,#REF!,#REF!,#REF!</definedName>
    <definedName name="__APW_RESTORE_DATA412__" localSheetId="2" hidden="1">#REF!,#REF!,#REF!,#REF!,#REF!,#REF!,#REF!,#REF!,#REF!,#REF!,#REF!,#REF!,#REF!,#REF!,#REF!,#REF!</definedName>
    <definedName name="__APW_RESTORE_DATA412__" hidden="1">#REF!,#REF!,#REF!,#REF!,#REF!,#REF!,#REF!,#REF!,#REF!,#REF!,#REF!,#REF!,#REF!,#REF!,#REF!,#REF!</definedName>
    <definedName name="__APW_RESTORE_DATA413__" localSheetId="2" hidden="1">#REF!,#REF!,#REF!,#REF!,#REF!,#REF!,#REF!,#REF!,#REF!,#REF!,#REF!,#REF!,#REF!,#REF!,#REF!,#REF!</definedName>
    <definedName name="__APW_RESTORE_DATA413__" hidden="1">#REF!,#REF!,#REF!,#REF!,#REF!,#REF!,#REF!,#REF!,#REF!,#REF!,#REF!,#REF!,#REF!,#REF!,#REF!,#REF!</definedName>
    <definedName name="__APW_RESTORE_DATA414__" localSheetId="2" hidden="1">#REF!,#REF!,#REF!,#REF!,#REF!,#REF!,#REF!,#REF!,#REF!,#REF!,#REF!,#REF!,#REF!,#REF!,#REF!,#REF!</definedName>
    <definedName name="__APW_RESTORE_DATA414__" hidden="1">#REF!,#REF!,#REF!,#REF!,#REF!,#REF!,#REF!,#REF!,#REF!,#REF!,#REF!,#REF!,#REF!,#REF!,#REF!,#REF!</definedName>
    <definedName name="__APW_RESTORE_DATA415__" localSheetId="6" hidden="1">#REF!,#REF!,#REF!,#REF!,#REF!,#REF!,#REF!,#REF!,#REF!,#REF!,#REF!,#REF!,#REF!,#REF!,#REF!</definedName>
    <definedName name="__APW_RESTORE_DATA415__" localSheetId="9" hidden="1">#REF!,#REF!,#REF!,#REF!,#REF!,#REF!,#REF!,#REF!,#REF!,#REF!,#REF!,#REF!,#REF!,#REF!,#REF!</definedName>
    <definedName name="__APW_RESTORE_DATA415__" localSheetId="2" hidden="1">#REF!,#REF!,#REF!,#REF!,#REF!,#REF!,#REF!,#REF!,#REF!,#REF!,#REF!,#REF!,#REF!,#REF!,#REF!</definedName>
    <definedName name="__APW_RESTORE_DATA415__" hidden="1">#REF!,#REF!,#REF!,#REF!,#REF!,#REF!,#REF!,#REF!,#REF!,#REF!,#REF!,#REF!,#REF!,#REF!,#REF!</definedName>
    <definedName name="__APW_RESTORE_DATA416__" localSheetId="6" hidden="1">#REF!,#REF!,#REF!,#REF!,#REF!,#REF!,#REF!,#REF!,#REF!,#REF!,#REF!,#REF!,#REF!,#REF!,#REF!</definedName>
    <definedName name="__APW_RESTORE_DATA416__" localSheetId="9" hidden="1">#REF!,#REF!,#REF!,#REF!,#REF!,#REF!,#REF!,#REF!,#REF!,#REF!,#REF!,#REF!,#REF!,#REF!,#REF!</definedName>
    <definedName name="__APW_RESTORE_DATA416__" localSheetId="2" hidden="1">#REF!,#REF!,#REF!,#REF!,#REF!,#REF!,#REF!,#REF!,#REF!,#REF!,#REF!,#REF!,#REF!,#REF!,#REF!</definedName>
    <definedName name="__APW_RESTORE_DATA416__" hidden="1">#REF!,#REF!,#REF!,#REF!,#REF!,#REF!,#REF!,#REF!,#REF!,#REF!,#REF!,#REF!,#REF!,#REF!,#REF!</definedName>
    <definedName name="__APW_RESTORE_DATA417__" localSheetId="6" hidden="1">#REF!,#REF!,#REF!,#REF!,#REF!,#REF!,#REF!,#REF!,#REF!,#REF!,#REF!,#REF!,#REF!,#REF!,#REF!</definedName>
    <definedName name="__APW_RESTORE_DATA417__" localSheetId="9" hidden="1">#REF!,#REF!,#REF!,#REF!,#REF!,#REF!,#REF!,#REF!,#REF!,#REF!,#REF!,#REF!,#REF!,#REF!,#REF!</definedName>
    <definedName name="__APW_RESTORE_DATA417__" localSheetId="2" hidden="1">#REF!,#REF!,#REF!,#REF!,#REF!,#REF!,#REF!,#REF!,#REF!,#REF!,#REF!,#REF!,#REF!,#REF!,#REF!</definedName>
    <definedName name="__APW_RESTORE_DATA417__" hidden="1">#REF!,#REF!,#REF!,#REF!,#REF!,#REF!,#REF!,#REF!,#REF!,#REF!,#REF!,#REF!,#REF!,#REF!,#REF!</definedName>
    <definedName name="__APW_RESTORE_DATA418__" localSheetId="2" hidden="1">#REF!,#REF!,#REF!,#REF!,#REF!,#REF!,#REF!,#REF!,#REF!,#REF!,#REF!,#REF!,#REF!,#REF!,#REF!</definedName>
    <definedName name="__APW_RESTORE_DATA418__" hidden="1">#REF!,#REF!,#REF!,#REF!,#REF!,#REF!,#REF!,#REF!,#REF!,#REF!,#REF!,#REF!,#REF!,#REF!,#REF!</definedName>
    <definedName name="__APW_RESTORE_DATA419__" localSheetId="2" hidden="1">#REF!,#REF!,#REF!,#REF!,#REF!,#REF!,#REF!,#REF!,#REF!,#REF!,#REF!,#REF!,#REF!,#REF!,#REF!</definedName>
    <definedName name="__APW_RESTORE_DATA419__" hidden="1">#REF!,#REF!,#REF!,#REF!,#REF!,#REF!,#REF!,#REF!,#REF!,#REF!,#REF!,#REF!,#REF!,#REF!,#REF!</definedName>
    <definedName name="__APW_RESTORE_DATA42__" localSheetId="2" hidden="1">#REF!,#REF!,#REF!,#REF!,#REF!,#REF!,#REF!,#REF!,#REF!,#REF!,#REF!,#REF!,#REF!,#REF!,#REF!</definedName>
    <definedName name="__APW_RESTORE_DATA42__" hidden="1">#REF!,#REF!,#REF!,#REF!,#REF!,#REF!,#REF!,#REF!,#REF!,#REF!,#REF!,#REF!,#REF!,#REF!,#REF!</definedName>
    <definedName name="__APW_RESTORE_DATA420__" localSheetId="6" hidden="1">#REF!,#REF!,#REF!,#REF!,#REF!,#REF!,#REF!,#REF!,#REF!,#REF!,#REF!</definedName>
    <definedName name="__APW_RESTORE_DATA420__" localSheetId="9" hidden="1">#REF!,#REF!,#REF!,#REF!,#REF!,#REF!,#REF!,#REF!,#REF!,#REF!,#REF!</definedName>
    <definedName name="__APW_RESTORE_DATA420__" localSheetId="2" hidden="1">#REF!,#REF!,#REF!,#REF!,#REF!,#REF!,#REF!,#REF!,#REF!,#REF!,#REF!</definedName>
    <definedName name="__APW_RESTORE_DATA420__" hidden="1">#REF!,#REF!,#REF!,#REF!,#REF!,#REF!,#REF!,#REF!,#REF!,#REF!,#REF!</definedName>
    <definedName name="__APW_RESTORE_DATA421__" localSheetId="6" hidden="1">#REF!,#REF!,#REF!,#REF!,#REF!,#REF!,#REF!,#REF!,#REF!,#REF!,#REF!,#REF!,#REF!,#REF!,#REF!,#REF!</definedName>
    <definedName name="__APW_RESTORE_DATA421__" localSheetId="9" hidden="1">#REF!,#REF!,#REF!,#REF!,#REF!,#REF!,#REF!,#REF!,#REF!,#REF!,#REF!,#REF!,#REF!,#REF!,#REF!,#REF!</definedName>
    <definedName name="__APW_RESTORE_DATA421__" localSheetId="2" hidden="1">#REF!,#REF!,#REF!,#REF!,#REF!,#REF!,#REF!,#REF!,#REF!,#REF!,#REF!,#REF!,#REF!,#REF!,#REF!,#REF!</definedName>
    <definedName name="__APW_RESTORE_DATA421__" hidden="1">#REF!,#REF!,#REF!,#REF!,#REF!,#REF!,#REF!,#REF!,#REF!,#REF!,#REF!,#REF!,#REF!,#REF!,#REF!,#REF!</definedName>
    <definedName name="__APW_RESTORE_DATA422__" localSheetId="6" hidden="1">#REF!,#REF!,#REF!,#REF!,#REF!,#REF!,#REF!,#REF!,#REF!,#REF!,#REF!,#REF!,#REF!,#REF!,#REF!</definedName>
    <definedName name="__APW_RESTORE_DATA422__" localSheetId="9" hidden="1">#REF!,#REF!,#REF!,#REF!,#REF!,#REF!,#REF!,#REF!,#REF!,#REF!,#REF!,#REF!,#REF!,#REF!,#REF!</definedName>
    <definedName name="__APW_RESTORE_DATA422__" localSheetId="2" hidden="1">#REF!,#REF!,#REF!,#REF!,#REF!,#REF!,#REF!,#REF!,#REF!,#REF!,#REF!,#REF!,#REF!,#REF!,#REF!</definedName>
    <definedName name="__APW_RESTORE_DATA422__" hidden="1">#REF!,#REF!,#REF!,#REF!,#REF!,#REF!,#REF!,#REF!,#REF!,#REF!,#REF!,#REF!,#REF!,#REF!,#REF!</definedName>
    <definedName name="__APW_RESTORE_DATA423__" localSheetId="6" hidden="1">#REF!,#REF!,#REF!,#REF!,#REF!,#REF!,#REF!,#REF!,#REF!,#REF!,#REF!,#REF!,#REF!,#REF!,#REF!</definedName>
    <definedName name="__APW_RESTORE_DATA423__" localSheetId="9" hidden="1">#REF!,#REF!,#REF!,#REF!,#REF!,#REF!,#REF!,#REF!,#REF!,#REF!,#REF!,#REF!,#REF!,#REF!,#REF!</definedName>
    <definedName name="__APW_RESTORE_DATA423__" localSheetId="2" hidden="1">#REF!,#REF!,#REF!,#REF!,#REF!,#REF!,#REF!,#REF!,#REF!,#REF!,#REF!,#REF!,#REF!,#REF!,#REF!</definedName>
    <definedName name="__APW_RESTORE_DATA423__" hidden="1">#REF!,#REF!,#REF!,#REF!,#REF!,#REF!,#REF!,#REF!,#REF!,#REF!,#REF!,#REF!,#REF!,#REF!,#REF!</definedName>
    <definedName name="__APW_RESTORE_DATA424__" localSheetId="6" hidden="1">#REF!,#REF!,#REF!,#REF!,#REF!,#REF!,#REF!,#REF!,#REF!,#REF!,#REF!,#REF!,#REF!,#REF!,#REF!</definedName>
    <definedName name="__APW_RESTORE_DATA424__" localSheetId="9" hidden="1">#REF!,#REF!,#REF!,#REF!,#REF!,#REF!,#REF!,#REF!,#REF!,#REF!,#REF!,#REF!,#REF!,#REF!,#REF!</definedName>
    <definedName name="__APW_RESTORE_DATA424__" localSheetId="2" hidden="1">#REF!,#REF!,#REF!,#REF!,#REF!,#REF!,#REF!,#REF!,#REF!,#REF!,#REF!,#REF!,#REF!,#REF!,#REF!</definedName>
    <definedName name="__APW_RESTORE_DATA424__" hidden="1">#REF!,#REF!,#REF!,#REF!,#REF!,#REF!,#REF!,#REF!,#REF!,#REF!,#REF!,#REF!,#REF!,#REF!,#REF!</definedName>
    <definedName name="__APW_RESTORE_DATA425__" localSheetId="2" hidden="1">#REF!,#REF!,#REF!,#REF!,#REF!,#REF!,#REF!,#REF!,#REF!,#REF!,#REF!,#REF!,#REF!,#REF!,#REF!</definedName>
    <definedName name="__APW_RESTORE_DATA425__" hidden="1">#REF!,#REF!,#REF!,#REF!,#REF!,#REF!,#REF!,#REF!,#REF!,#REF!,#REF!,#REF!,#REF!,#REF!,#REF!</definedName>
    <definedName name="__APW_RESTORE_DATA426__" localSheetId="2" hidden="1">#REF!,#REF!,#REF!,#REF!,#REF!,#REF!,#REF!,#REF!,#REF!,#REF!,#REF!,#REF!,#REF!,#REF!,#REF!</definedName>
    <definedName name="__APW_RESTORE_DATA426__" hidden="1">#REF!,#REF!,#REF!,#REF!,#REF!,#REF!,#REF!,#REF!,#REF!,#REF!,#REF!,#REF!,#REF!,#REF!,#REF!</definedName>
    <definedName name="__APW_RESTORE_DATA427__" localSheetId="2" hidden="1">#REF!,#REF!,#REF!,#REF!,#REF!,#REF!,#REF!,#REF!,#REF!,#REF!,#REF!,#REF!,#REF!,#REF!,#REF!</definedName>
    <definedName name="__APW_RESTORE_DATA427__" hidden="1">#REF!,#REF!,#REF!,#REF!,#REF!,#REF!,#REF!,#REF!,#REF!,#REF!,#REF!,#REF!,#REF!,#REF!,#REF!</definedName>
    <definedName name="__APW_RESTORE_DATA428__" localSheetId="6" hidden="1">#REF!,#REF!,#REF!,#REF!,#REF!,#REF!,#REF!,#REF!,#REF!,#REF!,#REF!,#REF!,#REF!,#REF!</definedName>
    <definedName name="__APW_RESTORE_DATA428__" localSheetId="9" hidden="1">#REF!,#REF!,#REF!,#REF!,#REF!,#REF!,#REF!,#REF!,#REF!,#REF!,#REF!,#REF!,#REF!,#REF!</definedName>
    <definedName name="__APW_RESTORE_DATA428__" localSheetId="2" hidden="1">#REF!,#REF!,#REF!,#REF!,#REF!,#REF!,#REF!,#REF!,#REF!,#REF!,#REF!,#REF!,#REF!,#REF!</definedName>
    <definedName name="__APW_RESTORE_DATA428__" hidden="1">#REF!,#REF!,#REF!,#REF!,#REF!,#REF!,#REF!,#REF!,#REF!,#REF!,#REF!,#REF!,#REF!,#REF!</definedName>
    <definedName name="__APW_RESTORE_DATA429__" localSheetId="6" hidden="1">#REF!,#REF!,#REF!,#REF!,#REF!,#REF!,#REF!,#REF!,#REF!,#REF!,#REF!,#REF!,#REF!,#REF!</definedName>
    <definedName name="__APW_RESTORE_DATA429__" localSheetId="9" hidden="1">#REF!,#REF!,#REF!,#REF!,#REF!,#REF!,#REF!,#REF!,#REF!,#REF!,#REF!,#REF!,#REF!,#REF!</definedName>
    <definedName name="__APW_RESTORE_DATA429__" localSheetId="2" hidden="1">#REF!,#REF!,#REF!,#REF!,#REF!,#REF!,#REF!,#REF!,#REF!,#REF!,#REF!,#REF!,#REF!,#REF!</definedName>
    <definedName name="__APW_RESTORE_DATA429__" hidden="1">#REF!,#REF!,#REF!,#REF!,#REF!,#REF!,#REF!,#REF!,#REF!,#REF!,#REF!,#REF!,#REF!,#REF!</definedName>
    <definedName name="__APW_RESTORE_DATA43__" localSheetId="6" hidden="1">#REF!,#REF!,#REF!,#REF!,#REF!,#REF!,#REF!,#REF!,#REF!,#REF!,#REF!,#REF!,#REF!,#REF!,#REF!</definedName>
    <definedName name="__APW_RESTORE_DATA43__" localSheetId="9" hidden="1">#REF!,#REF!,#REF!,#REF!,#REF!,#REF!,#REF!,#REF!,#REF!,#REF!,#REF!,#REF!,#REF!,#REF!,#REF!</definedName>
    <definedName name="__APW_RESTORE_DATA43__" localSheetId="2" hidden="1">#REF!,#REF!,#REF!,#REF!,#REF!,#REF!,#REF!,#REF!,#REF!,#REF!,#REF!,#REF!,#REF!,#REF!,#REF!</definedName>
    <definedName name="__APW_RESTORE_DATA43__" hidden="1">#REF!,#REF!,#REF!,#REF!,#REF!,#REF!,#REF!,#REF!,#REF!,#REF!,#REF!,#REF!,#REF!,#REF!,#REF!</definedName>
    <definedName name="__APW_RESTORE_DATA430__" localSheetId="6" hidden="1">#REF!,#REF!,#REF!,#REF!,#REF!,#REF!,#REF!,#REF!,#REF!,#REF!,#REF!,#REF!,#REF!,#REF!</definedName>
    <definedName name="__APW_RESTORE_DATA430__" localSheetId="9" hidden="1">#REF!,#REF!,#REF!,#REF!,#REF!,#REF!,#REF!,#REF!,#REF!,#REF!,#REF!,#REF!,#REF!,#REF!</definedName>
    <definedName name="__APW_RESTORE_DATA430__" localSheetId="2" hidden="1">#REF!,#REF!,#REF!,#REF!,#REF!,#REF!,#REF!,#REF!,#REF!,#REF!,#REF!,#REF!,#REF!,#REF!</definedName>
    <definedName name="__APW_RESTORE_DATA430__" hidden="1">#REF!,#REF!,#REF!,#REF!,#REF!,#REF!,#REF!,#REF!,#REF!,#REF!,#REF!,#REF!,#REF!,#REF!</definedName>
    <definedName name="__APW_RESTORE_DATA431__" localSheetId="6" hidden="1">#REF!,#REF!,#REF!,#REF!,#REF!,#REF!,#REF!,#REF!,#REF!,#REF!,#REF!,#REF!,#REF!,#REF!</definedName>
    <definedName name="__APW_RESTORE_DATA431__" localSheetId="9" hidden="1">#REF!,#REF!,#REF!,#REF!,#REF!,#REF!,#REF!,#REF!,#REF!,#REF!,#REF!,#REF!,#REF!,#REF!</definedName>
    <definedName name="__APW_RESTORE_DATA431__" localSheetId="2" hidden="1">#REF!,#REF!,#REF!,#REF!,#REF!,#REF!,#REF!,#REF!,#REF!,#REF!,#REF!,#REF!,#REF!,#REF!</definedName>
    <definedName name="__APW_RESTORE_DATA431__" hidden="1">#REF!,#REF!,#REF!,#REF!,#REF!,#REF!,#REF!,#REF!,#REF!,#REF!,#REF!,#REF!,#REF!,#REF!</definedName>
    <definedName name="__APW_RESTORE_DATA432__" localSheetId="6" hidden="1">#REF!,#REF!,#REF!,#REF!,#REF!,#REF!,#REF!,#REF!,#REF!,#REF!,#REF!,#REF!,#REF!,#REF!</definedName>
    <definedName name="__APW_RESTORE_DATA432__" localSheetId="9" hidden="1">#REF!,#REF!,#REF!,#REF!,#REF!,#REF!,#REF!,#REF!,#REF!,#REF!,#REF!,#REF!,#REF!,#REF!</definedName>
    <definedName name="__APW_RESTORE_DATA432__" localSheetId="2" hidden="1">#REF!,#REF!,#REF!,#REF!,#REF!,#REF!,#REF!,#REF!,#REF!,#REF!,#REF!,#REF!,#REF!,#REF!</definedName>
    <definedName name="__APW_RESTORE_DATA432__" hidden="1">#REF!,#REF!,#REF!,#REF!,#REF!,#REF!,#REF!,#REF!,#REF!,#REF!,#REF!,#REF!,#REF!,#REF!</definedName>
    <definedName name="__APW_RESTORE_DATA433__" localSheetId="6" hidden="1">#REF!,#REF!,#REF!,#REF!,#REF!,#REF!,#REF!</definedName>
    <definedName name="__APW_RESTORE_DATA433__" localSheetId="9" hidden="1">#REF!,#REF!,#REF!,#REF!,#REF!,#REF!,#REF!</definedName>
    <definedName name="__APW_RESTORE_DATA433__" localSheetId="2" hidden="1">#REF!,#REF!,#REF!,#REF!,#REF!,#REF!,#REF!</definedName>
    <definedName name="__APW_RESTORE_DATA433__" hidden="1">#REF!,#REF!,#REF!,#REF!,#REF!,#REF!,#REF!</definedName>
    <definedName name="__APW_RESTORE_DATA44__" localSheetId="6" hidden="1">#REF!,#REF!,#REF!,#REF!,#REF!,#REF!,#REF!,#REF!,#REF!,#REF!,#REF!,#REF!,#REF!,#REF!,#REF!</definedName>
    <definedName name="__APW_RESTORE_DATA44__" localSheetId="9" hidden="1">#REF!,#REF!,#REF!,#REF!,#REF!,#REF!,#REF!,#REF!,#REF!,#REF!,#REF!,#REF!,#REF!,#REF!,#REF!</definedName>
    <definedName name="__APW_RESTORE_DATA44__" localSheetId="2" hidden="1">#REF!,#REF!,#REF!,#REF!,#REF!,#REF!,#REF!,#REF!,#REF!,#REF!,#REF!,#REF!,#REF!,#REF!,#REF!</definedName>
    <definedName name="__APW_RESTORE_DATA44__" hidden="1">#REF!,#REF!,#REF!,#REF!,#REF!,#REF!,#REF!,#REF!,#REF!,#REF!,#REF!,#REF!,#REF!,#REF!,#REF!</definedName>
    <definedName name="__APW_RESTORE_DATA45__" localSheetId="6" hidden="1">#REF!,#REF!,#REF!,#REF!,#REF!,#REF!,#REF!,#REF!,#REF!,#REF!,#REF!,#REF!,#REF!,#REF!,#REF!</definedName>
    <definedName name="__APW_RESTORE_DATA45__" localSheetId="9" hidden="1">#REF!,#REF!,#REF!,#REF!,#REF!,#REF!,#REF!,#REF!,#REF!,#REF!,#REF!,#REF!,#REF!,#REF!,#REF!</definedName>
    <definedName name="__APW_RESTORE_DATA45__" localSheetId="2" hidden="1">#REF!,#REF!,#REF!,#REF!,#REF!,#REF!,#REF!,#REF!,#REF!,#REF!,#REF!,#REF!,#REF!,#REF!,#REF!</definedName>
    <definedName name="__APW_RESTORE_DATA45__" hidden="1">#REF!,#REF!,#REF!,#REF!,#REF!,#REF!,#REF!,#REF!,#REF!,#REF!,#REF!,#REF!,#REF!,#REF!,#REF!</definedName>
    <definedName name="__APW_RESTORE_DATA46__" localSheetId="6" hidden="1">#REF!,#REF!,#REF!,#REF!,#REF!,#REF!,#REF!,#REF!,#REF!,#REF!,#REF!,#REF!,#REF!,#REF!,#REF!</definedName>
    <definedName name="__APW_RESTORE_DATA46__" localSheetId="9" hidden="1">#REF!,#REF!,#REF!,#REF!,#REF!,#REF!,#REF!,#REF!,#REF!,#REF!,#REF!,#REF!,#REF!,#REF!,#REF!</definedName>
    <definedName name="__APW_RESTORE_DATA46__" localSheetId="2" hidden="1">#REF!,#REF!,#REF!,#REF!,#REF!,#REF!,#REF!,#REF!,#REF!,#REF!,#REF!,#REF!,#REF!,#REF!,#REF!</definedName>
    <definedName name="__APW_RESTORE_DATA46__" hidden="1">#REF!,#REF!,#REF!,#REF!,#REF!,#REF!,#REF!,#REF!,#REF!,#REF!,#REF!,#REF!,#REF!,#REF!,#REF!</definedName>
    <definedName name="__APW_RESTORE_DATA47__" localSheetId="6" hidden="1">#REF!,#REF!,#REF!,#REF!,#REF!,#REF!</definedName>
    <definedName name="__APW_RESTORE_DATA47__" localSheetId="9" hidden="1">#REF!,#REF!,#REF!,#REF!,#REF!,#REF!</definedName>
    <definedName name="__APW_RESTORE_DATA47__" localSheetId="2" hidden="1">#REF!,#REF!,#REF!,#REF!,#REF!,#REF!</definedName>
    <definedName name="__APW_RESTORE_DATA47__" hidden="1">#REF!,#REF!,#REF!,#REF!,#REF!,#REF!</definedName>
    <definedName name="__APW_RESTORE_DATA48__" localSheetId="6" hidden="1">#REF!,#REF!,#REF!,#REF!,#REF!,#REF!,#REF!,#REF!,#REF!,#REF!,#REF!,#REF!,#REF!,#REF!,#REF!,#REF!,#REF!</definedName>
    <definedName name="__APW_RESTORE_DATA48__" localSheetId="9" hidden="1">#REF!,#REF!,#REF!,#REF!,#REF!,#REF!,#REF!,#REF!,#REF!,#REF!,#REF!,#REF!,#REF!,#REF!,#REF!,#REF!,#REF!</definedName>
    <definedName name="__APW_RESTORE_DATA48__" localSheetId="2" hidden="1">#REF!,#REF!,#REF!,#REF!,#REF!,#REF!,#REF!,#REF!,#REF!,#REF!,#REF!,#REF!,#REF!,#REF!,#REF!,#REF!,#REF!</definedName>
    <definedName name="__APW_RESTORE_DATA48__" hidden="1">#REF!,#REF!,#REF!,#REF!,#REF!,#REF!,#REF!,#REF!,#REF!,#REF!,#REF!,#REF!,#REF!,#REF!,#REF!,#REF!,#REF!</definedName>
    <definedName name="__APW_RESTORE_DATA49__" localSheetId="6" hidden="1">#REF!,#REF!,#REF!,#REF!,#REF!,#REF!,#REF!,#REF!,#REF!,#REF!,#REF!,#REF!,#REF!,#REF!,#REF!,#REF!</definedName>
    <definedName name="__APW_RESTORE_DATA49__" localSheetId="9" hidden="1">#REF!,#REF!,#REF!,#REF!,#REF!,#REF!,#REF!,#REF!,#REF!,#REF!,#REF!,#REF!,#REF!,#REF!,#REF!,#REF!</definedName>
    <definedName name="__APW_RESTORE_DATA49__" localSheetId="2" hidden="1">#REF!,#REF!,#REF!,#REF!,#REF!,#REF!,#REF!,#REF!,#REF!,#REF!,#REF!,#REF!,#REF!,#REF!,#REF!,#REF!</definedName>
    <definedName name="__APW_RESTORE_DATA49__" hidden="1">#REF!,#REF!,#REF!,#REF!,#REF!,#REF!,#REF!,#REF!,#REF!,#REF!,#REF!,#REF!,#REF!,#REF!,#REF!,#REF!</definedName>
    <definedName name="__APW_RESTORE_DATA5__" localSheetId="6" hidden="1">#REF!,#REF!,#REF!,#REF!,#REF!,#REF!,#REF!,#REF!,#REF!,#REF!,#REF!,#REF!,#REF!,#REF!,#REF!,#REF!</definedName>
    <definedName name="__APW_RESTORE_DATA5__" localSheetId="9" hidden="1">#REF!,#REF!,#REF!,#REF!,#REF!,#REF!,#REF!,#REF!,#REF!,#REF!,#REF!,#REF!,#REF!,#REF!,#REF!,#REF!</definedName>
    <definedName name="__APW_RESTORE_DATA5__" localSheetId="2" hidden="1">#REF!,#REF!,#REF!,#REF!,#REF!,#REF!,#REF!,#REF!,#REF!,#REF!,#REF!,#REF!,#REF!,#REF!,#REF!,#REF!</definedName>
    <definedName name="__APW_RESTORE_DATA5__" hidden="1">#REF!,#REF!,#REF!,#REF!,#REF!,#REF!,#REF!,#REF!,#REF!,#REF!,#REF!,#REF!,#REF!,#REF!,#REF!,#REF!</definedName>
    <definedName name="__APW_RESTORE_DATA50__" localSheetId="6" hidden="1">#REF!,#REF!,#REF!,#REF!,#REF!,#REF!,#REF!,#REF!,#REF!,#REF!,#REF!,#REF!,#REF!,#REF!,#REF!,#REF!</definedName>
    <definedName name="__APW_RESTORE_DATA50__" localSheetId="9" hidden="1">#REF!,#REF!,#REF!,#REF!,#REF!,#REF!,#REF!,#REF!,#REF!,#REF!,#REF!,#REF!,#REF!,#REF!,#REF!,#REF!</definedName>
    <definedName name="__APW_RESTORE_DATA50__" localSheetId="2" hidden="1">#REF!,#REF!,#REF!,#REF!,#REF!,#REF!,#REF!,#REF!,#REF!,#REF!,#REF!,#REF!,#REF!,#REF!,#REF!,#REF!</definedName>
    <definedName name="__APW_RESTORE_DATA50__" hidden="1">#REF!,#REF!,#REF!,#REF!,#REF!,#REF!,#REF!,#REF!,#REF!,#REF!,#REF!,#REF!,#REF!,#REF!,#REF!,#REF!</definedName>
    <definedName name="__APW_RESTORE_DATA51__" localSheetId="2" hidden="1">#REF!,#REF!,#REF!,#REF!,#REF!,#REF!,#REF!,#REF!,#REF!,#REF!,#REF!,#REF!,#REF!,#REF!,#REF!,#REF!</definedName>
    <definedName name="__APW_RESTORE_DATA51__" hidden="1">#REF!,#REF!,#REF!,#REF!,#REF!,#REF!,#REF!,#REF!,#REF!,#REF!,#REF!,#REF!,#REF!,#REF!,#REF!,#REF!</definedName>
    <definedName name="__APW_RESTORE_DATA52__" localSheetId="2" hidden="1">#REF!,#REF!,#REF!,#REF!,#REF!,#REF!,#REF!,#REF!,#REF!,#REF!,#REF!,#REF!,#REF!,#REF!,#REF!,#REF!</definedName>
    <definedName name="__APW_RESTORE_DATA52__" hidden="1">#REF!,#REF!,#REF!,#REF!,#REF!,#REF!,#REF!,#REF!,#REF!,#REF!,#REF!,#REF!,#REF!,#REF!,#REF!,#REF!</definedName>
    <definedName name="__APW_RESTORE_DATA53__" localSheetId="2" hidden="1">#REF!,#REF!,#REF!,#REF!,#REF!,#REF!,#REF!,#REF!,#REF!,#REF!,#REF!,#REF!,#REF!,#REF!,#REF!,#REF!</definedName>
    <definedName name="__APW_RESTORE_DATA53__" hidden="1">#REF!,#REF!,#REF!,#REF!,#REF!,#REF!,#REF!,#REF!,#REF!,#REF!,#REF!,#REF!,#REF!,#REF!,#REF!,#REF!</definedName>
    <definedName name="__APW_RESTORE_DATA54__" localSheetId="6" hidden="1">#REF!,#REF!,#REF!,#REF!,#REF!,#REF!,#REF!,#REF!,#REF!,#REF!,#REF!,#REF!,#REF!,#REF!,#REF!</definedName>
    <definedName name="__APW_RESTORE_DATA54__" localSheetId="9" hidden="1">#REF!,#REF!,#REF!,#REF!,#REF!,#REF!,#REF!,#REF!,#REF!,#REF!,#REF!,#REF!,#REF!,#REF!,#REF!</definedName>
    <definedName name="__APW_RESTORE_DATA54__" localSheetId="2" hidden="1">#REF!,#REF!,#REF!,#REF!,#REF!,#REF!,#REF!,#REF!,#REF!,#REF!,#REF!,#REF!,#REF!,#REF!,#REF!</definedName>
    <definedName name="__APW_RESTORE_DATA54__" hidden="1">#REF!,#REF!,#REF!,#REF!,#REF!,#REF!,#REF!,#REF!,#REF!,#REF!,#REF!,#REF!,#REF!,#REF!,#REF!</definedName>
    <definedName name="__APW_RESTORE_DATA55__" localSheetId="6" hidden="1">#REF!,#REF!,#REF!,#REF!,#REF!,#REF!,#REF!,#REF!,#REF!,#REF!,#REF!,#REF!,#REF!,#REF!,#REF!</definedName>
    <definedName name="__APW_RESTORE_DATA55__" localSheetId="9" hidden="1">#REF!,#REF!,#REF!,#REF!,#REF!,#REF!,#REF!,#REF!,#REF!,#REF!,#REF!,#REF!,#REF!,#REF!,#REF!</definedName>
    <definedName name="__APW_RESTORE_DATA55__" localSheetId="2" hidden="1">#REF!,#REF!,#REF!,#REF!,#REF!,#REF!,#REF!,#REF!,#REF!,#REF!,#REF!,#REF!,#REF!,#REF!,#REF!</definedName>
    <definedName name="__APW_RESTORE_DATA55__" hidden="1">#REF!,#REF!,#REF!,#REF!,#REF!,#REF!,#REF!,#REF!,#REF!,#REF!,#REF!,#REF!,#REF!,#REF!,#REF!</definedName>
    <definedName name="__APW_RESTORE_DATA56__" localSheetId="6" hidden="1">#REF!,#REF!,#REF!,#REF!,#REF!,#REF!,#REF!,#REF!,#REF!,#REF!,#REF!,#REF!,#REF!,#REF!,#REF!</definedName>
    <definedName name="__APW_RESTORE_DATA56__" localSheetId="9" hidden="1">#REF!,#REF!,#REF!,#REF!,#REF!,#REF!,#REF!,#REF!,#REF!,#REF!,#REF!,#REF!,#REF!,#REF!,#REF!</definedName>
    <definedName name="__APW_RESTORE_DATA56__" localSheetId="2" hidden="1">#REF!,#REF!,#REF!,#REF!,#REF!,#REF!,#REF!,#REF!,#REF!,#REF!,#REF!,#REF!,#REF!,#REF!,#REF!</definedName>
    <definedName name="__APW_RESTORE_DATA56__" hidden="1">#REF!,#REF!,#REF!,#REF!,#REF!,#REF!,#REF!,#REF!,#REF!,#REF!,#REF!,#REF!,#REF!,#REF!,#REF!</definedName>
    <definedName name="__APW_RESTORE_DATA57__" localSheetId="2" hidden="1">#REF!,#REF!,#REF!,#REF!,#REF!,#REF!,#REF!,#REF!,#REF!,#REF!,#REF!,#REF!,#REF!,#REF!,#REF!</definedName>
    <definedName name="__APW_RESTORE_DATA57__" hidden="1">#REF!,#REF!,#REF!,#REF!,#REF!,#REF!,#REF!,#REF!,#REF!,#REF!,#REF!,#REF!,#REF!,#REF!,#REF!</definedName>
    <definedName name="__APW_RESTORE_DATA58__" localSheetId="2" hidden="1">#REF!,#REF!,#REF!,#REF!,#REF!,#REF!,#REF!,#REF!,#REF!,#REF!,#REF!,#REF!,#REF!,#REF!,#REF!</definedName>
    <definedName name="__APW_RESTORE_DATA58__" hidden="1">#REF!,#REF!,#REF!,#REF!,#REF!,#REF!,#REF!,#REF!,#REF!,#REF!,#REF!,#REF!,#REF!,#REF!,#REF!</definedName>
    <definedName name="__APW_RESTORE_DATA59__" localSheetId="6" hidden="1">#REF!,#REF!,#REF!,#REF!,#REF!,#REF!</definedName>
    <definedName name="__APW_RESTORE_DATA59__" localSheetId="9" hidden="1">#REF!,#REF!,#REF!,#REF!,#REF!,#REF!</definedName>
    <definedName name="__APW_RESTORE_DATA59__" localSheetId="2" hidden="1">#REF!,#REF!,#REF!,#REF!,#REF!,#REF!</definedName>
    <definedName name="__APW_RESTORE_DATA59__" hidden="1">#REF!,#REF!,#REF!,#REF!,#REF!,#REF!</definedName>
    <definedName name="__APW_RESTORE_DATA596__" hidden="1">[9]Tablexxxxx!$C$6,[9]Tablexxxxx!$C$7,[9]Tablexxxxx!$C$8,[9]Tablexxxxx!$C$9,[9]Tablexxxxx!$C$10,[9]Tablexxxxx!$C$11,[9]Tablexxxxx!$C$12,[9]Tablexxxxx!$C$13,[9]Tablexxxxx!$C$14,[9]Tablexxxxx!$C$15,[9]Tablexxxxx!$C$16,[9]Tablexxxxx!$C$17,[9]Tablexxxxx!$C$18,[9]Tablexxxxx!$C$19,[9]Tablexxxxx!$C$20,[9]Tablexxxxx!$C$21,[9]Tablexxxxx!$C$22</definedName>
    <definedName name="__APW_RESTORE_DATA597__" hidden="1">[9]Tablexxxxx!$C$23,[9]Tablexxxxx!$C$24,[9]Tablexxxxx!$C$25,[9]Tablexxxxx!$C$26,[9]Tablexxxxx!$C$27,[9]Tablexxxxx!$C$28,[9]Tablexxxxx!$C$29,[9]Tablexxxxx!$C$30,[9]Tablexxxxx!$C$31,[9]Tablexxxxx!$C$32,[9]Tablexxxxx!$C$33,[9]Tablexxxxx!$C$34,[9]Tablexxxxx!$C$35,[9]Tablexxxxx!$C$36,[9]Tablexxxxx!$C$37,[9]Tablexxxxx!$C$38</definedName>
    <definedName name="__APW_RESTORE_DATA598__" hidden="1">[9]Tablexxxxx!$C$39,[9]Tablexxxxx!$C$40,[9]Tablexxxxx!$C$41,[9]Tablexxxxx!$C$42,[9]Tablexxxxx!$C$43,[9]Tablexxxxx!$C$44,[9]Tablexxxxx!$C$45,[9]Tablexxxxx!$C$46,[9]Tablexxxxx!$C$47,[9]Tablexxxxx!$C$48,[9]Tablexxxxx!$C$49,[9]Tablexxxxx!$C$50,[9]Tablexxxxx!$C$51,[9]Tablexxxxx!$C$52,[9]Tablexxxxx!$C$53,[9]Tablexxxxx!$C$54</definedName>
    <definedName name="__APW_RESTORE_DATA599__" hidden="1">[9]Tablexxxxx!$C$55,[9]Tablexxxxx!$C$56,[9]Tablexxxxx!$C$57,[9]Tablexxxxx!$C$58,[9]Tablexxxxx!$C$59,[9]Tablexxxxx!$C$60,[9]Tablexxxxx!$C$61,[9]Tablexxxxx!$C$62,[9]Tablexxxxx!$C$63,[9]Tablexxxxx!$C$64,[9]Tablexxxxx!$C$65,[9]Tablexxxxx!$C$66,[9]Tablexxxxx!$C$67,[9]Tablexxxxx!$C$68,[9]Tablexxxxx!$C$69,[9]Tablexxxxx!$C$70</definedName>
    <definedName name="__APW_RESTORE_DATA6__" localSheetId="6" hidden="1">#REF!,#REF!,#REF!,#REF!,#REF!,#REF!,#REF!,#REF!,#REF!,#REF!,#REF!,#REF!,#REF!,#REF!,#REF!</definedName>
    <definedName name="__APW_RESTORE_DATA6__" localSheetId="9" hidden="1">#REF!,#REF!,#REF!,#REF!,#REF!,#REF!,#REF!,#REF!,#REF!,#REF!,#REF!,#REF!,#REF!,#REF!,#REF!</definedName>
    <definedName name="__APW_RESTORE_DATA6__" localSheetId="2" hidden="1">#REF!,#REF!,#REF!,#REF!,#REF!,#REF!,#REF!,#REF!,#REF!,#REF!,#REF!,#REF!,#REF!,#REF!,#REF!</definedName>
    <definedName name="__APW_RESTORE_DATA6__" hidden="1">#REF!,#REF!,#REF!,#REF!,#REF!,#REF!,#REF!,#REF!,#REF!,#REF!,#REF!,#REF!,#REF!,#REF!,#REF!</definedName>
    <definedName name="__APW_RESTORE_DATA60__" localSheetId="6" hidden="1">#REF!,#REF!,#REF!,#REF!,#REF!,#REF!,#REF!,#REF!,#REF!,#REF!,#REF!,#REF!,#REF!,#REF!,#REF!,#REF!,#REF!</definedName>
    <definedName name="__APW_RESTORE_DATA60__" localSheetId="9" hidden="1">#REF!,#REF!,#REF!,#REF!,#REF!,#REF!,#REF!,#REF!,#REF!,#REF!,#REF!,#REF!,#REF!,#REF!,#REF!,#REF!,#REF!</definedName>
    <definedName name="__APW_RESTORE_DATA60__" localSheetId="2" hidden="1">#REF!,#REF!,#REF!,#REF!,#REF!,#REF!,#REF!,#REF!,#REF!,#REF!,#REF!,#REF!,#REF!,#REF!,#REF!,#REF!,#REF!</definedName>
    <definedName name="__APW_RESTORE_DATA60__" hidden="1">#REF!,#REF!,#REF!,#REF!,#REF!,#REF!,#REF!,#REF!,#REF!,#REF!,#REF!,#REF!,#REF!,#REF!,#REF!,#REF!,#REF!</definedName>
    <definedName name="__APW_RESTORE_DATA600__" hidden="1">[9]Tablexxxxx!$C$71,[9]Tablexxxxx!$C$72,[9]Tablexxxxx!$C$73,[9]Tablexxxxx!$C$74,[9]Tablexxxxx!$C$75,[9]Tablexxxxx!$C$76,[9]Tablexxxxx!$C$77,[9]Tablexxxxx!$C$78,[9]Tablexxxxx!$C$79,[9]Tablexxxxx!$C$80,[9]Tablexxxxx!$C$81,[9]Tablexxxxx!$C$82,[9]Tablexxxxx!$C$83,[9]Tablexxxxx!$C$84,[9]Tablexxxxx!$C$85,[9]Tablexxxxx!$C$86</definedName>
    <definedName name="__APW_RESTORE_DATA601__" hidden="1">[9]Tablexxxxx!$C$87,[9]Tablexxxxx!$C$88,[9]Tablexxxxx!$C$89,[9]Tablexxxxx!$C$90,[9]Tablexxxxx!$C$91,[9]Tablexxxxx!$C$92,[9]Tablexxxxx!$C$93,[9]Tablexxxxx!$C$94,[9]Tablexxxxx!$C$95,[9]Tablexxxxx!$C$96,[9]Tablexxxxx!$C$97,[9]Tablexxxxx!$C$98,[9]Tablexxxxx!$C$99,[9]Tablexxxxx!$C$100,[9]Tablexxxxx!$C$101,[9]Tablexxxxx!$C$102</definedName>
    <definedName name="__APW_RESTORE_DATA602__" hidden="1">[9]Tablexxxxx!$C$103,[9]Tablexxxxx!$C$104,[9]Tablexxxxx!$C$105,[9]Tablexxxxx!$C$106,[9]Tablexxxxx!$C$107,[9]Tablexxxxx!$C$108,[9]Tablexxxxx!$C$109,[9]Tablexxxxx!$C$110,[9]Tablexxxxx!$C$111,[9]Tablexxxxx!$C$112,[9]Tablexxxxx!$C$113,[9]Tablexxxxx!$C$114,[9]Tablexxxxx!$C$115,[9]Tablexxxxx!$C$116,[9]Tablexxxxx!$C$117</definedName>
    <definedName name="__APW_RESTORE_DATA603__" hidden="1">[9]Tablexxxxx!$C$118,[9]Tablexxxxx!$C$119,[9]Tablexxxxx!$C$120,[9]Tablexxxxx!$C$121,[9]Tablexxxxx!$C$122,[9]Tablexxxxx!$C$123,[9]Tablexxxxx!$C$124,[9]Tablexxxxx!$C$125,[9]Tablexxxxx!$C$126,[9]Tablexxxxx!$C$127,[9]Tablexxxxx!$C$128,[9]Tablexxxxx!$C$129,[9]Tablexxxxx!$C$130,[9]Tablexxxxx!$C$131,[9]Tablexxxxx!$C$132</definedName>
    <definedName name="__APW_RESTORE_DATA604__" hidden="1">[9]Tablexxxxx!$C$133,[9]Tablexxxxx!$C$134,[9]Tablexxxxx!$C$135,[9]Tablexxxxx!$C$136,[9]Tablexxxxx!$C$137,[9]Tablexxxxx!$C$138,[9]Tablexxxxx!$C$139,[9]Tablexxxxx!$C$140,[9]Tablexxxxx!$C$141,[9]Tablexxxxx!$C$142,[9]Tablexxxxx!$C$143,[9]Tablexxxxx!$C$144,[9]Tablexxxxx!$C$145,[9]Tablexxxxx!$C$146,[9]Tablexxxxx!$C$147</definedName>
    <definedName name="__APW_RESTORE_DATA605__" hidden="1">[9]Tablexxxxx!$C$148,[9]Tablexxxxx!$C$149,[9]Tablexxxxx!$C$150,[9]Tablexxxxx!$C$151,[9]Tablexxxxx!$C$152,[9]Tablexxxxx!$C$153,[9]Tablexxxxx!$C$154,[9]Tablexxxxx!$C$155,[9]Tablexxxxx!$C$156,[9]Tablexxxxx!$C$157,[9]Tablexxxxx!$C$158,[9]Tablexxxxx!$C$159,[9]Tablexxxxx!$C$160,[9]Tablexxxxx!$C$161,[9]Tablexxxxx!$C$162</definedName>
    <definedName name="__APW_RESTORE_DATA606__" hidden="1">[9]Tablexxxxx!$C$163,[9]Tablexxxxx!$C$164,[9]Tablexxxxx!$C$165,[9]Tablexxxxx!$C$166,[9]Tablexxxxx!$C$167,[9]Tablexxxxx!$C$168,[9]Tablexxxxx!$C$169,[9]Tablexxxxx!$C$170,[9]Tablexxxxx!$C$171,[9]Tablexxxxx!$C$172,[9]Tablexxxxx!$C$173,[9]Tablexxxxx!$C$174,[9]Tablexxxxx!$C$175,[9]Tablexxxxx!$C$176,[9]Tablexxxxx!$C$177</definedName>
    <definedName name="__APW_RESTORE_DATA607__" hidden="1">[9]Tablexxxxx!$C$178,[9]Tablexxxxx!$C$179,[9]Tablexxxxx!$C$180,[9]Tablexxxxx!$C$181,[9]Tablexxxxx!$C$182,[9]Tablexxxxx!$C$183,[9]Tablexxxxx!$C$184,[9]Tablexxxxx!$C$185,[9]Tablexxxxx!$C$186,[9]Tablexxxxx!$C$187,[9]Tablexxxxx!$C$188,[9]Tablexxxxx!$C$189,[9]Tablexxxxx!$C$190,[9]Tablexxxxx!$C$191,[9]Tablexxxxx!$C$192</definedName>
    <definedName name="__APW_RESTORE_DATA608__" hidden="1">[9]Tablexxxxx!$C$193,[9]Tablexxxxx!$C$194,[9]Tablexxxxx!$C$195,[9]Tablexxxxx!$C$196,[9]Tablexxxxx!$C$197,[9]Tablexxxxx!$C$198,[9]Tablexxxxx!$C$199,[9]Tablexxxxx!$C$200,[9]Tablexxxxx!$C$201,[9]Tablexxxxx!$C$202,[9]Tablexxxxx!$C$203,[9]Tablexxxxx!$C$204,[9]Tablexxxxx!$C$205,[9]Tablexxxxx!$C$206,[9]Tablexxxxx!$C$207</definedName>
    <definedName name="__APW_RESTORE_DATA609__" hidden="1">[9]Tablexxxxx!$C$208,[9]Tablexxxxx!$C$209,[9]Tablexxxxx!$C$210,[9]Tablexxxxx!$C$211,[9]Tablexxxxx!$C$212,[9]Tablexxxxx!$C$213,[9]Tablexxxxx!$C$214,[9]Tablexxxxx!$C$215,[9]Tablexxxxx!$C$216,[9]Tablexxxxx!$C$217,[9]Tablexxxxx!$C$218,[9]Tablexxxxx!$C$219,[9]Tablexxxxx!$C$220,[9]Tablexxxxx!$C$221,[9]Tablexxxxx!$C$222</definedName>
    <definedName name="__APW_RESTORE_DATA61__" localSheetId="6" hidden="1">#REF!,#REF!,#REF!,#REF!,#REF!,#REF!,#REF!,#REF!,#REF!,#REF!,#REF!,#REF!,#REF!,#REF!,#REF!,#REF!</definedName>
    <definedName name="__APW_RESTORE_DATA61__" localSheetId="9" hidden="1">#REF!,#REF!,#REF!,#REF!,#REF!,#REF!,#REF!,#REF!,#REF!,#REF!,#REF!,#REF!,#REF!,#REF!,#REF!,#REF!</definedName>
    <definedName name="__APW_RESTORE_DATA61__" localSheetId="2" hidden="1">#REF!,#REF!,#REF!,#REF!,#REF!,#REF!,#REF!,#REF!,#REF!,#REF!,#REF!,#REF!,#REF!,#REF!,#REF!,#REF!</definedName>
    <definedName name="__APW_RESTORE_DATA61__" hidden="1">#REF!,#REF!,#REF!,#REF!,#REF!,#REF!,#REF!,#REF!,#REF!,#REF!,#REF!,#REF!,#REF!,#REF!,#REF!,#REF!</definedName>
    <definedName name="__APW_RESTORE_DATA610__" hidden="1">[9]Tablexxxxx!$C$223,[9]Tablexxxxx!$C$224,[9]Tablexxxxx!$C$225,[9]Tablexxxxx!$C$226,[9]Tablexxxxx!$C$227,[9]Tablexxxxx!$C$228,[9]Tablexxxxx!$C$229,[9]Tablexxxxx!$C$230,[9]Tablexxxxx!$C$231,[9]Tablexxxxx!$C$232,[9]Tablexxxxx!$C$233,[9]Tablexxxxx!$C$234,[9]Tablexxxxx!$C$235,[9]Tablexxxxx!$C$236,[9]Tablexxxxx!$C$237</definedName>
    <definedName name="__APW_RESTORE_DATA611__" hidden="1">[9]Tablexxxxx!$C$238,[9]Tablexxxxx!$C$239,[9]Tablexxxxx!$C$240,[9]Tablexxxxx!$C$241,[9]Tablexxxxx!$C$242,[9]Tablexxxxx!$C$243,[9]Tablexxxxx!$C$244,[9]Tablexxxxx!$C$245,[9]Tablexxxxx!$C$246,[9]Tablexxxxx!$C$247,[9]Tablexxxxx!$C$248,[9]Tablexxxxx!$C$249,[9]Tablexxxxx!$C$250,[9]Tablexxxxx!$C$251,[9]Tablexxxxx!$C$252</definedName>
    <definedName name="__APW_RESTORE_DATA612__" hidden="1">[9]Tablexxxxx!$C$253,[9]Tablexxxxx!$C$254,[9]Tablexxxxx!$C$255,[9]Tablexxxxx!$C$256,[9]Tablexxxxx!$C$257</definedName>
    <definedName name="__APW_RESTORE_DATA613__" hidden="1">[9]Tablexxxxx!$D$6,[9]Tablexxxxx!$D$7,[9]Tablexxxxx!$D$8,[9]Tablexxxxx!$D$9,[9]Tablexxxxx!$D$10,[9]Tablexxxxx!$D$11,[9]Tablexxxxx!$D$12,[9]Tablexxxxx!$D$13,[9]Tablexxxxx!$D$14,[9]Tablexxxxx!$D$15,[9]Tablexxxxx!$D$16,[9]Tablexxxxx!$D$17,[9]Tablexxxxx!$D$18,[9]Tablexxxxx!$D$19,[9]Tablexxxxx!$D$20,[9]Tablexxxxx!$D$21,[9]Tablexxxxx!$D$22</definedName>
    <definedName name="__APW_RESTORE_DATA614__" hidden="1">[9]Tablexxxxx!$D$23,[9]Tablexxxxx!$D$24,[9]Tablexxxxx!$D$25,[9]Tablexxxxx!$D$26,[9]Tablexxxxx!$D$27,[9]Tablexxxxx!$D$28,[9]Tablexxxxx!$D$29,[9]Tablexxxxx!$D$30,[9]Tablexxxxx!$D$31,[9]Tablexxxxx!$D$32,[9]Tablexxxxx!$D$33,[9]Tablexxxxx!$D$34,[9]Tablexxxxx!$D$35,[9]Tablexxxxx!$D$36,[9]Tablexxxxx!$D$37,[9]Tablexxxxx!$D$38</definedName>
    <definedName name="__APW_RESTORE_DATA615__" hidden="1">[9]Tablexxxxx!$D$39,[9]Tablexxxxx!$D$40,[9]Tablexxxxx!$D$41,[9]Tablexxxxx!$D$42,[9]Tablexxxxx!$D$43,[9]Tablexxxxx!$D$44,[9]Tablexxxxx!$D$45,[9]Tablexxxxx!$D$46,[9]Tablexxxxx!$D$47,[9]Tablexxxxx!$D$48,[9]Tablexxxxx!$D$49,[9]Tablexxxxx!$D$50,[9]Tablexxxxx!$D$51,[9]Tablexxxxx!$D$52,[9]Tablexxxxx!$D$53,[9]Tablexxxxx!$D$54</definedName>
    <definedName name="__APW_RESTORE_DATA616__" hidden="1">[9]Tablexxxxx!$D$55,[9]Tablexxxxx!$D$56,[9]Tablexxxxx!$D$57,[9]Tablexxxxx!$D$58,[9]Tablexxxxx!$D$59,[9]Tablexxxxx!$D$60,[9]Tablexxxxx!$D$61,[9]Tablexxxxx!$D$62,[9]Tablexxxxx!$D$63,[9]Tablexxxxx!$D$64,[9]Tablexxxxx!$D$65,[9]Tablexxxxx!$D$66,[9]Tablexxxxx!$D$67,[9]Tablexxxxx!$D$68,[9]Tablexxxxx!$D$69,[9]Tablexxxxx!$D$70</definedName>
    <definedName name="__APW_RESTORE_DATA617__" hidden="1">[9]Tablexxxxx!$D$71,[9]Tablexxxxx!$D$72,[9]Tablexxxxx!$D$73,[9]Tablexxxxx!$D$74,[9]Tablexxxxx!$D$75,[9]Tablexxxxx!$D$76,[9]Tablexxxxx!$D$77,[9]Tablexxxxx!$D$78,[9]Tablexxxxx!$D$79,[9]Tablexxxxx!$D$80,[9]Tablexxxxx!$D$81,[9]Tablexxxxx!$D$82,[9]Tablexxxxx!$D$83,[9]Tablexxxxx!$D$84,[9]Tablexxxxx!$D$85,[9]Tablexxxxx!$D$86</definedName>
    <definedName name="__APW_RESTORE_DATA618__" hidden="1">[9]Tablexxxxx!$D$87,[9]Tablexxxxx!$D$88,[9]Tablexxxxx!$D$89,[9]Tablexxxxx!$D$90,[9]Tablexxxxx!$D$91,[9]Tablexxxxx!$D$92,[9]Tablexxxxx!$D$93,[9]Tablexxxxx!$D$94,[9]Tablexxxxx!$D$95,[9]Tablexxxxx!$D$96,[9]Tablexxxxx!$D$97,[9]Tablexxxxx!$D$98,[9]Tablexxxxx!$D$99,[9]Tablexxxxx!$D$100,[9]Tablexxxxx!$D$101,[9]Tablexxxxx!$D$102</definedName>
    <definedName name="__APW_RESTORE_DATA619__" hidden="1">[9]Tablexxxxx!$D$103,[9]Tablexxxxx!$D$104,[9]Tablexxxxx!$D$105,[9]Tablexxxxx!$D$106,[9]Tablexxxxx!$D$107,[9]Tablexxxxx!$D$108,[9]Tablexxxxx!$D$109,[9]Tablexxxxx!$D$110,[9]Tablexxxxx!$D$111,[9]Tablexxxxx!$D$112,[9]Tablexxxxx!$D$113,[9]Tablexxxxx!$D$114,[9]Tablexxxxx!$D$115,[9]Tablexxxxx!$D$116,[9]Tablexxxxx!$D$117</definedName>
    <definedName name="__APW_RESTORE_DATA62__" localSheetId="6" hidden="1">#REF!,#REF!,#REF!,#REF!,#REF!,#REF!,#REF!,#REF!,#REF!,#REF!,#REF!,#REF!,#REF!,#REF!,#REF!,#REF!</definedName>
    <definedName name="__APW_RESTORE_DATA62__" localSheetId="9" hidden="1">#REF!,#REF!,#REF!,#REF!,#REF!,#REF!,#REF!,#REF!,#REF!,#REF!,#REF!,#REF!,#REF!,#REF!,#REF!,#REF!</definedName>
    <definedName name="__APW_RESTORE_DATA62__" localSheetId="2" hidden="1">#REF!,#REF!,#REF!,#REF!,#REF!,#REF!,#REF!,#REF!,#REF!,#REF!,#REF!,#REF!,#REF!,#REF!,#REF!,#REF!</definedName>
    <definedName name="__APW_RESTORE_DATA62__" hidden="1">#REF!,#REF!,#REF!,#REF!,#REF!,#REF!,#REF!,#REF!,#REF!,#REF!,#REF!,#REF!,#REF!,#REF!,#REF!,#REF!</definedName>
    <definedName name="__APW_RESTORE_DATA620__" hidden="1">[9]Tablexxxxx!$D$118,[9]Tablexxxxx!$D$119,[9]Tablexxxxx!$D$120,[9]Tablexxxxx!$D$121,[9]Tablexxxxx!$D$122,[9]Tablexxxxx!$D$123,[9]Tablexxxxx!$D$124,[9]Tablexxxxx!$D$125,[9]Tablexxxxx!$D$126,[9]Tablexxxxx!$D$127,[9]Tablexxxxx!$D$128,[9]Tablexxxxx!$D$129,[9]Tablexxxxx!$D$130,[9]Tablexxxxx!$D$131,[9]Tablexxxxx!$D$132</definedName>
    <definedName name="__APW_RESTORE_DATA621__" hidden="1">[9]Tablexxxxx!$D$133,[9]Tablexxxxx!$D$134,[9]Tablexxxxx!$D$135,[9]Tablexxxxx!$D$136,[9]Tablexxxxx!$D$137,[9]Tablexxxxx!$D$138,[9]Tablexxxxx!$D$139,[9]Tablexxxxx!$D$140,[9]Tablexxxxx!$D$141,[9]Tablexxxxx!$D$142,[9]Tablexxxxx!$D$143,[9]Tablexxxxx!$D$144,[9]Tablexxxxx!$D$145,[9]Tablexxxxx!$D$146,[9]Tablexxxxx!$D$147</definedName>
    <definedName name="__APW_RESTORE_DATA622__" hidden="1">[9]Tablexxxxx!$D$148,[9]Tablexxxxx!$D$149,[9]Tablexxxxx!$D$150,[9]Tablexxxxx!$D$151,[9]Tablexxxxx!$D$152,[9]Tablexxxxx!$D$153,[9]Tablexxxxx!$D$154,[9]Tablexxxxx!$D$155,[9]Tablexxxxx!$D$156,[9]Tablexxxxx!$D$157,[9]Tablexxxxx!$D$158,[9]Tablexxxxx!$D$159,[9]Tablexxxxx!$D$160,[9]Tablexxxxx!$D$161,[9]Tablexxxxx!$D$162</definedName>
    <definedName name="__APW_RESTORE_DATA623__" hidden="1">[9]Tablexxxxx!$D$163,[9]Tablexxxxx!$D$164,[9]Tablexxxxx!$D$165,[9]Tablexxxxx!$D$166,[9]Tablexxxxx!$D$167,[9]Tablexxxxx!$D$168,[9]Tablexxxxx!$D$169,[9]Tablexxxxx!$D$170,[9]Tablexxxxx!$D$171,[9]Tablexxxxx!$D$172,[9]Tablexxxxx!$D$173,[9]Tablexxxxx!$D$174,[9]Tablexxxxx!$D$175,[9]Tablexxxxx!$D$176,[9]Tablexxxxx!$D$177</definedName>
    <definedName name="__APW_RESTORE_DATA624__" hidden="1">[9]Tablexxxxx!$D$178,[9]Tablexxxxx!$D$179,[9]Tablexxxxx!$D$180,[9]Tablexxxxx!$D$181,[9]Tablexxxxx!$D$182,[9]Tablexxxxx!$D$183,[9]Tablexxxxx!$D$184,[9]Tablexxxxx!$D$185,[9]Tablexxxxx!$D$186,[9]Tablexxxxx!$D$187,[9]Tablexxxxx!$D$188,[9]Tablexxxxx!$D$189,[9]Tablexxxxx!$D$190,[9]Tablexxxxx!$D$191,[9]Tablexxxxx!$D$192</definedName>
    <definedName name="__APW_RESTORE_DATA625__" hidden="1">[9]Tablexxxxx!$D$193,[9]Tablexxxxx!$D$194,[9]Tablexxxxx!$D$195,[9]Tablexxxxx!$D$196,[9]Tablexxxxx!$D$197,[9]Tablexxxxx!$D$198,[9]Tablexxxxx!$D$199,[9]Tablexxxxx!$D$200,[9]Tablexxxxx!$D$201,[9]Tablexxxxx!$D$202,[9]Tablexxxxx!$D$203,[9]Tablexxxxx!$D$204,[9]Tablexxxxx!$D$205,[9]Tablexxxxx!$D$206,[9]Tablexxxxx!$D$207</definedName>
    <definedName name="__APW_RESTORE_DATA626__" hidden="1">[9]Tablexxxxx!$D$208,[9]Tablexxxxx!$D$209,[9]Tablexxxxx!$D$210,[9]Tablexxxxx!$D$211,[9]Tablexxxxx!$D$212,[9]Tablexxxxx!$D$213,[9]Tablexxxxx!$D$214,[9]Tablexxxxx!$D$215,[9]Tablexxxxx!$D$216,[9]Tablexxxxx!$D$217,[9]Tablexxxxx!$D$218,[9]Tablexxxxx!$D$219,[9]Tablexxxxx!$D$220,[9]Tablexxxxx!$D$221,[9]Tablexxxxx!$D$222</definedName>
    <definedName name="__APW_RESTORE_DATA627__" hidden="1">[9]Tablexxxxx!$D$223,[9]Tablexxxxx!$D$224,[9]Tablexxxxx!$D$225,[9]Tablexxxxx!$D$226,[9]Tablexxxxx!$D$227,[9]Tablexxxxx!$D$228,[9]Tablexxxxx!$D$229,[9]Tablexxxxx!$D$230,[9]Tablexxxxx!$D$231,[9]Tablexxxxx!$D$232,[9]Tablexxxxx!$D$233,[9]Tablexxxxx!$D$234,[9]Tablexxxxx!$D$235,[9]Tablexxxxx!$D$236,[9]Tablexxxxx!$D$237</definedName>
    <definedName name="__APW_RESTORE_DATA628__" hidden="1">[9]Tablexxxxx!$D$238,[9]Tablexxxxx!$D$239,[9]Tablexxxxx!$D$240,[9]Tablexxxxx!$D$241,[9]Tablexxxxx!$D$242,[9]Tablexxxxx!$D$243,[9]Tablexxxxx!$D$244,[9]Tablexxxxx!$D$245,[9]Tablexxxxx!$D$246,[9]Tablexxxxx!$D$247,[9]Tablexxxxx!$D$248,[9]Tablexxxxx!$D$249,[9]Tablexxxxx!$D$250,[9]Tablexxxxx!$D$251,[9]Tablexxxxx!$D$252</definedName>
    <definedName name="__APW_RESTORE_DATA629__" hidden="1">[9]Tablexxxxx!$D$253,[9]Tablexxxxx!$D$254,[9]Tablexxxxx!$D$255,[9]Tablexxxxx!$D$256,[9]Tablexxxxx!$D$257</definedName>
    <definedName name="__APW_RESTORE_DATA63__" localSheetId="6" hidden="1">#REF!,#REF!,#REF!,#REF!,#REF!,#REF!,#REF!,#REF!,#REF!,#REF!,#REF!,#REF!,#REF!,#REF!,#REF!,#REF!</definedName>
    <definedName name="__APW_RESTORE_DATA63__" localSheetId="9" hidden="1">#REF!,#REF!,#REF!,#REF!,#REF!,#REF!,#REF!,#REF!,#REF!,#REF!,#REF!,#REF!,#REF!,#REF!,#REF!,#REF!</definedName>
    <definedName name="__APW_RESTORE_DATA63__" localSheetId="2" hidden="1">#REF!,#REF!,#REF!,#REF!,#REF!,#REF!,#REF!,#REF!,#REF!,#REF!,#REF!,#REF!,#REF!,#REF!,#REF!,#REF!</definedName>
    <definedName name="__APW_RESTORE_DATA63__" hidden="1">#REF!,#REF!,#REF!,#REF!,#REF!,#REF!,#REF!,#REF!,#REF!,#REF!,#REF!,#REF!,#REF!,#REF!,#REF!,#REF!</definedName>
    <definedName name="__APW_RESTORE_DATA630__" hidden="1">[9]Tablexxxxx!$E$6,[9]Tablexxxxx!$E$7,[9]Tablexxxxx!$E$8,[9]Tablexxxxx!$E$9,[9]Tablexxxxx!$E$10,[9]Tablexxxxx!$E$11,[9]Tablexxxxx!$E$12,[9]Tablexxxxx!$E$13,[9]Tablexxxxx!$E$14,[9]Tablexxxxx!$E$15,[9]Tablexxxxx!$E$16,[9]Tablexxxxx!$E$17,[9]Tablexxxxx!$E$18,[9]Tablexxxxx!$E$19,[9]Tablexxxxx!$E$20,[9]Tablexxxxx!$E$21,[9]Tablexxxxx!$E$22</definedName>
    <definedName name="__APW_RESTORE_DATA631__" hidden="1">[9]Tablexxxxx!$E$23,[9]Tablexxxxx!$E$24,[9]Tablexxxxx!$E$25,[9]Tablexxxxx!$E$26,[9]Tablexxxxx!$E$27,[9]Tablexxxxx!$E$28,[9]Tablexxxxx!$E$29,[9]Tablexxxxx!$E$30,[9]Tablexxxxx!$E$31,[9]Tablexxxxx!$E$32,[9]Tablexxxxx!$E$33,[9]Tablexxxxx!$E$34,[9]Tablexxxxx!$E$35,[9]Tablexxxxx!$E$36,[9]Tablexxxxx!$E$37,[9]Tablexxxxx!$E$38</definedName>
    <definedName name="__APW_RESTORE_DATA632__" hidden="1">[9]Tablexxxxx!$E$39,[9]Tablexxxxx!$E$40,[9]Tablexxxxx!$E$41,[9]Tablexxxxx!$E$42,[9]Tablexxxxx!$E$43,[9]Tablexxxxx!$E$44,[9]Tablexxxxx!$E$45,[9]Tablexxxxx!$E$46,[9]Tablexxxxx!$E$47,[9]Tablexxxxx!$E$48,[9]Tablexxxxx!$E$49,[9]Tablexxxxx!$E$50,[9]Tablexxxxx!$E$51,[9]Tablexxxxx!$E$52,[9]Tablexxxxx!$E$53,[9]Tablexxxxx!$E$54</definedName>
    <definedName name="__APW_RESTORE_DATA633__" hidden="1">[9]Tablexxxxx!$E$55,[9]Tablexxxxx!$E$56,[9]Tablexxxxx!$E$57,[9]Tablexxxxx!$E$58,[9]Tablexxxxx!$E$59,[9]Tablexxxxx!$E$60,[9]Tablexxxxx!$E$61,[9]Tablexxxxx!$E$62,[9]Tablexxxxx!$E$63,[9]Tablexxxxx!$E$64,[9]Tablexxxxx!$E$65,[9]Tablexxxxx!$E$66,[9]Tablexxxxx!$E$67,[9]Tablexxxxx!$E$68,[9]Tablexxxxx!$E$69,[9]Tablexxxxx!$E$70</definedName>
    <definedName name="__APW_RESTORE_DATA634__" hidden="1">[9]Tablexxxxx!$E$71,[9]Tablexxxxx!$E$72,[9]Tablexxxxx!$E$73,[9]Tablexxxxx!$E$74,[9]Tablexxxxx!$E$75,[9]Tablexxxxx!$E$76,[9]Tablexxxxx!$E$77,[9]Tablexxxxx!$E$78,[9]Tablexxxxx!$E$79,[9]Tablexxxxx!$E$80,[9]Tablexxxxx!$E$81,[9]Tablexxxxx!$E$82,[9]Tablexxxxx!$E$83,[9]Tablexxxxx!$E$84,[9]Tablexxxxx!$E$85,[9]Tablexxxxx!$E$86</definedName>
    <definedName name="__APW_RESTORE_DATA635__" hidden="1">[9]Tablexxxxx!$E$87,[9]Tablexxxxx!$E$88,[9]Tablexxxxx!$E$89,[9]Tablexxxxx!$E$90,[9]Tablexxxxx!$E$91,[9]Tablexxxxx!$E$92,[9]Tablexxxxx!$E$93,[9]Tablexxxxx!$E$94,[9]Tablexxxxx!$E$95,[9]Tablexxxxx!$E$96,[9]Tablexxxxx!$E$97,[9]Tablexxxxx!$E$98,[9]Tablexxxxx!$E$99,[9]Tablexxxxx!$E$100,[9]Tablexxxxx!$E$101,[9]Tablexxxxx!$E$102</definedName>
    <definedName name="__APW_RESTORE_DATA636__" hidden="1">[9]Tablexxxxx!$E$103,[9]Tablexxxxx!$E$104,[9]Tablexxxxx!$E$105,[9]Tablexxxxx!$E$106,[9]Tablexxxxx!$E$107,[9]Tablexxxxx!$E$108,[9]Tablexxxxx!$E$109,[9]Tablexxxxx!$E$110,[9]Tablexxxxx!$E$111,[9]Tablexxxxx!$E$112,[9]Tablexxxxx!$E$113,[9]Tablexxxxx!$E$114,[9]Tablexxxxx!$E$115,[9]Tablexxxxx!$E$116,[9]Tablexxxxx!$E$117</definedName>
    <definedName name="__APW_RESTORE_DATA637__" hidden="1">[9]Tablexxxxx!$E$118,[9]Tablexxxxx!$E$119,[9]Tablexxxxx!$E$120,[9]Tablexxxxx!$E$121,[9]Tablexxxxx!$E$122,[9]Tablexxxxx!$E$123,[9]Tablexxxxx!$E$124,[9]Tablexxxxx!$E$125,[9]Tablexxxxx!$E$126,[9]Tablexxxxx!$E$127,[9]Tablexxxxx!$E$128,[9]Tablexxxxx!$E$129,[9]Tablexxxxx!$E$130,[9]Tablexxxxx!$E$131,[9]Tablexxxxx!$E$132</definedName>
    <definedName name="__APW_RESTORE_DATA638__" hidden="1">[9]Tablexxxxx!$E$133,[9]Tablexxxxx!$E$134,[9]Tablexxxxx!$E$135,[9]Tablexxxxx!$E$136,[9]Tablexxxxx!$E$137,[9]Tablexxxxx!$E$138,[9]Tablexxxxx!$E$139,[9]Tablexxxxx!$E$140,[9]Tablexxxxx!$E$141,[9]Tablexxxxx!$E$142,[9]Tablexxxxx!$E$143,[9]Tablexxxxx!$E$144,[9]Tablexxxxx!$E$145,[9]Tablexxxxx!$E$146,[9]Tablexxxxx!$E$147</definedName>
    <definedName name="__APW_RESTORE_DATA639__" hidden="1">[9]Tablexxxxx!$E$148,[9]Tablexxxxx!$E$149,[9]Tablexxxxx!$E$150,[9]Tablexxxxx!$E$151,[9]Tablexxxxx!$E$152,[9]Tablexxxxx!$E$153,[9]Tablexxxxx!$E$154,[9]Tablexxxxx!$E$155,[9]Tablexxxxx!$E$156,[9]Tablexxxxx!$E$157,[9]Tablexxxxx!$E$158,[9]Tablexxxxx!$E$159,[9]Tablexxxxx!$E$160,[9]Tablexxxxx!$E$161,[9]Tablexxxxx!$E$162</definedName>
    <definedName name="__APW_RESTORE_DATA64__" localSheetId="6" hidden="1">#REF!,#REF!,#REF!,#REF!,#REF!,#REF!,#REF!,#REF!,#REF!,#REF!,#REF!,#REF!,#REF!,#REF!,#REF!,#REF!</definedName>
    <definedName name="__APW_RESTORE_DATA64__" localSheetId="9" hidden="1">#REF!,#REF!,#REF!,#REF!,#REF!,#REF!,#REF!,#REF!,#REF!,#REF!,#REF!,#REF!,#REF!,#REF!,#REF!,#REF!</definedName>
    <definedName name="__APW_RESTORE_DATA64__" localSheetId="2" hidden="1">#REF!,#REF!,#REF!,#REF!,#REF!,#REF!,#REF!,#REF!,#REF!,#REF!,#REF!,#REF!,#REF!,#REF!,#REF!,#REF!</definedName>
    <definedName name="__APW_RESTORE_DATA64__" hidden="1">#REF!,#REF!,#REF!,#REF!,#REF!,#REF!,#REF!,#REF!,#REF!,#REF!,#REF!,#REF!,#REF!,#REF!,#REF!,#REF!</definedName>
    <definedName name="__APW_RESTORE_DATA640__" hidden="1">[9]Tablexxxxx!$E$163,[9]Tablexxxxx!$E$164,[9]Tablexxxxx!$E$165,[9]Tablexxxxx!$E$166,[9]Tablexxxxx!$E$167,[9]Tablexxxxx!$E$168,[9]Tablexxxxx!$E$169,[9]Tablexxxxx!$E$170,[9]Tablexxxxx!$E$171,[9]Tablexxxxx!$E$172,[9]Tablexxxxx!$E$173,[9]Tablexxxxx!$E$174,[9]Tablexxxxx!$E$175,[9]Tablexxxxx!$E$176,[9]Tablexxxxx!$E$177</definedName>
    <definedName name="__APW_RESTORE_DATA641__" hidden="1">[9]Tablexxxxx!$E$178,[9]Tablexxxxx!$E$179,[9]Tablexxxxx!$E$180,[9]Tablexxxxx!$E$181,[9]Tablexxxxx!$E$182,[9]Tablexxxxx!$E$183,[9]Tablexxxxx!$E$184,[9]Tablexxxxx!$E$185,[9]Tablexxxxx!$E$186,[9]Tablexxxxx!$E$187,[9]Tablexxxxx!$E$188,[9]Tablexxxxx!$E$189,[9]Tablexxxxx!$E$190,[9]Tablexxxxx!$E$191,[9]Tablexxxxx!$E$192</definedName>
    <definedName name="__APW_RESTORE_DATA642__" hidden="1">[9]Tablexxxxx!$E$193,[9]Tablexxxxx!$E$194,[9]Tablexxxxx!$E$195,[9]Tablexxxxx!$E$196,[9]Tablexxxxx!$E$197,[9]Tablexxxxx!$E$198,[9]Tablexxxxx!$E$199,[9]Tablexxxxx!$E$200,[9]Tablexxxxx!$E$201,[9]Tablexxxxx!$E$202,[9]Tablexxxxx!$E$203,[9]Tablexxxxx!$E$204,[9]Tablexxxxx!$E$205,[9]Tablexxxxx!$E$206,[9]Tablexxxxx!$E$207</definedName>
    <definedName name="__APW_RESTORE_DATA643__" hidden="1">[9]Tablexxxxx!$E$208,[9]Tablexxxxx!$E$209,[9]Tablexxxxx!$E$210,[9]Tablexxxxx!$E$211,[9]Tablexxxxx!$E$212,[9]Tablexxxxx!$E$213,[9]Tablexxxxx!$E$214,[9]Tablexxxxx!$E$215,[9]Tablexxxxx!$E$216,[9]Tablexxxxx!$E$217,[9]Tablexxxxx!$E$218,[9]Tablexxxxx!$E$219,[9]Tablexxxxx!$E$220,[9]Tablexxxxx!$E$221,[9]Tablexxxxx!$E$222</definedName>
    <definedName name="__APW_RESTORE_DATA644__" hidden="1">[9]Tablexxxxx!$E$223,[9]Tablexxxxx!$E$224,[9]Tablexxxxx!$E$225,[9]Tablexxxxx!$E$226,[9]Tablexxxxx!$E$227,[9]Tablexxxxx!$E$228,[9]Tablexxxxx!$E$229,[9]Tablexxxxx!$E$230,[9]Tablexxxxx!$E$231,[9]Tablexxxxx!$E$232,[9]Tablexxxxx!$E$233,[9]Tablexxxxx!$E$234,[9]Tablexxxxx!$E$235,[9]Tablexxxxx!$E$236,[9]Tablexxxxx!$E$237</definedName>
    <definedName name="__APW_RESTORE_DATA645__" hidden="1">[9]Tablexxxxx!$E$238,[9]Tablexxxxx!$E$239,[9]Tablexxxxx!$E$240,[9]Tablexxxxx!$E$241,[9]Tablexxxxx!$E$242,[9]Tablexxxxx!$E$243,[9]Tablexxxxx!$E$244,[9]Tablexxxxx!$E$245,[9]Tablexxxxx!$E$246,[9]Tablexxxxx!$E$247,[9]Tablexxxxx!$E$248,[9]Tablexxxxx!$E$249,[9]Tablexxxxx!$E$250,[9]Tablexxxxx!$E$251,[9]Tablexxxxx!$E$252</definedName>
    <definedName name="__APW_RESTORE_DATA646__" hidden="1">[9]Tablexxxxx!$E$253,[9]Tablexxxxx!$E$254,[9]Tablexxxxx!$E$255,[9]Tablexxxxx!$E$256,[9]Tablexxxxx!$E$257</definedName>
    <definedName name="__APW_RESTORE_DATA647__" hidden="1">[9]Tablexxxxx!$F$6,[9]Tablexxxxx!$F$7,[9]Tablexxxxx!$F$8,[9]Tablexxxxx!$F$9,[9]Tablexxxxx!$F$10,[9]Tablexxxxx!$F$11,[9]Tablexxxxx!$F$12,[9]Tablexxxxx!$F$13,[9]Tablexxxxx!$F$14,[9]Tablexxxxx!$F$15,[9]Tablexxxxx!$F$16,[9]Tablexxxxx!$F$17,[9]Tablexxxxx!$F$18,[9]Tablexxxxx!$F$19,[9]Tablexxxxx!$F$20,[9]Tablexxxxx!$F$21,[9]Tablexxxxx!$F$22</definedName>
    <definedName name="__APW_RESTORE_DATA648__" hidden="1">[9]Tablexxxxx!$F$23,[9]Tablexxxxx!$F$24,[9]Tablexxxxx!$F$25,[9]Tablexxxxx!$F$26,[9]Tablexxxxx!$F$27,[9]Tablexxxxx!$F$28,[9]Tablexxxxx!$F$29,[9]Tablexxxxx!$F$30,[9]Tablexxxxx!$F$31,[9]Tablexxxxx!$F$32,[9]Tablexxxxx!$F$33,[9]Tablexxxxx!$F$34,[9]Tablexxxxx!$F$35,[9]Tablexxxxx!$F$36,[9]Tablexxxxx!$F$37,[9]Tablexxxxx!$F$38</definedName>
    <definedName name="__APW_RESTORE_DATA649__" hidden="1">[9]Tablexxxxx!$F$39,[9]Tablexxxxx!$F$40,[9]Tablexxxxx!$F$41,[9]Tablexxxxx!$F$42,[9]Tablexxxxx!$F$43,[9]Tablexxxxx!$F$44,[9]Tablexxxxx!$F$45,[9]Tablexxxxx!$F$46,[9]Tablexxxxx!$F$47,[9]Tablexxxxx!$F$48,[9]Tablexxxxx!$F$49,[9]Tablexxxxx!$F$50,[9]Tablexxxxx!$F$51,[9]Tablexxxxx!$F$52,[9]Tablexxxxx!$F$53,[9]Tablexxxxx!$F$54</definedName>
    <definedName name="__APW_RESTORE_DATA65__" localSheetId="6" hidden="1">#REF!,#REF!,#REF!,#REF!,#REF!,#REF!,#REF!,#REF!,#REF!,#REF!,#REF!,#REF!,#REF!,#REF!,#REF!,#REF!</definedName>
    <definedName name="__APW_RESTORE_DATA65__" localSheetId="9" hidden="1">#REF!,#REF!,#REF!,#REF!,#REF!,#REF!,#REF!,#REF!,#REF!,#REF!,#REF!,#REF!,#REF!,#REF!,#REF!,#REF!</definedName>
    <definedName name="__APW_RESTORE_DATA65__" localSheetId="2" hidden="1">#REF!,#REF!,#REF!,#REF!,#REF!,#REF!,#REF!,#REF!,#REF!,#REF!,#REF!,#REF!,#REF!,#REF!,#REF!,#REF!</definedName>
    <definedName name="__APW_RESTORE_DATA65__" hidden="1">#REF!,#REF!,#REF!,#REF!,#REF!,#REF!,#REF!,#REF!,#REF!,#REF!,#REF!,#REF!,#REF!,#REF!,#REF!,#REF!</definedName>
    <definedName name="__APW_RESTORE_DATA650__" hidden="1">[9]Tablexxxxx!$F$55,[9]Tablexxxxx!$F$56,[9]Tablexxxxx!$F$57,[9]Tablexxxxx!$F$58,[9]Tablexxxxx!$F$59,[9]Tablexxxxx!$F$60,[9]Tablexxxxx!$F$61,[9]Tablexxxxx!$F$62,[9]Tablexxxxx!$F$63,[9]Tablexxxxx!$F$64,[9]Tablexxxxx!$F$65,[9]Tablexxxxx!$F$66,[9]Tablexxxxx!$F$67,[9]Tablexxxxx!$F$68,[9]Tablexxxxx!$F$69,[9]Tablexxxxx!$F$70</definedName>
    <definedName name="__APW_RESTORE_DATA651__" hidden="1">[9]Tablexxxxx!$F$71,[9]Tablexxxxx!$F$72,[9]Tablexxxxx!$F$73,[9]Tablexxxxx!$F$74,[9]Tablexxxxx!$F$75,[9]Tablexxxxx!$F$76,[9]Tablexxxxx!$F$77,[9]Tablexxxxx!$F$78,[9]Tablexxxxx!$F$79,[9]Tablexxxxx!$F$80,[9]Tablexxxxx!$F$81,[9]Tablexxxxx!$F$82,[9]Tablexxxxx!$F$83,[9]Tablexxxxx!$F$84,[9]Tablexxxxx!$F$85,[9]Tablexxxxx!$F$86</definedName>
    <definedName name="__APW_RESTORE_DATA652__" hidden="1">[9]Tablexxxxx!$F$87,[9]Tablexxxxx!$F$88,[9]Tablexxxxx!$F$89,[9]Tablexxxxx!$F$90,[9]Tablexxxxx!$F$91,[9]Tablexxxxx!$F$92,[9]Tablexxxxx!$F$93,[9]Tablexxxxx!$F$94,[9]Tablexxxxx!$F$95,[9]Tablexxxxx!$F$96,[9]Tablexxxxx!$F$97,[9]Tablexxxxx!$F$98,[9]Tablexxxxx!$F$99,[9]Tablexxxxx!$F$100,[9]Tablexxxxx!$F$101,[9]Tablexxxxx!$F$102</definedName>
    <definedName name="__APW_RESTORE_DATA653__" hidden="1">[9]Tablexxxxx!$F$103,[9]Tablexxxxx!$F$104,[9]Tablexxxxx!$F$105,[9]Tablexxxxx!$F$106,[9]Tablexxxxx!$F$107,[9]Tablexxxxx!$F$108,[9]Tablexxxxx!$F$109,[9]Tablexxxxx!$F$110,[9]Tablexxxxx!$F$111,[9]Tablexxxxx!$F$112,[9]Tablexxxxx!$F$113,[9]Tablexxxxx!$F$114,[9]Tablexxxxx!$F$115,[9]Tablexxxxx!$F$116,[9]Tablexxxxx!$F$117</definedName>
    <definedName name="__APW_RESTORE_DATA654__" hidden="1">[9]Tablexxxxx!$F$118,[9]Tablexxxxx!$F$119,[9]Tablexxxxx!$F$120,[9]Tablexxxxx!$F$121,[9]Tablexxxxx!$F$122,[9]Tablexxxxx!$F$123,[9]Tablexxxxx!$F$124,[9]Tablexxxxx!$F$125,[9]Tablexxxxx!$F$126,[9]Tablexxxxx!$F$127,[9]Tablexxxxx!$F$128,[9]Tablexxxxx!$F$129,[9]Tablexxxxx!$F$130,[9]Tablexxxxx!$F$131,[9]Tablexxxxx!$F$132</definedName>
    <definedName name="__APW_RESTORE_DATA655__" hidden="1">[9]Tablexxxxx!$F$133,[9]Tablexxxxx!$F$134,[9]Tablexxxxx!$F$135,[9]Tablexxxxx!$F$136,[9]Tablexxxxx!$F$137,[9]Tablexxxxx!$F$138,[9]Tablexxxxx!$F$139,[9]Tablexxxxx!$F$140,[9]Tablexxxxx!$F$141,[9]Tablexxxxx!$F$142,[9]Tablexxxxx!$F$143,[9]Tablexxxxx!$F$144,[9]Tablexxxxx!$F$145,[9]Tablexxxxx!$F$146,[9]Tablexxxxx!$F$147</definedName>
    <definedName name="__APW_RESTORE_DATA656__" hidden="1">[9]Tablexxxxx!$F$148,[9]Tablexxxxx!$F$149,[9]Tablexxxxx!$F$150,[9]Tablexxxxx!$F$151,[9]Tablexxxxx!$F$152,[9]Tablexxxxx!$F$153,[9]Tablexxxxx!$F$154,[9]Tablexxxxx!$F$155,[9]Tablexxxxx!$F$156,[9]Tablexxxxx!$F$157,[9]Tablexxxxx!$F$158,[9]Tablexxxxx!$F$159,[9]Tablexxxxx!$F$160,[9]Tablexxxxx!$F$161,[9]Tablexxxxx!$F$162</definedName>
    <definedName name="__APW_RESTORE_DATA657__" hidden="1">[9]Tablexxxxx!$F$163,[9]Tablexxxxx!$F$164,[9]Tablexxxxx!$F$165,[9]Tablexxxxx!$F$166,[9]Tablexxxxx!$F$167,[9]Tablexxxxx!$F$168,[9]Tablexxxxx!$F$169,[9]Tablexxxxx!$F$170,[9]Tablexxxxx!$F$171,[9]Tablexxxxx!$F$172,[9]Tablexxxxx!$F$173,[9]Tablexxxxx!$F$174,[9]Tablexxxxx!$F$175,[9]Tablexxxxx!$F$176,[9]Tablexxxxx!$F$177</definedName>
    <definedName name="__APW_RESTORE_DATA658__" hidden="1">[9]Tablexxxxx!$F$178,[9]Tablexxxxx!$F$179,[9]Tablexxxxx!$F$180,[9]Tablexxxxx!$F$181,[9]Tablexxxxx!$F$182,[9]Tablexxxxx!$F$183,[9]Tablexxxxx!$F$184,[9]Tablexxxxx!$F$185,[9]Tablexxxxx!$F$186,[9]Tablexxxxx!$F$187,[9]Tablexxxxx!$F$188,[9]Tablexxxxx!$F$189,[9]Tablexxxxx!$F$190,[9]Tablexxxxx!$F$191,[9]Tablexxxxx!$F$192</definedName>
    <definedName name="__APW_RESTORE_DATA659__" hidden="1">[9]Tablexxxxx!$F$193,[9]Tablexxxxx!$F$194,[9]Tablexxxxx!$F$195,[9]Tablexxxxx!$F$196,[9]Tablexxxxx!$F$197,[9]Tablexxxxx!$F$198,[9]Tablexxxxx!$F$199,[9]Tablexxxxx!$F$200,[9]Tablexxxxx!$F$201,[9]Tablexxxxx!$F$202,[9]Tablexxxxx!$F$203,[9]Tablexxxxx!$F$204,[9]Tablexxxxx!$F$205,[9]Tablexxxxx!$F$206,[9]Tablexxxxx!$F$207</definedName>
    <definedName name="__APW_RESTORE_DATA66__" localSheetId="6" hidden="1">#REF!,#REF!,#REF!,#REF!,#REF!,#REF!,#REF!,#REF!,#REF!,#REF!,#REF!,#REF!,#REF!,#REF!,#REF!</definedName>
    <definedName name="__APW_RESTORE_DATA66__" localSheetId="9" hidden="1">#REF!,#REF!,#REF!,#REF!,#REF!,#REF!,#REF!,#REF!,#REF!,#REF!,#REF!,#REF!,#REF!,#REF!,#REF!</definedName>
    <definedName name="__APW_RESTORE_DATA66__" localSheetId="2" hidden="1">#REF!,#REF!,#REF!,#REF!,#REF!,#REF!,#REF!,#REF!,#REF!,#REF!,#REF!,#REF!,#REF!,#REF!,#REF!</definedName>
    <definedName name="__APW_RESTORE_DATA66__" hidden="1">#REF!,#REF!,#REF!,#REF!,#REF!,#REF!,#REF!,#REF!,#REF!,#REF!,#REF!,#REF!,#REF!,#REF!,#REF!</definedName>
    <definedName name="__APW_RESTORE_DATA660__" hidden="1">[9]Tablexxxxx!$F$208,[9]Tablexxxxx!$F$209,[9]Tablexxxxx!$F$210,[9]Tablexxxxx!$F$211,[9]Tablexxxxx!$F$212,[9]Tablexxxxx!$F$213,[9]Tablexxxxx!$F$214,[9]Tablexxxxx!$F$215,[9]Tablexxxxx!$F$216,[9]Tablexxxxx!$F$217,[9]Tablexxxxx!$F$218,[9]Tablexxxxx!$F$219,[9]Tablexxxxx!$F$220,[9]Tablexxxxx!$F$221,[9]Tablexxxxx!$F$222</definedName>
    <definedName name="__APW_RESTORE_DATA661__" hidden="1">[9]Tablexxxxx!$F$223,[9]Tablexxxxx!$F$224,[9]Tablexxxxx!$F$225,[9]Tablexxxxx!$F$226,[9]Tablexxxxx!$F$227,[9]Tablexxxxx!$F$228,[9]Tablexxxxx!$F$229,[9]Tablexxxxx!$F$230,[9]Tablexxxxx!$F$231,[9]Tablexxxxx!$F$232,[9]Tablexxxxx!$F$233,[9]Tablexxxxx!$F$234,[9]Tablexxxxx!$F$235,[9]Tablexxxxx!$F$236,[9]Tablexxxxx!$F$237</definedName>
    <definedName name="__APW_RESTORE_DATA662__" hidden="1">[9]Tablexxxxx!$F$238,[9]Tablexxxxx!$F$239,[9]Tablexxxxx!$F$240,[9]Tablexxxxx!$F$241,[9]Tablexxxxx!$F$242,[9]Tablexxxxx!$F$243,[9]Tablexxxxx!$F$244,[9]Tablexxxxx!$F$245,[9]Tablexxxxx!$F$246,[9]Tablexxxxx!$F$247,[9]Tablexxxxx!$F$248,[9]Tablexxxxx!$F$249,[9]Tablexxxxx!$F$250,[9]Tablexxxxx!$F$251,[9]Tablexxxxx!$F$252</definedName>
    <definedName name="__APW_RESTORE_DATA663__" hidden="1">[9]Tablexxxxx!$F$253,[9]Tablexxxxx!$F$254,[9]Tablexxxxx!$F$255,[9]Tablexxxxx!$F$256,[9]Tablexxxxx!$F$257</definedName>
    <definedName name="__APW_RESTORE_DATA664__" hidden="1">[9]Tablexxxxx!$G$6,[9]Tablexxxxx!$G$7,[9]Tablexxxxx!$G$8,[9]Tablexxxxx!$G$9,[9]Tablexxxxx!$G$10,[9]Tablexxxxx!$G$11,[9]Tablexxxxx!$G$12,[9]Tablexxxxx!$G$13,[9]Tablexxxxx!$G$14,[9]Tablexxxxx!$G$15,[9]Tablexxxxx!$G$16,[9]Tablexxxxx!$G$17,[9]Tablexxxxx!$G$18,[9]Tablexxxxx!$G$19,[9]Tablexxxxx!$G$20,[9]Tablexxxxx!$G$21,[9]Tablexxxxx!$G$22</definedName>
    <definedName name="__APW_RESTORE_DATA665__" hidden="1">[9]Tablexxxxx!$G$23,[9]Tablexxxxx!$G$24,[9]Tablexxxxx!$G$25,[9]Tablexxxxx!$G$26,[9]Tablexxxxx!$G$27,[9]Tablexxxxx!$G$28,[9]Tablexxxxx!$G$29,[9]Tablexxxxx!$G$30,[9]Tablexxxxx!$G$31,[9]Tablexxxxx!$G$32,[9]Tablexxxxx!$G$33,[9]Tablexxxxx!$G$34,[9]Tablexxxxx!$G$35,[9]Tablexxxxx!$G$36,[9]Tablexxxxx!$G$37,[9]Tablexxxxx!$G$38</definedName>
    <definedName name="__APW_RESTORE_DATA666__" hidden="1">[9]Tablexxxxx!$G$39,[9]Tablexxxxx!$G$40,[9]Tablexxxxx!$G$41,[9]Tablexxxxx!$G$42,[9]Tablexxxxx!$G$43,[9]Tablexxxxx!$G$44,[9]Tablexxxxx!$G$45,[9]Tablexxxxx!$G$46,[9]Tablexxxxx!$G$47,[9]Tablexxxxx!$G$48,[9]Tablexxxxx!$G$49,[9]Tablexxxxx!$G$50,[9]Tablexxxxx!$G$51,[9]Tablexxxxx!$G$52,[9]Tablexxxxx!$G$53,[9]Tablexxxxx!$G$54</definedName>
    <definedName name="__APW_RESTORE_DATA667__" hidden="1">[9]Tablexxxxx!$G$55,[9]Tablexxxxx!$G$56,[9]Tablexxxxx!$G$57,[9]Tablexxxxx!$G$58,[9]Tablexxxxx!$G$59,[9]Tablexxxxx!$G$60,[9]Tablexxxxx!$G$61,[9]Tablexxxxx!$G$62,[9]Tablexxxxx!$G$63,[9]Tablexxxxx!$G$64,[9]Tablexxxxx!$G$65,[9]Tablexxxxx!$G$66,[9]Tablexxxxx!$G$67,[9]Tablexxxxx!$G$68,[9]Tablexxxxx!$G$69,[9]Tablexxxxx!$G$70</definedName>
    <definedName name="__APW_RESTORE_DATA668__" hidden="1">[9]Tablexxxxx!$G$71,[9]Tablexxxxx!$G$72,[9]Tablexxxxx!$G$73,[9]Tablexxxxx!$G$74,[9]Tablexxxxx!$G$75,[9]Tablexxxxx!$G$76,[9]Tablexxxxx!$G$77,[9]Tablexxxxx!$G$78,[9]Tablexxxxx!$G$79,[9]Tablexxxxx!$G$80,[9]Tablexxxxx!$G$81,[9]Tablexxxxx!$G$82,[9]Tablexxxxx!$G$83,[9]Tablexxxxx!$G$84,[9]Tablexxxxx!$G$85,[9]Tablexxxxx!$G$86</definedName>
    <definedName name="__APW_RESTORE_DATA669__" hidden="1">[9]Tablexxxxx!$G$87,[9]Tablexxxxx!$G$88,[9]Tablexxxxx!$G$89,[9]Tablexxxxx!$G$90,[9]Tablexxxxx!$G$91,[9]Tablexxxxx!$G$92,[9]Tablexxxxx!$G$93,[9]Tablexxxxx!$G$94,[9]Tablexxxxx!$G$95,[9]Tablexxxxx!$G$96,[9]Tablexxxxx!$G$97,[9]Tablexxxxx!$G$98,[9]Tablexxxxx!$G$99,[9]Tablexxxxx!$G$100,[9]Tablexxxxx!$G$101,[9]Tablexxxxx!$G$102</definedName>
    <definedName name="__APW_RESTORE_DATA67__" localSheetId="6" hidden="1">#REF!,#REF!,#REF!,#REF!,#REF!,#REF!,#REF!,#REF!,#REF!,#REF!,#REF!,#REF!,#REF!,#REF!,#REF!</definedName>
    <definedName name="__APW_RESTORE_DATA67__" localSheetId="9" hidden="1">#REF!,#REF!,#REF!,#REF!,#REF!,#REF!,#REF!,#REF!,#REF!,#REF!,#REF!,#REF!,#REF!,#REF!,#REF!</definedName>
    <definedName name="__APW_RESTORE_DATA67__" localSheetId="2" hidden="1">#REF!,#REF!,#REF!,#REF!,#REF!,#REF!,#REF!,#REF!,#REF!,#REF!,#REF!,#REF!,#REF!,#REF!,#REF!</definedName>
    <definedName name="__APW_RESTORE_DATA67__" hidden="1">#REF!,#REF!,#REF!,#REF!,#REF!,#REF!,#REF!,#REF!,#REF!,#REF!,#REF!,#REF!,#REF!,#REF!,#REF!</definedName>
    <definedName name="__APW_RESTORE_DATA670__" hidden="1">[9]Tablexxxxx!$G$103,[9]Tablexxxxx!$G$104,[9]Tablexxxxx!$G$105,[9]Tablexxxxx!$G$106,[9]Tablexxxxx!$G$107,[9]Tablexxxxx!$G$108,[9]Tablexxxxx!$G$109,[9]Tablexxxxx!$G$110,[9]Tablexxxxx!$G$111,[9]Tablexxxxx!$G$112,[9]Tablexxxxx!$G$113,[9]Tablexxxxx!$G$114,[9]Tablexxxxx!$G$115,[9]Tablexxxxx!$G$116,[9]Tablexxxxx!$G$117</definedName>
    <definedName name="__APW_RESTORE_DATA671__" hidden="1">[9]Tablexxxxx!$G$118,[9]Tablexxxxx!$G$119,[9]Tablexxxxx!$G$120,[9]Tablexxxxx!$G$121,[9]Tablexxxxx!$G$122,[9]Tablexxxxx!$G$123,[9]Tablexxxxx!$G$124,[9]Tablexxxxx!$G$125,[9]Tablexxxxx!$G$126,[9]Tablexxxxx!$G$127,[9]Tablexxxxx!$G$128,[9]Tablexxxxx!$G$129,[9]Tablexxxxx!$G$130,[9]Tablexxxxx!$G$131,[9]Tablexxxxx!$G$132</definedName>
    <definedName name="__APW_RESTORE_DATA672__" hidden="1">[9]Tablexxxxx!$G$133,[9]Tablexxxxx!$G$134,[9]Tablexxxxx!$G$135,[9]Tablexxxxx!$G$136,[9]Tablexxxxx!$G$137,[9]Tablexxxxx!$G$138,[9]Tablexxxxx!$G$139,[9]Tablexxxxx!$G$140,[9]Tablexxxxx!$G$141,[9]Tablexxxxx!$G$142,[9]Tablexxxxx!$G$143,[9]Tablexxxxx!$G$144,[9]Tablexxxxx!$G$145,[9]Tablexxxxx!$G$146,[9]Tablexxxxx!$G$147</definedName>
    <definedName name="__APW_RESTORE_DATA673__" hidden="1">[9]Tablexxxxx!$G$148,[9]Tablexxxxx!$G$149,[9]Tablexxxxx!$G$150,[9]Tablexxxxx!$G$151,[9]Tablexxxxx!$G$152,[9]Tablexxxxx!$G$153,[9]Tablexxxxx!$G$154,[9]Tablexxxxx!$G$155,[9]Tablexxxxx!$G$156,[9]Tablexxxxx!$G$157,[9]Tablexxxxx!$G$158,[9]Tablexxxxx!$G$159,[9]Tablexxxxx!$G$160,[9]Tablexxxxx!$G$161,[9]Tablexxxxx!$G$162</definedName>
    <definedName name="__APW_RESTORE_DATA674__" hidden="1">[9]Tablexxxxx!$G$163,[9]Tablexxxxx!$G$164,[9]Tablexxxxx!$G$165,[9]Tablexxxxx!$G$166,[9]Tablexxxxx!$G$167,[9]Tablexxxxx!$G$168,[9]Tablexxxxx!$G$169,[9]Tablexxxxx!$G$170,[9]Tablexxxxx!$G$171,[9]Tablexxxxx!$G$172,[9]Tablexxxxx!$G$173,[9]Tablexxxxx!$G$174,[9]Tablexxxxx!$G$175,[9]Tablexxxxx!$G$176,[9]Tablexxxxx!$G$177</definedName>
    <definedName name="__APW_RESTORE_DATA675__" hidden="1">[9]Tablexxxxx!$G$178,[9]Tablexxxxx!$G$179,[9]Tablexxxxx!$G$180,[9]Tablexxxxx!$G$181,[9]Tablexxxxx!$G$182,[9]Tablexxxxx!$G$183,[9]Tablexxxxx!$G$184,[9]Tablexxxxx!$G$185,[9]Tablexxxxx!$G$186,[9]Tablexxxxx!$G$187,[9]Tablexxxxx!$G$188,[9]Tablexxxxx!$G$189,[9]Tablexxxxx!$G$190,[9]Tablexxxxx!$G$191,[9]Tablexxxxx!$G$192</definedName>
    <definedName name="__APW_RESTORE_DATA676__" hidden="1">[9]Tablexxxxx!$G$193,[9]Tablexxxxx!$G$194,[9]Tablexxxxx!$G$195,[9]Tablexxxxx!$G$196,[9]Tablexxxxx!$G$197,[9]Tablexxxxx!$G$198,[9]Tablexxxxx!$G$199,[9]Tablexxxxx!$G$200,[9]Tablexxxxx!$G$201,[9]Tablexxxxx!$G$202,[9]Tablexxxxx!$G$203,[9]Tablexxxxx!$G$204,[9]Tablexxxxx!$G$205,[9]Tablexxxxx!$G$206,[9]Tablexxxxx!$G$207</definedName>
    <definedName name="__APW_RESTORE_DATA677__" hidden="1">[9]Tablexxxxx!$G$208,[9]Tablexxxxx!$G$209,[9]Tablexxxxx!$G$210,[9]Tablexxxxx!$G$211,[9]Tablexxxxx!$G$212,[9]Tablexxxxx!$G$213,[9]Tablexxxxx!$G$214,[9]Tablexxxxx!$G$215,[9]Tablexxxxx!$G$216,[9]Tablexxxxx!$G$217,[9]Tablexxxxx!$G$218,[9]Tablexxxxx!$G$219,[9]Tablexxxxx!$G$220,[9]Tablexxxxx!$G$221,[9]Tablexxxxx!$G$222</definedName>
    <definedName name="__APW_RESTORE_DATA678__" hidden="1">[9]Tablexxxxx!$G$223,[9]Tablexxxxx!$G$224,[9]Tablexxxxx!$G$225,[9]Tablexxxxx!$G$226,[9]Tablexxxxx!$G$227,[9]Tablexxxxx!$G$228,[9]Tablexxxxx!$G$229,[9]Tablexxxxx!$G$230,[9]Tablexxxxx!$G$231,[9]Tablexxxxx!$G$232,[9]Tablexxxxx!$G$233,[9]Tablexxxxx!$G$234,[9]Tablexxxxx!$G$235,[9]Tablexxxxx!$G$236,[9]Tablexxxxx!$G$237</definedName>
    <definedName name="__APW_RESTORE_DATA679__" hidden="1">[9]Tablexxxxx!$G$238,[9]Tablexxxxx!$G$239,[9]Tablexxxxx!$G$240,[9]Tablexxxxx!$G$241,[9]Tablexxxxx!$G$242,[9]Tablexxxxx!$G$243,[9]Tablexxxxx!$G$244,[9]Tablexxxxx!$G$245,[9]Tablexxxxx!$G$246,[9]Tablexxxxx!$G$247,[9]Tablexxxxx!$G$248,[9]Tablexxxxx!$G$249,[9]Tablexxxxx!$G$250,[9]Tablexxxxx!$G$251,[9]Tablexxxxx!$G$252</definedName>
    <definedName name="__APW_RESTORE_DATA68__" localSheetId="6" hidden="1">#REF!,#REF!,#REF!,#REF!,#REF!,#REF!,#REF!,#REF!,#REF!,#REF!,#REF!,#REF!,#REF!,#REF!,#REF!</definedName>
    <definedName name="__APW_RESTORE_DATA68__" localSheetId="9" hidden="1">#REF!,#REF!,#REF!,#REF!,#REF!,#REF!,#REF!,#REF!,#REF!,#REF!,#REF!,#REF!,#REF!,#REF!,#REF!</definedName>
    <definedName name="__APW_RESTORE_DATA68__" localSheetId="2" hidden="1">#REF!,#REF!,#REF!,#REF!,#REF!,#REF!,#REF!,#REF!,#REF!,#REF!,#REF!,#REF!,#REF!,#REF!,#REF!</definedName>
    <definedName name="__APW_RESTORE_DATA68__" hidden="1">#REF!,#REF!,#REF!,#REF!,#REF!,#REF!,#REF!,#REF!,#REF!,#REF!,#REF!,#REF!,#REF!,#REF!,#REF!</definedName>
    <definedName name="__APW_RESTORE_DATA680__" hidden="1">[9]Tablexxxxx!$G$253,[9]Tablexxxxx!$G$254,[9]Tablexxxxx!$G$255,[9]Tablexxxxx!$G$256,[9]Tablexxxxx!$G$257</definedName>
    <definedName name="__APW_RESTORE_DATA681__" hidden="1">[9]Tablexxxxx!$H$6,[9]Tablexxxxx!$H$7,[9]Tablexxxxx!$H$8,[9]Tablexxxxx!$H$9,[9]Tablexxxxx!$H$10,[9]Tablexxxxx!$H$11,[9]Tablexxxxx!$H$12,[9]Tablexxxxx!$H$13,[9]Tablexxxxx!$H$14,[9]Tablexxxxx!$H$15,[9]Tablexxxxx!$H$16,[9]Tablexxxxx!$H$17,[9]Tablexxxxx!$H$18,[9]Tablexxxxx!$H$19,[9]Tablexxxxx!$H$20,[9]Tablexxxxx!$H$21,[9]Tablexxxxx!$H$22</definedName>
    <definedName name="__APW_RESTORE_DATA682__" hidden="1">[9]Tablexxxxx!$H$23,[9]Tablexxxxx!$H$24,[9]Tablexxxxx!$H$25,[9]Tablexxxxx!$H$26,[9]Tablexxxxx!$H$27,[9]Tablexxxxx!$H$28,[9]Tablexxxxx!$H$29,[9]Tablexxxxx!$H$30,[9]Tablexxxxx!$H$31,[9]Tablexxxxx!$H$32,[9]Tablexxxxx!$H$33,[9]Tablexxxxx!$H$34,[9]Tablexxxxx!$H$35,[9]Tablexxxxx!$H$36,[9]Tablexxxxx!$H$37,[9]Tablexxxxx!$H$38</definedName>
    <definedName name="__APW_RESTORE_DATA683__" hidden="1">[9]Tablexxxxx!$H$39,[9]Tablexxxxx!$H$40,[9]Tablexxxxx!$H$41,[9]Tablexxxxx!$H$42,[9]Tablexxxxx!$H$43,[9]Tablexxxxx!$H$44,[9]Tablexxxxx!$H$45,[9]Tablexxxxx!$H$46,[9]Tablexxxxx!$H$47,[9]Tablexxxxx!$H$48,[9]Tablexxxxx!$H$49,[9]Tablexxxxx!$H$50,[9]Tablexxxxx!$H$51,[9]Tablexxxxx!$H$52,[9]Tablexxxxx!$H$53,[9]Tablexxxxx!$H$54</definedName>
    <definedName name="__APW_RESTORE_DATA684__" hidden="1">[9]Tablexxxxx!$H$55,[9]Tablexxxxx!$H$56,[9]Tablexxxxx!$H$57,[9]Tablexxxxx!$H$58,[9]Tablexxxxx!$H$59,[9]Tablexxxxx!$H$60,[9]Tablexxxxx!$H$61,[9]Tablexxxxx!$H$62,[9]Tablexxxxx!$H$63,[9]Tablexxxxx!$H$64,[9]Tablexxxxx!$H$65,[9]Tablexxxxx!$H$66,[9]Tablexxxxx!$H$67,[9]Tablexxxxx!$H$68,[9]Tablexxxxx!$H$69,[9]Tablexxxxx!$H$70</definedName>
    <definedName name="__APW_RESTORE_DATA685__" hidden="1">[9]Tablexxxxx!$H$71,[9]Tablexxxxx!$H$72,[9]Tablexxxxx!$H$73,[9]Tablexxxxx!$H$74,[9]Tablexxxxx!$H$75,[9]Tablexxxxx!$H$76,[9]Tablexxxxx!$H$77,[9]Tablexxxxx!$H$78,[9]Tablexxxxx!$H$79,[9]Tablexxxxx!$H$80,[9]Tablexxxxx!$H$81,[9]Tablexxxxx!$H$82,[9]Tablexxxxx!$H$83,[9]Tablexxxxx!$H$84,[9]Tablexxxxx!$H$85,[9]Tablexxxxx!$H$86</definedName>
    <definedName name="__APW_RESTORE_DATA686__" hidden="1">[9]Tablexxxxx!$H$87,[9]Tablexxxxx!$H$88,[9]Tablexxxxx!$H$89,[9]Tablexxxxx!$H$90,[9]Tablexxxxx!$H$91,[9]Tablexxxxx!$H$92,[9]Tablexxxxx!$H$93,[9]Tablexxxxx!$H$94,[9]Tablexxxxx!$H$95,[9]Tablexxxxx!$H$96,[9]Tablexxxxx!$H$97,[9]Tablexxxxx!$H$98,[9]Tablexxxxx!$H$99,[9]Tablexxxxx!$H$100,[9]Tablexxxxx!$H$101,[9]Tablexxxxx!$H$102</definedName>
    <definedName name="__APW_RESTORE_DATA687__" hidden="1">[9]Tablexxxxx!$H$103,[9]Tablexxxxx!$H$104,[9]Tablexxxxx!$H$105,[9]Tablexxxxx!$H$106,[9]Tablexxxxx!$H$107,[9]Tablexxxxx!$H$108,[9]Tablexxxxx!$H$109,[9]Tablexxxxx!$H$110,[9]Tablexxxxx!$H$111,[9]Tablexxxxx!$H$112,[9]Tablexxxxx!$H$113,[9]Tablexxxxx!$H$114,[9]Tablexxxxx!$H$115,[9]Tablexxxxx!$H$116,[9]Tablexxxxx!$H$117</definedName>
    <definedName name="__APW_RESTORE_DATA688__" hidden="1">[9]Tablexxxxx!$H$118,[9]Tablexxxxx!$H$119,[9]Tablexxxxx!$H$120,[9]Tablexxxxx!$H$121,[9]Tablexxxxx!$H$122,[9]Tablexxxxx!$H$123,[9]Tablexxxxx!$H$124,[9]Tablexxxxx!$H$125,[9]Tablexxxxx!$H$126,[9]Tablexxxxx!$H$127,[9]Tablexxxxx!$H$128,[9]Tablexxxxx!$H$129,[9]Tablexxxxx!$H$130,[9]Tablexxxxx!$H$131,[9]Tablexxxxx!$H$132</definedName>
    <definedName name="__APW_RESTORE_DATA689__" hidden="1">[9]Tablexxxxx!$H$133,[9]Tablexxxxx!$H$134,[9]Tablexxxxx!$H$135,[9]Tablexxxxx!$H$136,[9]Tablexxxxx!$H$137,[9]Tablexxxxx!$H$138,[9]Tablexxxxx!$H$139,[9]Tablexxxxx!$H$140,[9]Tablexxxxx!$H$141,[9]Tablexxxxx!$H$142,[9]Tablexxxxx!$H$143,[9]Tablexxxxx!$H$144,[9]Tablexxxxx!$H$145,[9]Tablexxxxx!$H$146,[9]Tablexxxxx!$H$147</definedName>
    <definedName name="__APW_RESTORE_DATA69__" localSheetId="6" hidden="1">#REF!,#REF!,#REF!,#REF!,#REF!,#REF!,#REF!,#REF!,#REF!,#REF!,#REF!,#REF!,#REF!,#REF!,#REF!</definedName>
    <definedName name="__APW_RESTORE_DATA69__" localSheetId="9" hidden="1">#REF!,#REF!,#REF!,#REF!,#REF!,#REF!,#REF!,#REF!,#REF!,#REF!,#REF!,#REF!,#REF!,#REF!,#REF!</definedName>
    <definedName name="__APW_RESTORE_DATA69__" localSheetId="2" hidden="1">#REF!,#REF!,#REF!,#REF!,#REF!,#REF!,#REF!,#REF!,#REF!,#REF!,#REF!,#REF!,#REF!,#REF!,#REF!</definedName>
    <definedName name="__APW_RESTORE_DATA69__" hidden="1">#REF!,#REF!,#REF!,#REF!,#REF!,#REF!,#REF!,#REF!,#REF!,#REF!,#REF!,#REF!,#REF!,#REF!,#REF!</definedName>
    <definedName name="__APW_RESTORE_DATA690__" hidden="1">[9]Tablexxxxx!$H$148,[9]Tablexxxxx!$H$149,[9]Tablexxxxx!$H$150,[9]Tablexxxxx!$H$151,[9]Tablexxxxx!$H$152,[9]Tablexxxxx!$H$153,[9]Tablexxxxx!$H$154,[9]Tablexxxxx!$H$155,[9]Tablexxxxx!$H$156,[9]Tablexxxxx!$H$157,[9]Tablexxxxx!$H$158,[9]Tablexxxxx!$H$159,[9]Tablexxxxx!$H$160,[9]Tablexxxxx!$H$161,[9]Tablexxxxx!$H$162</definedName>
    <definedName name="__APW_RESTORE_DATA691__" hidden="1">[9]Tablexxxxx!$H$163,[9]Tablexxxxx!$H$164,[9]Tablexxxxx!$H$165,[9]Tablexxxxx!$H$166,[9]Tablexxxxx!$H$167,[9]Tablexxxxx!$H$168,[9]Tablexxxxx!$H$169,[9]Tablexxxxx!$H$170,[9]Tablexxxxx!$H$171,[9]Tablexxxxx!$H$172,[9]Tablexxxxx!$H$173,[9]Tablexxxxx!$H$174,[9]Tablexxxxx!$H$175,[9]Tablexxxxx!$H$176,[9]Tablexxxxx!$H$177</definedName>
    <definedName name="__APW_RESTORE_DATA692__" hidden="1">[9]Tablexxxxx!$H$178,[9]Tablexxxxx!$H$179,[9]Tablexxxxx!$H$180,[9]Tablexxxxx!$H$181,[9]Tablexxxxx!$H$182,[9]Tablexxxxx!$H$183,[9]Tablexxxxx!$H$184,[9]Tablexxxxx!$H$185,[9]Tablexxxxx!$H$186,[9]Tablexxxxx!$H$187,[9]Tablexxxxx!$H$188,[9]Tablexxxxx!$H$189,[9]Tablexxxxx!$H$190,[9]Tablexxxxx!$H$191,[9]Tablexxxxx!$H$192</definedName>
    <definedName name="__APW_RESTORE_DATA693__" hidden="1">[9]Tablexxxxx!$H$193,[9]Tablexxxxx!$H$194,[9]Tablexxxxx!$H$195,[9]Tablexxxxx!$H$196,[9]Tablexxxxx!$H$197,[9]Tablexxxxx!$H$198,[9]Tablexxxxx!$H$199,[9]Tablexxxxx!$H$200,[9]Tablexxxxx!$H$201,[9]Tablexxxxx!$H$202,[9]Tablexxxxx!$H$203,[9]Tablexxxxx!$H$204,[9]Tablexxxxx!$H$205,[9]Tablexxxxx!$H$206,[9]Tablexxxxx!$H$207</definedName>
    <definedName name="__APW_RESTORE_DATA694__" hidden="1">[9]Tablexxxxx!$H$208,[9]Tablexxxxx!$H$209,[9]Tablexxxxx!$H$210,[9]Tablexxxxx!$H$211,[9]Tablexxxxx!$H$212,[9]Tablexxxxx!$H$213,[9]Tablexxxxx!$H$214,[9]Tablexxxxx!$H$215,[9]Tablexxxxx!$H$216,[9]Tablexxxxx!$H$217,[9]Tablexxxxx!$H$218,[9]Tablexxxxx!$H$219,[9]Tablexxxxx!$H$220,[9]Tablexxxxx!$H$221,[9]Tablexxxxx!$H$222</definedName>
    <definedName name="__APW_RESTORE_DATA695__" hidden="1">[9]Tablexxxxx!$H$223,[9]Tablexxxxx!$H$224,[9]Tablexxxxx!$H$225,[9]Tablexxxxx!$H$226,[9]Tablexxxxx!$H$227,[9]Tablexxxxx!$H$228,[9]Tablexxxxx!$H$229,[9]Tablexxxxx!$H$230,[9]Tablexxxxx!$H$231,[9]Tablexxxxx!$H$232,[9]Tablexxxxx!$H$233,[9]Tablexxxxx!$H$234,[9]Tablexxxxx!$H$235,[9]Tablexxxxx!$H$236,[9]Tablexxxxx!$H$237</definedName>
    <definedName name="__APW_RESTORE_DATA696__" hidden="1">[9]Tablexxxxx!$H$238,[9]Tablexxxxx!$H$239,[9]Tablexxxxx!$H$240,[9]Tablexxxxx!$H$241,[9]Tablexxxxx!$H$242,[9]Tablexxxxx!$H$243,[9]Tablexxxxx!$H$244,[9]Tablexxxxx!$H$245,[9]Tablexxxxx!$H$246,[9]Tablexxxxx!$H$247,[9]Tablexxxxx!$H$248,[9]Tablexxxxx!$H$249,[9]Tablexxxxx!$H$250,[9]Tablexxxxx!$H$251,[9]Tablexxxxx!$H$252</definedName>
    <definedName name="__APW_RESTORE_DATA697__" hidden="1">[9]Tablexxxxx!$H$253,[9]Tablexxxxx!$H$254,[9]Tablexxxxx!$H$255,[9]Tablexxxxx!$H$256,[9]Tablexxxxx!$H$257</definedName>
    <definedName name="__APW_RESTORE_DATA698__" hidden="1">[9]Tablexxxxx!$I$6,[9]Tablexxxxx!$I$7,[9]Tablexxxxx!$I$8,[9]Tablexxxxx!$I$9,[9]Tablexxxxx!$I$10,[9]Tablexxxxx!$I$11,[9]Tablexxxxx!$I$12,[9]Tablexxxxx!$I$13,[9]Tablexxxxx!$I$14,[9]Tablexxxxx!$I$15,[9]Tablexxxxx!$I$16,[9]Tablexxxxx!$I$17,[9]Tablexxxxx!$I$18,[9]Tablexxxxx!$I$19,[9]Tablexxxxx!$I$20,[9]Tablexxxxx!$I$21,[9]Tablexxxxx!$I$22</definedName>
    <definedName name="__APW_RESTORE_DATA699__" hidden="1">[9]Tablexxxxx!$I$23,[9]Tablexxxxx!$I$24,[9]Tablexxxxx!$I$25,[9]Tablexxxxx!$I$26,[9]Tablexxxxx!$I$27,[9]Tablexxxxx!$I$28,[9]Tablexxxxx!$I$29,[9]Tablexxxxx!$I$30,[9]Tablexxxxx!$I$31,[9]Tablexxxxx!$I$32,[9]Tablexxxxx!$I$33,[9]Tablexxxxx!$I$34,[9]Tablexxxxx!$I$35,[9]Tablexxxxx!$I$36,[9]Tablexxxxx!$I$37,[9]Tablexxxxx!$I$38</definedName>
    <definedName name="__APW_RESTORE_DATA7__" localSheetId="6" hidden="1">#REF!,#REF!,#REF!,#REF!,#REF!,#REF!,#REF!,#REF!,#REF!,#REF!,#REF!,#REF!,#REF!,#REF!,#REF!</definedName>
    <definedName name="__APW_RESTORE_DATA7__" localSheetId="9" hidden="1">#REF!,#REF!,#REF!,#REF!,#REF!,#REF!,#REF!,#REF!,#REF!,#REF!,#REF!,#REF!,#REF!,#REF!,#REF!</definedName>
    <definedName name="__APW_RESTORE_DATA7__" localSheetId="2" hidden="1">#REF!,#REF!,#REF!,#REF!,#REF!,#REF!,#REF!,#REF!,#REF!,#REF!,#REF!,#REF!,#REF!,#REF!,#REF!</definedName>
    <definedName name="__APW_RESTORE_DATA7__" hidden="1">#REF!,#REF!,#REF!,#REF!,#REF!,#REF!,#REF!,#REF!,#REF!,#REF!,#REF!,#REF!,#REF!,#REF!,#REF!</definedName>
    <definedName name="__APW_RESTORE_DATA70__" localSheetId="6" hidden="1">#REF!,#REF!,#REF!,#REF!,#REF!,#REF!,#REF!,#REF!,#REF!,#REF!,#REF!,#REF!,#REF!,#REF!,#REF!</definedName>
    <definedName name="__APW_RESTORE_DATA70__" localSheetId="9" hidden="1">#REF!,#REF!,#REF!,#REF!,#REF!,#REF!,#REF!,#REF!,#REF!,#REF!,#REF!,#REF!,#REF!,#REF!,#REF!</definedName>
    <definedName name="__APW_RESTORE_DATA70__" localSheetId="2" hidden="1">#REF!,#REF!,#REF!,#REF!,#REF!,#REF!,#REF!,#REF!,#REF!,#REF!,#REF!,#REF!,#REF!,#REF!,#REF!</definedName>
    <definedName name="__APW_RESTORE_DATA70__" hidden="1">#REF!,#REF!,#REF!,#REF!,#REF!,#REF!,#REF!,#REF!,#REF!,#REF!,#REF!,#REF!,#REF!,#REF!,#REF!</definedName>
    <definedName name="__APW_RESTORE_DATA700__" hidden="1">[9]Tablexxxxx!$I$39,[9]Tablexxxxx!$I$40,[9]Tablexxxxx!$I$41,[9]Tablexxxxx!$I$42,[9]Tablexxxxx!$I$43,[9]Tablexxxxx!$I$44,[9]Tablexxxxx!$I$45,[9]Tablexxxxx!$I$46,[9]Tablexxxxx!$I$47,[9]Tablexxxxx!$I$48,[9]Tablexxxxx!$I$49,[9]Tablexxxxx!$I$50,[9]Tablexxxxx!$I$51,[9]Tablexxxxx!$I$52,[9]Tablexxxxx!$I$53,[9]Tablexxxxx!$I$54</definedName>
    <definedName name="__APW_RESTORE_DATA701__" hidden="1">[9]Tablexxxxx!$I$55,[9]Tablexxxxx!$I$56,[9]Tablexxxxx!$I$57,[9]Tablexxxxx!$I$58,[9]Tablexxxxx!$I$59,[9]Tablexxxxx!$I$60,[9]Tablexxxxx!$I$61,[9]Tablexxxxx!$I$62,[9]Tablexxxxx!$I$63,[9]Tablexxxxx!$I$64,[9]Tablexxxxx!$I$65,[9]Tablexxxxx!$I$66,[9]Tablexxxxx!$I$67,[9]Tablexxxxx!$I$68,[9]Tablexxxxx!$I$69,[9]Tablexxxxx!$I$70</definedName>
    <definedName name="__APW_RESTORE_DATA702__" hidden="1">[9]Tablexxxxx!$I$71,[9]Tablexxxxx!$I$72,[9]Tablexxxxx!$I$73,[9]Tablexxxxx!$I$74,[9]Tablexxxxx!$I$75,[9]Tablexxxxx!$I$76,[9]Tablexxxxx!$I$77,[9]Tablexxxxx!$I$78,[9]Tablexxxxx!$I$79,[9]Tablexxxxx!$I$80,[9]Tablexxxxx!$I$81,[9]Tablexxxxx!$I$82,[9]Tablexxxxx!$I$83,[9]Tablexxxxx!$I$84,[9]Tablexxxxx!$I$85,[9]Tablexxxxx!$I$86</definedName>
    <definedName name="__APW_RESTORE_DATA703__" hidden="1">[9]Tablexxxxx!$I$87,[9]Tablexxxxx!$I$88,[9]Tablexxxxx!$I$89,[9]Tablexxxxx!$I$90,[9]Tablexxxxx!$I$91,[9]Tablexxxxx!$I$92,[9]Tablexxxxx!$I$93,[9]Tablexxxxx!$I$94,[9]Tablexxxxx!$I$95,[9]Tablexxxxx!$I$96,[9]Tablexxxxx!$I$97,[9]Tablexxxxx!$I$98,[9]Tablexxxxx!$I$99,[9]Tablexxxxx!$I$100,[9]Tablexxxxx!$I$101,[9]Tablexxxxx!$I$102</definedName>
    <definedName name="__APW_RESTORE_DATA704__" hidden="1">[9]Tablexxxxx!$I$103,[9]Tablexxxxx!$I$104,[9]Tablexxxxx!$I$105,[9]Tablexxxxx!$I$106,[9]Tablexxxxx!$I$107,[9]Tablexxxxx!$I$108,[9]Tablexxxxx!$I$109,[9]Tablexxxxx!$I$110,[9]Tablexxxxx!$I$111,[9]Tablexxxxx!$I$112,[9]Tablexxxxx!$I$113,[9]Tablexxxxx!$I$114,[9]Tablexxxxx!$I$115,[9]Tablexxxxx!$I$116,[9]Tablexxxxx!$I$117</definedName>
    <definedName name="__APW_RESTORE_DATA705__" localSheetId="6" hidden="1">#REF!,#REF!,#REF!,#REF!,#REF!,#REF!,#REF!,#REF!,#REF!,#REF!,#REF!,#REF!,#REF!,#REF!,#REF!,#REF!,#REF!</definedName>
    <definedName name="__APW_RESTORE_DATA705__" localSheetId="9" hidden="1">#REF!,#REF!,#REF!,#REF!,#REF!,#REF!,#REF!,#REF!,#REF!,#REF!,#REF!,#REF!,#REF!,#REF!,#REF!,#REF!,#REF!</definedName>
    <definedName name="__APW_RESTORE_DATA705__" localSheetId="2" hidden="1">#REF!,#REF!,#REF!,#REF!,#REF!,#REF!,#REF!,#REF!,#REF!,#REF!,#REF!,#REF!,#REF!,#REF!,#REF!,#REF!,#REF!</definedName>
    <definedName name="__APW_RESTORE_DATA705__" hidden="1">#REF!,#REF!,#REF!,#REF!,#REF!,#REF!,#REF!,#REF!,#REF!,#REF!,#REF!,#REF!,#REF!,#REF!,#REF!,#REF!,#REF!</definedName>
    <definedName name="__APW_RESTORE_DATA706__" localSheetId="6" hidden="1">#REF!,#REF!,#REF!,#REF!,#REF!,#REF!,#REF!,#REF!,#REF!,#REF!,#REF!,#REF!,#REF!,#REF!,#REF!,#REF!</definedName>
    <definedName name="__APW_RESTORE_DATA706__" localSheetId="9" hidden="1">#REF!,#REF!,#REF!,#REF!,#REF!,#REF!,#REF!,#REF!,#REF!,#REF!,#REF!,#REF!,#REF!,#REF!,#REF!,#REF!</definedName>
    <definedName name="__APW_RESTORE_DATA706__" localSheetId="2" hidden="1">#REF!,#REF!,#REF!,#REF!,#REF!,#REF!,#REF!,#REF!,#REF!,#REF!,#REF!,#REF!,#REF!,#REF!,#REF!,#REF!</definedName>
    <definedName name="__APW_RESTORE_DATA706__" hidden="1">#REF!,#REF!,#REF!,#REF!,#REF!,#REF!,#REF!,#REF!,#REF!,#REF!,#REF!,#REF!,#REF!,#REF!,#REF!,#REF!</definedName>
    <definedName name="__APW_RESTORE_DATA707__" localSheetId="6" hidden="1">#REF!,#REF!,#REF!,#REF!,#REF!,#REF!,#REF!,#REF!,#REF!,#REF!,#REF!,#REF!,#REF!,#REF!,#REF!,#REF!</definedName>
    <definedName name="__APW_RESTORE_DATA707__" localSheetId="9" hidden="1">#REF!,#REF!,#REF!,#REF!,#REF!,#REF!,#REF!,#REF!,#REF!,#REF!,#REF!,#REF!,#REF!,#REF!,#REF!,#REF!</definedName>
    <definedName name="__APW_RESTORE_DATA707__" localSheetId="2" hidden="1">#REF!,#REF!,#REF!,#REF!,#REF!,#REF!,#REF!,#REF!,#REF!,#REF!,#REF!,#REF!,#REF!,#REF!,#REF!,#REF!</definedName>
    <definedName name="__APW_RESTORE_DATA707__" hidden="1">#REF!,#REF!,#REF!,#REF!,#REF!,#REF!,#REF!,#REF!,#REF!,#REF!,#REF!,#REF!,#REF!,#REF!,#REF!,#REF!</definedName>
    <definedName name="__APW_RESTORE_DATA708__" localSheetId="6" hidden="1">#REF!,#REF!,#REF!,#REF!,#REF!,#REF!,#REF!,#REF!,#REF!,#REF!,#REF!,#REF!,#REF!,#REF!,#REF!,#REF!</definedName>
    <definedName name="__APW_RESTORE_DATA708__" localSheetId="9" hidden="1">#REF!,#REF!,#REF!,#REF!,#REF!,#REF!,#REF!,#REF!,#REF!,#REF!,#REF!,#REF!,#REF!,#REF!,#REF!,#REF!</definedName>
    <definedName name="__APW_RESTORE_DATA708__" localSheetId="2" hidden="1">#REF!,#REF!,#REF!,#REF!,#REF!,#REF!,#REF!,#REF!,#REF!,#REF!,#REF!,#REF!,#REF!,#REF!,#REF!,#REF!</definedName>
    <definedName name="__APW_RESTORE_DATA708__" hidden="1">#REF!,#REF!,#REF!,#REF!,#REF!,#REF!,#REF!,#REF!,#REF!,#REF!,#REF!,#REF!,#REF!,#REF!,#REF!,#REF!</definedName>
    <definedName name="__APW_RESTORE_DATA709__" localSheetId="2" hidden="1">#REF!,#REF!,#REF!,#REF!,#REF!,#REF!,#REF!,#REF!,#REF!,#REF!,#REF!,#REF!,#REF!,#REF!,#REF!,#REF!</definedName>
    <definedName name="__APW_RESTORE_DATA709__" hidden="1">#REF!,#REF!,#REF!,#REF!,#REF!,#REF!,#REF!,#REF!,#REF!,#REF!,#REF!,#REF!,#REF!,#REF!,#REF!,#REF!</definedName>
    <definedName name="__APW_RESTORE_DATA71__" localSheetId="6" hidden="1">#REF!,#REF!,#REF!,#REF!,#REF!,#REF!</definedName>
    <definedName name="__APW_RESTORE_DATA71__" localSheetId="9" hidden="1">#REF!,#REF!,#REF!,#REF!,#REF!,#REF!</definedName>
    <definedName name="__APW_RESTORE_DATA71__" localSheetId="2" hidden="1">#REF!,#REF!,#REF!,#REF!,#REF!,#REF!</definedName>
    <definedName name="__APW_RESTORE_DATA71__" hidden="1">#REF!,#REF!,#REF!,#REF!,#REF!,#REF!</definedName>
    <definedName name="__APW_RESTORE_DATA710__" localSheetId="6" hidden="1">#REF!,#REF!,#REF!,#REF!,#REF!,#REF!,#REF!,#REF!,#REF!,#REF!,#REF!,#REF!,#REF!,#REF!,#REF!,#REF!</definedName>
    <definedName name="__APW_RESTORE_DATA710__" localSheetId="9" hidden="1">#REF!,#REF!,#REF!,#REF!,#REF!,#REF!,#REF!,#REF!,#REF!,#REF!,#REF!,#REF!,#REF!,#REF!,#REF!,#REF!</definedName>
    <definedName name="__APW_RESTORE_DATA710__" localSheetId="2" hidden="1">#REF!,#REF!,#REF!,#REF!,#REF!,#REF!,#REF!,#REF!,#REF!,#REF!,#REF!,#REF!,#REF!,#REF!,#REF!,#REF!</definedName>
    <definedName name="__APW_RESTORE_DATA710__" hidden="1">#REF!,#REF!,#REF!,#REF!,#REF!,#REF!,#REF!,#REF!,#REF!,#REF!,#REF!,#REF!,#REF!,#REF!,#REF!,#REF!</definedName>
    <definedName name="__APW_RESTORE_DATA711__" localSheetId="6" hidden="1">#REF!,#REF!,#REF!,#REF!,#REF!,#REF!,#REF!,#REF!,#REF!,#REF!,#REF!,#REF!,#REF!,#REF!,#REF!</definedName>
    <definedName name="__APW_RESTORE_DATA711__" localSheetId="9" hidden="1">#REF!,#REF!,#REF!,#REF!,#REF!,#REF!,#REF!,#REF!,#REF!,#REF!,#REF!,#REF!,#REF!,#REF!,#REF!</definedName>
    <definedName name="__APW_RESTORE_DATA711__" localSheetId="2" hidden="1">#REF!,#REF!,#REF!,#REF!,#REF!,#REF!,#REF!,#REF!,#REF!,#REF!,#REF!,#REF!,#REF!,#REF!,#REF!</definedName>
    <definedName name="__APW_RESTORE_DATA711__" hidden="1">#REF!,#REF!,#REF!,#REF!,#REF!,#REF!,#REF!,#REF!,#REF!,#REF!,#REF!,#REF!,#REF!,#REF!,#REF!</definedName>
    <definedName name="__APW_RESTORE_DATA712__" localSheetId="6" hidden="1">#REF!,#REF!,#REF!,#REF!,#REF!,#REF!,#REF!,#REF!,#REF!,#REF!,#REF!,#REF!,#REF!,#REF!,#REF!</definedName>
    <definedName name="__APW_RESTORE_DATA712__" localSheetId="9" hidden="1">#REF!,#REF!,#REF!,#REF!,#REF!,#REF!,#REF!,#REF!,#REF!,#REF!,#REF!,#REF!,#REF!,#REF!,#REF!</definedName>
    <definedName name="__APW_RESTORE_DATA712__" localSheetId="2" hidden="1">#REF!,#REF!,#REF!,#REF!,#REF!,#REF!,#REF!,#REF!,#REF!,#REF!,#REF!,#REF!,#REF!,#REF!,#REF!</definedName>
    <definedName name="__APW_RESTORE_DATA712__" hidden="1">#REF!,#REF!,#REF!,#REF!,#REF!,#REF!,#REF!,#REF!,#REF!,#REF!,#REF!,#REF!,#REF!,#REF!,#REF!</definedName>
    <definedName name="__APW_RESTORE_DATA713__" localSheetId="6" hidden="1">#REF!,#REF!,#REF!,#REF!,#REF!,#REF!,#REF!,#REF!,#REF!,#REF!,#REF!,#REF!,#REF!,#REF!,#REF!</definedName>
    <definedName name="__APW_RESTORE_DATA713__" localSheetId="9" hidden="1">#REF!,#REF!,#REF!,#REF!,#REF!,#REF!,#REF!,#REF!,#REF!,#REF!,#REF!,#REF!,#REF!,#REF!,#REF!</definedName>
    <definedName name="__APW_RESTORE_DATA713__" localSheetId="2" hidden="1">#REF!,#REF!,#REF!,#REF!,#REF!,#REF!,#REF!,#REF!,#REF!,#REF!,#REF!,#REF!,#REF!,#REF!,#REF!</definedName>
    <definedName name="__APW_RESTORE_DATA713__" hidden="1">#REF!,#REF!,#REF!,#REF!,#REF!,#REF!,#REF!,#REF!,#REF!,#REF!,#REF!,#REF!,#REF!,#REF!,#REF!</definedName>
    <definedName name="__APW_RESTORE_DATA714__" localSheetId="2" hidden="1">#REF!,#REF!,#REF!,#REF!,#REF!,#REF!,#REF!,#REF!,#REF!,#REF!,#REF!,#REF!,#REF!,#REF!,#REF!</definedName>
    <definedName name="__APW_RESTORE_DATA714__" hidden="1">#REF!,#REF!,#REF!,#REF!,#REF!,#REF!,#REF!,#REF!,#REF!,#REF!,#REF!,#REF!,#REF!,#REF!,#REF!</definedName>
    <definedName name="__APW_RESTORE_DATA715__" localSheetId="2" hidden="1">#REF!,#REF!,#REF!,#REF!,#REF!,#REF!,#REF!,#REF!,#REF!,#REF!,#REF!,#REF!,#REF!,#REF!,#REF!</definedName>
    <definedName name="__APW_RESTORE_DATA715__" hidden="1">#REF!,#REF!,#REF!,#REF!,#REF!,#REF!,#REF!,#REF!,#REF!,#REF!,#REF!,#REF!,#REF!,#REF!,#REF!</definedName>
    <definedName name="__APW_RESTORE_DATA716__" localSheetId="2" hidden="1">#REF!,#REF!,#REF!,#REF!,#REF!,#REF!,#REF!,#REF!,#REF!,#REF!,#REF!,#REF!,#REF!,#REF!,#REF!</definedName>
    <definedName name="__APW_RESTORE_DATA716__" hidden="1">#REF!,#REF!,#REF!,#REF!,#REF!,#REF!,#REF!,#REF!,#REF!,#REF!,#REF!,#REF!,#REF!,#REF!,#REF!</definedName>
    <definedName name="__APW_RESTORE_DATA717__" localSheetId="2" hidden="1">#REF!,#REF!,#REF!,#REF!,#REF!,#REF!,#REF!,#REF!,#REF!,#REF!,#REF!,#REF!,#REF!,#REF!,#REF!</definedName>
    <definedName name="__APW_RESTORE_DATA717__" hidden="1">#REF!,#REF!,#REF!,#REF!,#REF!,#REF!,#REF!,#REF!,#REF!,#REF!,#REF!,#REF!,#REF!,#REF!,#REF!</definedName>
    <definedName name="__APW_RESTORE_DATA718__" localSheetId="2" hidden="1">#REF!,#REF!,#REF!,#REF!,#REF!,#REF!,#REF!,#REF!,#REF!,#REF!,#REF!,#REF!,#REF!,#REF!,#REF!</definedName>
    <definedName name="__APW_RESTORE_DATA718__" hidden="1">#REF!,#REF!,#REF!,#REF!,#REF!,#REF!,#REF!,#REF!,#REF!,#REF!,#REF!,#REF!,#REF!,#REF!,#REF!</definedName>
    <definedName name="__APW_RESTORE_DATA719__" localSheetId="6" hidden="1">#REF!,#REF!,#REF!,#REF!,#REF!,#REF!,#REF!,#REF!,#REF!</definedName>
    <definedName name="__APW_RESTORE_DATA719__" localSheetId="9" hidden="1">#REF!,#REF!,#REF!,#REF!,#REF!,#REF!,#REF!,#REF!,#REF!</definedName>
    <definedName name="__APW_RESTORE_DATA719__" localSheetId="2" hidden="1">#REF!,#REF!,#REF!,#REF!,#REF!,#REF!,#REF!,#REF!,#REF!</definedName>
    <definedName name="__APW_RESTORE_DATA719__" hidden="1">#REF!,#REF!,#REF!,#REF!,#REF!,#REF!,#REF!,#REF!,#REF!</definedName>
    <definedName name="__APW_RESTORE_DATA72__" localSheetId="6" hidden="1">#REF!,#REF!,#REF!,#REF!,#REF!,#REF!,#REF!,#REF!,#REF!,#REF!,#REF!,#REF!,#REF!,#REF!,#REF!,#REF!,#REF!</definedName>
    <definedName name="__APW_RESTORE_DATA72__" localSheetId="9" hidden="1">#REF!,#REF!,#REF!,#REF!,#REF!,#REF!,#REF!,#REF!,#REF!,#REF!,#REF!,#REF!,#REF!,#REF!,#REF!,#REF!,#REF!</definedName>
    <definedName name="__APW_RESTORE_DATA72__" localSheetId="2" hidden="1">#REF!,#REF!,#REF!,#REF!,#REF!,#REF!,#REF!,#REF!,#REF!,#REF!,#REF!,#REF!,#REF!,#REF!,#REF!,#REF!,#REF!</definedName>
    <definedName name="__APW_RESTORE_DATA72__" hidden="1">#REF!,#REF!,#REF!,#REF!,#REF!,#REF!,#REF!,#REF!,#REF!,#REF!,#REF!,#REF!,#REF!,#REF!,#REF!,#REF!,#REF!</definedName>
    <definedName name="__APW_RESTORE_DATA720__" localSheetId="6" hidden="1">#REF!,#REF!,#REF!,#REF!,#REF!,#REF!,#REF!,#REF!,#REF!,#REF!,#REF!,#REF!,#REF!,#REF!,#REF!,#REF!,#REF!</definedName>
    <definedName name="__APW_RESTORE_DATA720__" localSheetId="9" hidden="1">#REF!,#REF!,#REF!,#REF!,#REF!,#REF!,#REF!,#REF!,#REF!,#REF!,#REF!,#REF!,#REF!,#REF!,#REF!,#REF!,#REF!</definedName>
    <definedName name="__APW_RESTORE_DATA720__" localSheetId="2" hidden="1">#REF!,#REF!,#REF!,#REF!,#REF!,#REF!,#REF!,#REF!,#REF!,#REF!,#REF!,#REF!,#REF!,#REF!,#REF!,#REF!,#REF!</definedName>
    <definedName name="__APW_RESTORE_DATA720__" hidden="1">#REF!,#REF!,#REF!,#REF!,#REF!,#REF!,#REF!,#REF!,#REF!,#REF!,#REF!,#REF!,#REF!,#REF!,#REF!,#REF!,#REF!</definedName>
    <definedName name="__APW_RESTORE_DATA721__" localSheetId="6" hidden="1">#REF!,#REF!,#REF!,#REF!,#REF!,#REF!,#REF!,#REF!,#REF!,#REF!,#REF!,#REF!,#REF!,#REF!,#REF!,#REF!</definedName>
    <definedName name="__APW_RESTORE_DATA721__" localSheetId="9" hidden="1">#REF!,#REF!,#REF!,#REF!,#REF!,#REF!,#REF!,#REF!,#REF!,#REF!,#REF!,#REF!,#REF!,#REF!,#REF!,#REF!</definedName>
    <definedName name="__APW_RESTORE_DATA721__" localSheetId="2" hidden="1">#REF!,#REF!,#REF!,#REF!,#REF!,#REF!,#REF!,#REF!,#REF!,#REF!,#REF!,#REF!,#REF!,#REF!,#REF!,#REF!</definedName>
    <definedName name="__APW_RESTORE_DATA721__" hidden="1">#REF!,#REF!,#REF!,#REF!,#REF!,#REF!,#REF!,#REF!,#REF!,#REF!,#REF!,#REF!,#REF!,#REF!,#REF!,#REF!</definedName>
    <definedName name="__APW_RESTORE_DATA722__" localSheetId="6" hidden="1">#REF!,#REF!,#REF!,#REF!,#REF!,#REF!,#REF!,#REF!,#REF!,#REF!,#REF!,#REF!,#REF!,#REF!,#REF!,#REF!</definedName>
    <definedName name="__APW_RESTORE_DATA722__" localSheetId="9" hidden="1">#REF!,#REF!,#REF!,#REF!,#REF!,#REF!,#REF!,#REF!,#REF!,#REF!,#REF!,#REF!,#REF!,#REF!,#REF!,#REF!</definedName>
    <definedName name="__APW_RESTORE_DATA722__" localSheetId="2" hidden="1">#REF!,#REF!,#REF!,#REF!,#REF!,#REF!,#REF!,#REF!,#REF!,#REF!,#REF!,#REF!,#REF!,#REF!,#REF!,#REF!</definedName>
    <definedName name="__APW_RESTORE_DATA722__" hidden="1">#REF!,#REF!,#REF!,#REF!,#REF!,#REF!,#REF!,#REF!,#REF!,#REF!,#REF!,#REF!,#REF!,#REF!,#REF!,#REF!</definedName>
    <definedName name="__APW_RESTORE_DATA723__" localSheetId="6" hidden="1">#REF!,#REF!,#REF!,#REF!,#REF!,#REF!,#REF!,#REF!,#REF!,#REF!,#REF!,#REF!,#REF!,#REF!,#REF!,#REF!</definedName>
    <definedName name="__APW_RESTORE_DATA723__" localSheetId="9" hidden="1">#REF!,#REF!,#REF!,#REF!,#REF!,#REF!,#REF!,#REF!,#REF!,#REF!,#REF!,#REF!,#REF!,#REF!,#REF!,#REF!</definedName>
    <definedName name="__APW_RESTORE_DATA723__" localSheetId="2" hidden="1">#REF!,#REF!,#REF!,#REF!,#REF!,#REF!,#REF!,#REF!,#REF!,#REF!,#REF!,#REF!,#REF!,#REF!,#REF!,#REF!</definedName>
    <definedName name="__APW_RESTORE_DATA723__" hidden="1">#REF!,#REF!,#REF!,#REF!,#REF!,#REF!,#REF!,#REF!,#REF!,#REF!,#REF!,#REF!,#REF!,#REF!,#REF!,#REF!</definedName>
    <definedName name="__APW_RESTORE_DATA724__" localSheetId="2" hidden="1">#REF!,#REF!,#REF!,#REF!,#REF!,#REF!,#REF!,#REF!,#REF!,#REF!,#REF!,#REF!,#REF!,#REF!,#REF!,#REF!</definedName>
    <definedName name="__APW_RESTORE_DATA724__" hidden="1">#REF!,#REF!,#REF!,#REF!,#REF!,#REF!,#REF!,#REF!,#REF!,#REF!,#REF!,#REF!,#REF!,#REF!,#REF!,#REF!</definedName>
    <definedName name="__APW_RESTORE_DATA725__" localSheetId="2" hidden="1">#REF!,#REF!,#REF!,#REF!,#REF!,#REF!,#REF!,#REF!,#REF!,#REF!,#REF!,#REF!,#REF!,#REF!,#REF!,#REF!</definedName>
    <definedName name="__APW_RESTORE_DATA725__" hidden="1">#REF!,#REF!,#REF!,#REF!,#REF!,#REF!,#REF!,#REF!,#REF!,#REF!,#REF!,#REF!,#REF!,#REF!,#REF!,#REF!</definedName>
    <definedName name="__APW_RESTORE_DATA726__" localSheetId="6" hidden="1">#REF!,#REF!,#REF!,#REF!,#REF!,#REF!,#REF!,#REF!,#REF!,#REF!,#REF!,#REF!,#REF!,#REF!,#REF!</definedName>
    <definedName name="__APW_RESTORE_DATA726__" localSheetId="9" hidden="1">#REF!,#REF!,#REF!,#REF!,#REF!,#REF!,#REF!,#REF!,#REF!,#REF!,#REF!,#REF!,#REF!,#REF!,#REF!</definedName>
    <definedName name="__APW_RESTORE_DATA726__" localSheetId="2" hidden="1">#REF!,#REF!,#REF!,#REF!,#REF!,#REF!,#REF!,#REF!,#REF!,#REF!,#REF!,#REF!,#REF!,#REF!,#REF!</definedName>
    <definedName name="__APW_RESTORE_DATA726__" hidden="1">#REF!,#REF!,#REF!,#REF!,#REF!,#REF!,#REF!,#REF!,#REF!,#REF!,#REF!,#REF!,#REF!,#REF!,#REF!</definedName>
    <definedName name="__APW_RESTORE_DATA727__" localSheetId="6" hidden="1">#REF!,#REF!,#REF!,#REF!,#REF!,#REF!,#REF!,#REF!,#REF!,#REF!,#REF!,#REF!,#REF!,#REF!,#REF!</definedName>
    <definedName name="__APW_RESTORE_DATA727__" localSheetId="9" hidden="1">#REF!,#REF!,#REF!,#REF!,#REF!,#REF!,#REF!,#REF!,#REF!,#REF!,#REF!,#REF!,#REF!,#REF!,#REF!</definedName>
    <definedName name="__APW_RESTORE_DATA727__" localSheetId="2" hidden="1">#REF!,#REF!,#REF!,#REF!,#REF!,#REF!,#REF!,#REF!,#REF!,#REF!,#REF!,#REF!,#REF!,#REF!,#REF!</definedName>
    <definedName name="__APW_RESTORE_DATA727__" hidden="1">#REF!,#REF!,#REF!,#REF!,#REF!,#REF!,#REF!,#REF!,#REF!,#REF!,#REF!,#REF!,#REF!,#REF!,#REF!</definedName>
    <definedName name="__APW_RESTORE_DATA728__" localSheetId="6" hidden="1">#REF!,#REF!,#REF!,#REF!,#REF!,#REF!,#REF!,#REF!,#REF!,#REF!,#REF!,#REF!,#REF!,#REF!,#REF!</definedName>
    <definedName name="__APW_RESTORE_DATA728__" localSheetId="9" hidden="1">#REF!,#REF!,#REF!,#REF!,#REF!,#REF!,#REF!,#REF!,#REF!,#REF!,#REF!,#REF!,#REF!,#REF!,#REF!</definedName>
    <definedName name="__APW_RESTORE_DATA728__" localSheetId="2" hidden="1">#REF!,#REF!,#REF!,#REF!,#REF!,#REF!,#REF!,#REF!,#REF!,#REF!,#REF!,#REF!,#REF!,#REF!,#REF!</definedName>
    <definedName name="__APW_RESTORE_DATA728__" hidden="1">#REF!,#REF!,#REF!,#REF!,#REF!,#REF!,#REF!,#REF!,#REF!,#REF!,#REF!,#REF!,#REF!,#REF!,#REF!</definedName>
    <definedName name="__APW_RESTORE_DATA729__" localSheetId="2" hidden="1">#REF!,#REF!,#REF!,#REF!,#REF!,#REF!,#REF!,#REF!,#REF!,#REF!,#REF!,#REF!,#REF!,#REF!,#REF!</definedName>
    <definedName name="__APW_RESTORE_DATA729__" hidden="1">#REF!,#REF!,#REF!,#REF!,#REF!,#REF!,#REF!,#REF!,#REF!,#REF!,#REF!,#REF!,#REF!,#REF!,#REF!</definedName>
    <definedName name="__APW_RESTORE_DATA73__" localSheetId="6" hidden="1">#REF!,#REF!,#REF!,#REF!,#REF!,#REF!,#REF!,#REF!,#REF!,#REF!,#REF!,#REF!,#REF!,#REF!,#REF!,#REF!</definedName>
    <definedName name="__APW_RESTORE_DATA73__" localSheetId="9" hidden="1">#REF!,#REF!,#REF!,#REF!,#REF!,#REF!,#REF!,#REF!,#REF!,#REF!,#REF!,#REF!,#REF!,#REF!,#REF!,#REF!</definedName>
    <definedName name="__APW_RESTORE_DATA73__" localSheetId="2" hidden="1">#REF!,#REF!,#REF!,#REF!,#REF!,#REF!,#REF!,#REF!,#REF!,#REF!,#REF!,#REF!,#REF!,#REF!,#REF!,#REF!</definedName>
    <definedName name="__APW_RESTORE_DATA73__" hidden="1">#REF!,#REF!,#REF!,#REF!,#REF!,#REF!,#REF!,#REF!,#REF!,#REF!,#REF!,#REF!,#REF!,#REF!,#REF!,#REF!</definedName>
    <definedName name="__APW_RESTORE_DATA730__" localSheetId="6" hidden="1">#REF!,#REF!,#REF!,#REF!,#REF!,#REF!,#REF!,#REF!,#REF!,#REF!,#REF!,#REF!,#REF!,#REF!,#REF!</definedName>
    <definedName name="__APW_RESTORE_DATA730__" localSheetId="9" hidden="1">#REF!,#REF!,#REF!,#REF!,#REF!,#REF!,#REF!,#REF!,#REF!,#REF!,#REF!,#REF!,#REF!,#REF!,#REF!</definedName>
    <definedName name="__APW_RESTORE_DATA730__" localSheetId="2" hidden="1">#REF!,#REF!,#REF!,#REF!,#REF!,#REF!,#REF!,#REF!,#REF!,#REF!,#REF!,#REF!,#REF!,#REF!,#REF!</definedName>
    <definedName name="__APW_RESTORE_DATA730__" hidden="1">#REF!,#REF!,#REF!,#REF!,#REF!,#REF!,#REF!,#REF!,#REF!,#REF!,#REF!,#REF!,#REF!,#REF!,#REF!</definedName>
    <definedName name="__APW_RESTORE_DATA731__" localSheetId="6" hidden="1">#REF!,#REF!,#REF!,#REF!,#REF!,#REF!,#REF!,#REF!,#REF!,#REF!,#REF!,#REF!,#REF!,#REF!,#REF!</definedName>
    <definedName name="__APW_RESTORE_DATA731__" localSheetId="9" hidden="1">#REF!,#REF!,#REF!,#REF!,#REF!,#REF!,#REF!,#REF!,#REF!,#REF!,#REF!,#REF!,#REF!,#REF!,#REF!</definedName>
    <definedName name="__APW_RESTORE_DATA731__" localSheetId="2" hidden="1">#REF!,#REF!,#REF!,#REF!,#REF!,#REF!,#REF!,#REF!,#REF!,#REF!,#REF!,#REF!,#REF!,#REF!,#REF!</definedName>
    <definedName name="__APW_RESTORE_DATA731__" hidden="1">#REF!,#REF!,#REF!,#REF!,#REF!,#REF!,#REF!,#REF!,#REF!,#REF!,#REF!,#REF!,#REF!,#REF!,#REF!</definedName>
    <definedName name="__APW_RESTORE_DATA732__" localSheetId="6" hidden="1">#REF!,#REF!,#REF!,#REF!,#REF!,#REF!,#REF!,#REF!,#REF!,#REF!,#REF!,#REF!,#REF!,#REF!,#REF!</definedName>
    <definedName name="__APW_RESTORE_DATA732__" localSheetId="9" hidden="1">#REF!,#REF!,#REF!,#REF!,#REF!,#REF!,#REF!,#REF!,#REF!,#REF!,#REF!,#REF!,#REF!,#REF!,#REF!</definedName>
    <definedName name="__APW_RESTORE_DATA732__" localSheetId="2" hidden="1">#REF!,#REF!,#REF!,#REF!,#REF!,#REF!,#REF!,#REF!,#REF!,#REF!,#REF!,#REF!,#REF!,#REF!,#REF!</definedName>
    <definedName name="__APW_RESTORE_DATA732__" hidden="1">#REF!,#REF!,#REF!,#REF!,#REF!,#REF!,#REF!,#REF!,#REF!,#REF!,#REF!,#REF!,#REF!,#REF!,#REF!</definedName>
    <definedName name="__APW_RESTORE_DATA733__" localSheetId="2" hidden="1">#REF!,#REF!,#REF!,#REF!,#REF!,#REF!,#REF!,#REF!,#REF!,#REF!,#REF!,#REF!,#REF!,#REF!,#REF!</definedName>
    <definedName name="__APW_RESTORE_DATA733__" hidden="1">#REF!,#REF!,#REF!,#REF!,#REF!,#REF!,#REF!,#REF!,#REF!,#REF!,#REF!,#REF!,#REF!,#REF!,#REF!</definedName>
    <definedName name="__APW_RESTORE_DATA734__" localSheetId="6" hidden="1">#REF!,#REF!,#REF!,#REF!,#REF!,#REF!,#REF!,#REF!,#REF!</definedName>
    <definedName name="__APW_RESTORE_DATA734__" localSheetId="9" hidden="1">#REF!,#REF!,#REF!,#REF!,#REF!,#REF!,#REF!,#REF!,#REF!</definedName>
    <definedName name="__APW_RESTORE_DATA734__" localSheetId="2" hidden="1">#REF!,#REF!,#REF!,#REF!,#REF!,#REF!,#REF!,#REF!,#REF!</definedName>
    <definedName name="__APW_RESTORE_DATA734__" hidden="1">#REF!,#REF!,#REF!,#REF!,#REF!,#REF!,#REF!,#REF!,#REF!</definedName>
    <definedName name="__APW_RESTORE_DATA735__" localSheetId="6" hidden="1">#REF!,#REF!,#REF!,#REF!,#REF!,#REF!,#REF!,#REF!,#REF!,#REF!,#REF!,#REF!,#REF!,#REF!,#REF!,#REF!,#REF!</definedName>
    <definedName name="__APW_RESTORE_DATA735__" localSheetId="9" hidden="1">#REF!,#REF!,#REF!,#REF!,#REF!,#REF!,#REF!,#REF!,#REF!,#REF!,#REF!,#REF!,#REF!,#REF!,#REF!,#REF!,#REF!</definedName>
    <definedName name="__APW_RESTORE_DATA735__" localSheetId="2" hidden="1">#REF!,#REF!,#REF!,#REF!,#REF!,#REF!,#REF!,#REF!,#REF!,#REF!,#REF!,#REF!,#REF!,#REF!,#REF!,#REF!,#REF!</definedName>
    <definedName name="__APW_RESTORE_DATA735__" hidden="1">#REF!,#REF!,#REF!,#REF!,#REF!,#REF!,#REF!,#REF!,#REF!,#REF!,#REF!,#REF!,#REF!,#REF!,#REF!,#REF!,#REF!</definedName>
    <definedName name="__APW_RESTORE_DATA736__" localSheetId="6" hidden="1">#REF!,#REF!,#REF!,#REF!,#REF!,#REF!,#REF!,#REF!,#REF!,#REF!,#REF!,#REF!,#REF!,#REF!,#REF!,#REF!</definedName>
    <definedName name="__APW_RESTORE_DATA736__" localSheetId="9" hidden="1">#REF!,#REF!,#REF!,#REF!,#REF!,#REF!,#REF!,#REF!,#REF!,#REF!,#REF!,#REF!,#REF!,#REF!,#REF!,#REF!</definedName>
    <definedName name="__APW_RESTORE_DATA736__" localSheetId="2" hidden="1">#REF!,#REF!,#REF!,#REF!,#REF!,#REF!,#REF!,#REF!,#REF!,#REF!,#REF!,#REF!,#REF!,#REF!,#REF!,#REF!</definedName>
    <definedName name="__APW_RESTORE_DATA736__" hidden="1">#REF!,#REF!,#REF!,#REF!,#REF!,#REF!,#REF!,#REF!,#REF!,#REF!,#REF!,#REF!,#REF!,#REF!,#REF!,#REF!</definedName>
    <definedName name="__APW_RESTORE_DATA737__" localSheetId="6" hidden="1">#REF!,#REF!,#REF!,#REF!,#REF!,#REF!,#REF!,#REF!,#REF!,#REF!,#REF!,#REF!,#REF!,#REF!,#REF!,#REF!</definedName>
    <definedName name="__APW_RESTORE_DATA737__" localSheetId="9" hidden="1">#REF!,#REF!,#REF!,#REF!,#REF!,#REF!,#REF!,#REF!,#REF!,#REF!,#REF!,#REF!,#REF!,#REF!,#REF!,#REF!</definedName>
    <definedName name="__APW_RESTORE_DATA737__" localSheetId="2" hidden="1">#REF!,#REF!,#REF!,#REF!,#REF!,#REF!,#REF!,#REF!,#REF!,#REF!,#REF!,#REF!,#REF!,#REF!,#REF!,#REF!</definedName>
    <definedName name="__APW_RESTORE_DATA737__" hidden="1">#REF!,#REF!,#REF!,#REF!,#REF!,#REF!,#REF!,#REF!,#REF!,#REF!,#REF!,#REF!,#REF!,#REF!,#REF!,#REF!</definedName>
    <definedName name="__APW_RESTORE_DATA738__" localSheetId="6" hidden="1">#REF!,#REF!,#REF!,#REF!,#REF!,#REF!,#REF!,#REF!,#REF!,#REF!,#REF!,#REF!,#REF!,#REF!,#REF!,#REF!</definedName>
    <definedName name="__APW_RESTORE_DATA738__" localSheetId="9" hidden="1">#REF!,#REF!,#REF!,#REF!,#REF!,#REF!,#REF!,#REF!,#REF!,#REF!,#REF!,#REF!,#REF!,#REF!,#REF!,#REF!</definedName>
    <definedName name="__APW_RESTORE_DATA738__" localSheetId="2" hidden="1">#REF!,#REF!,#REF!,#REF!,#REF!,#REF!,#REF!,#REF!,#REF!,#REF!,#REF!,#REF!,#REF!,#REF!,#REF!,#REF!</definedName>
    <definedName name="__APW_RESTORE_DATA738__" hidden="1">#REF!,#REF!,#REF!,#REF!,#REF!,#REF!,#REF!,#REF!,#REF!,#REF!,#REF!,#REF!,#REF!,#REF!,#REF!,#REF!</definedName>
    <definedName name="__APW_RESTORE_DATA739__" localSheetId="2" hidden="1">#REF!,#REF!,#REF!,#REF!,#REF!,#REF!,#REF!,#REF!,#REF!,#REF!,#REF!,#REF!,#REF!,#REF!,#REF!,#REF!</definedName>
    <definedName name="__APW_RESTORE_DATA739__" hidden="1">#REF!,#REF!,#REF!,#REF!,#REF!,#REF!,#REF!,#REF!,#REF!,#REF!,#REF!,#REF!,#REF!,#REF!,#REF!,#REF!</definedName>
    <definedName name="__APW_RESTORE_DATA74__" localSheetId="2" hidden="1">#REF!,#REF!,#REF!,#REF!,#REF!,#REF!,#REF!,#REF!,#REF!,#REF!,#REF!,#REF!,#REF!,#REF!,#REF!,#REF!</definedName>
    <definedName name="__APW_RESTORE_DATA74__" hidden="1">#REF!,#REF!,#REF!,#REF!,#REF!,#REF!,#REF!,#REF!,#REF!,#REF!,#REF!,#REF!,#REF!,#REF!,#REF!,#REF!</definedName>
    <definedName name="__APW_RESTORE_DATA740__" localSheetId="2" hidden="1">#REF!,#REF!,#REF!,#REF!,#REF!,#REF!,#REF!,#REF!,#REF!,#REF!,#REF!,#REF!,#REF!,#REF!,#REF!,#REF!</definedName>
    <definedName name="__APW_RESTORE_DATA740__" hidden="1">#REF!,#REF!,#REF!,#REF!,#REF!,#REF!,#REF!,#REF!,#REF!,#REF!,#REF!,#REF!,#REF!,#REF!,#REF!,#REF!</definedName>
    <definedName name="__APW_RESTORE_DATA741__" localSheetId="6" hidden="1">#REF!,#REF!,#REF!,#REF!,#REF!,#REF!,#REF!,#REF!,#REF!,#REF!,#REF!,#REF!,#REF!,#REF!,#REF!</definedName>
    <definedName name="__APW_RESTORE_DATA741__" localSheetId="9" hidden="1">#REF!,#REF!,#REF!,#REF!,#REF!,#REF!,#REF!,#REF!,#REF!,#REF!,#REF!,#REF!,#REF!,#REF!,#REF!</definedName>
    <definedName name="__APW_RESTORE_DATA741__" localSheetId="2" hidden="1">#REF!,#REF!,#REF!,#REF!,#REF!,#REF!,#REF!,#REF!,#REF!,#REF!,#REF!,#REF!,#REF!,#REF!,#REF!</definedName>
    <definedName name="__APW_RESTORE_DATA741__" hidden="1">#REF!,#REF!,#REF!,#REF!,#REF!,#REF!,#REF!,#REF!,#REF!,#REF!,#REF!,#REF!,#REF!,#REF!,#REF!</definedName>
    <definedName name="__APW_RESTORE_DATA742__" localSheetId="6" hidden="1">#REF!,#REF!,#REF!,#REF!,#REF!,#REF!,#REF!,#REF!,#REF!,#REF!,#REF!,#REF!,#REF!,#REF!,#REF!</definedName>
    <definedName name="__APW_RESTORE_DATA742__" localSheetId="9" hidden="1">#REF!,#REF!,#REF!,#REF!,#REF!,#REF!,#REF!,#REF!,#REF!,#REF!,#REF!,#REF!,#REF!,#REF!,#REF!</definedName>
    <definedName name="__APW_RESTORE_DATA742__" localSheetId="2" hidden="1">#REF!,#REF!,#REF!,#REF!,#REF!,#REF!,#REF!,#REF!,#REF!,#REF!,#REF!,#REF!,#REF!,#REF!,#REF!</definedName>
    <definedName name="__APW_RESTORE_DATA742__" hidden="1">#REF!,#REF!,#REF!,#REF!,#REF!,#REF!,#REF!,#REF!,#REF!,#REF!,#REF!,#REF!,#REF!,#REF!,#REF!</definedName>
    <definedName name="__APW_RESTORE_DATA743__" localSheetId="6" hidden="1">#REF!,#REF!,#REF!,#REF!,#REF!,#REF!,#REF!,#REF!,#REF!,#REF!,#REF!,#REF!,#REF!,#REF!,#REF!</definedName>
    <definedName name="__APW_RESTORE_DATA743__" localSheetId="9" hidden="1">#REF!,#REF!,#REF!,#REF!,#REF!,#REF!,#REF!,#REF!,#REF!,#REF!,#REF!,#REF!,#REF!,#REF!,#REF!</definedName>
    <definedName name="__APW_RESTORE_DATA743__" localSheetId="2" hidden="1">#REF!,#REF!,#REF!,#REF!,#REF!,#REF!,#REF!,#REF!,#REF!,#REF!,#REF!,#REF!,#REF!,#REF!,#REF!</definedName>
    <definedName name="__APW_RESTORE_DATA743__" hidden="1">#REF!,#REF!,#REF!,#REF!,#REF!,#REF!,#REF!,#REF!,#REF!,#REF!,#REF!,#REF!,#REF!,#REF!,#REF!</definedName>
    <definedName name="__APW_RESTORE_DATA744__" localSheetId="2" hidden="1">#REF!,#REF!,#REF!,#REF!,#REF!,#REF!,#REF!,#REF!,#REF!,#REF!,#REF!,#REF!,#REF!,#REF!,#REF!</definedName>
    <definedName name="__APW_RESTORE_DATA744__" hidden="1">#REF!,#REF!,#REF!,#REF!,#REF!,#REF!,#REF!,#REF!,#REF!,#REF!,#REF!,#REF!,#REF!,#REF!,#REF!</definedName>
    <definedName name="__APW_RESTORE_DATA745__" localSheetId="2" hidden="1">#REF!,#REF!,#REF!,#REF!,#REF!,#REF!,#REF!,#REF!,#REF!,#REF!,#REF!,#REF!,#REF!,#REF!,#REF!</definedName>
    <definedName name="__APW_RESTORE_DATA745__" hidden="1">#REF!,#REF!,#REF!,#REF!,#REF!,#REF!,#REF!,#REF!,#REF!,#REF!,#REF!,#REF!,#REF!,#REF!,#REF!</definedName>
    <definedName name="__APW_RESTORE_DATA746__" localSheetId="2" hidden="1">#REF!,#REF!,#REF!,#REF!,#REF!,#REF!,#REF!,#REF!,#REF!,#REF!,#REF!,#REF!,#REF!,#REF!,#REF!</definedName>
    <definedName name="__APW_RESTORE_DATA746__" hidden="1">#REF!,#REF!,#REF!,#REF!,#REF!,#REF!,#REF!,#REF!,#REF!,#REF!,#REF!,#REF!,#REF!,#REF!,#REF!</definedName>
    <definedName name="__APW_RESTORE_DATA747__" localSheetId="2" hidden="1">#REF!,#REF!,#REF!,#REF!,#REF!,#REF!,#REF!,#REF!,#REF!,#REF!,#REF!,#REF!,#REF!,#REF!,#REF!</definedName>
    <definedName name="__APW_RESTORE_DATA747__" hidden="1">#REF!,#REF!,#REF!,#REF!,#REF!,#REF!,#REF!,#REF!,#REF!,#REF!,#REF!,#REF!,#REF!,#REF!,#REF!</definedName>
    <definedName name="__APW_RESTORE_DATA748__" localSheetId="2" hidden="1">#REF!,#REF!,#REF!,#REF!,#REF!,#REF!,#REF!,#REF!,#REF!,#REF!,#REF!,#REF!,#REF!,#REF!,#REF!</definedName>
    <definedName name="__APW_RESTORE_DATA748__" hidden="1">#REF!,#REF!,#REF!,#REF!,#REF!,#REF!,#REF!,#REF!,#REF!,#REF!,#REF!,#REF!,#REF!,#REF!,#REF!</definedName>
    <definedName name="__APW_RESTORE_DATA749__" localSheetId="6" hidden="1">#REF!,#REF!,#REF!,#REF!,#REF!,#REF!,#REF!,#REF!,#REF!</definedName>
    <definedName name="__APW_RESTORE_DATA749__" localSheetId="9" hidden="1">#REF!,#REF!,#REF!,#REF!,#REF!,#REF!,#REF!,#REF!,#REF!</definedName>
    <definedName name="__APW_RESTORE_DATA749__" localSheetId="2" hidden="1">#REF!,#REF!,#REF!,#REF!,#REF!,#REF!,#REF!,#REF!,#REF!</definedName>
    <definedName name="__APW_RESTORE_DATA749__" hidden="1">#REF!,#REF!,#REF!,#REF!,#REF!,#REF!,#REF!,#REF!,#REF!</definedName>
    <definedName name="__APW_RESTORE_DATA75__" localSheetId="6" hidden="1">#REF!,#REF!,#REF!,#REF!,#REF!,#REF!,#REF!,#REF!,#REF!,#REF!,#REF!,#REF!,#REF!,#REF!,#REF!,#REF!</definedName>
    <definedName name="__APW_RESTORE_DATA75__" localSheetId="9" hidden="1">#REF!,#REF!,#REF!,#REF!,#REF!,#REF!,#REF!,#REF!,#REF!,#REF!,#REF!,#REF!,#REF!,#REF!,#REF!,#REF!</definedName>
    <definedName name="__APW_RESTORE_DATA75__" localSheetId="2" hidden="1">#REF!,#REF!,#REF!,#REF!,#REF!,#REF!,#REF!,#REF!,#REF!,#REF!,#REF!,#REF!,#REF!,#REF!,#REF!,#REF!</definedName>
    <definedName name="__APW_RESTORE_DATA75__" hidden="1">#REF!,#REF!,#REF!,#REF!,#REF!,#REF!,#REF!,#REF!,#REF!,#REF!,#REF!,#REF!,#REF!,#REF!,#REF!,#REF!</definedName>
    <definedName name="__APW_RESTORE_DATA750__" localSheetId="6" hidden="1">#REF!,#REF!,#REF!,#REF!,#REF!,#REF!,#REF!,#REF!,#REF!,#REF!,#REF!,#REF!,#REF!,#REF!,#REF!,#REF!,#REF!</definedName>
    <definedName name="__APW_RESTORE_DATA750__" localSheetId="9" hidden="1">#REF!,#REF!,#REF!,#REF!,#REF!,#REF!,#REF!,#REF!,#REF!,#REF!,#REF!,#REF!,#REF!,#REF!,#REF!,#REF!,#REF!</definedName>
    <definedName name="__APW_RESTORE_DATA750__" localSheetId="2" hidden="1">#REF!,#REF!,#REF!,#REF!,#REF!,#REF!,#REF!,#REF!,#REF!,#REF!,#REF!,#REF!,#REF!,#REF!,#REF!,#REF!,#REF!</definedName>
    <definedName name="__APW_RESTORE_DATA750__" hidden="1">#REF!,#REF!,#REF!,#REF!,#REF!,#REF!,#REF!,#REF!,#REF!,#REF!,#REF!,#REF!,#REF!,#REF!,#REF!,#REF!,#REF!</definedName>
    <definedName name="__APW_RESTORE_DATA751__" localSheetId="6" hidden="1">#REF!,#REF!,#REF!,#REF!,#REF!,#REF!,#REF!,#REF!,#REF!,#REF!,#REF!,#REF!,#REF!,#REF!,#REF!,#REF!</definedName>
    <definedName name="__APW_RESTORE_DATA751__" localSheetId="9" hidden="1">#REF!,#REF!,#REF!,#REF!,#REF!,#REF!,#REF!,#REF!,#REF!,#REF!,#REF!,#REF!,#REF!,#REF!,#REF!,#REF!</definedName>
    <definedName name="__APW_RESTORE_DATA751__" localSheetId="2" hidden="1">#REF!,#REF!,#REF!,#REF!,#REF!,#REF!,#REF!,#REF!,#REF!,#REF!,#REF!,#REF!,#REF!,#REF!,#REF!,#REF!</definedName>
    <definedName name="__APW_RESTORE_DATA751__" hidden="1">#REF!,#REF!,#REF!,#REF!,#REF!,#REF!,#REF!,#REF!,#REF!,#REF!,#REF!,#REF!,#REF!,#REF!,#REF!,#REF!</definedName>
    <definedName name="__APW_RESTORE_DATA752__" localSheetId="6" hidden="1">#REF!,#REF!,#REF!,#REF!,#REF!,#REF!,#REF!,#REF!,#REF!,#REF!,#REF!,#REF!,#REF!,#REF!,#REF!,#REF!</definedName>
    <definedName name="__APW_RESTORE_DATA752__" localSheetId="9" hidden="1">#REF!,#REF!,#REF!,#REF!,#REF!,#REF!,#REF!,#REF!,#REF!,#REF!,#REF!,#REF!,#REF!,#REF!,#REF!,#REF!</definedName>
    <definedName name="__APW_RESTORE_DATA752__" localSheetId="2" hidden="1">#REF!,#REF!,#REF!,#REF!,#REF!,#REF!,#REF!,#REF!,#REF!,#REF!,#REF!,#REF!,#REF!,#REF!,#REF!,#REF!</definedName>
    <definedName name="__APW_RESTORE_DATA752__" hidden="1">#REF!,#REF!,#REF!,#REF!,#REF!,#REF!,#REF!,#REF!,#REF!,#REF!,#REF!,#REF!,#REF!,#REF!,#REF!,#REF!</definedName>
    <definedName name="__APW_RESTORE_DATA753__" localSheetId="6" hidden="1">#REF!,#REF!,#REF!,#REF!,#REF!,#REF!,#REF!,#REF!,#REF!,#REF!,#REF!,#REF!,#REF!,#REF!,#REF!,#REF!</definedName>
    <definedName name="__APW_RESTORE_DATA753__" localSheetId="9" hidden="1">#REF!,#REF!,#REF!,#REF!,#REF!,#REF!,#REF!,#REF!,#REF!,#REF!,#REF!,#REF!,#REF!,#REF!,#REF!,#REF!</definedName>
    <definedName name="__APW_RESTORE_DATA753__" localSheetId="2" hidden="1">#REF!,#REF!,#REF!,#REF!,#REF!,#REF!,#REF!,#REF!,#REF!,#REF!,#REF!,#REF!,#REF!,#REF!,#REF!,#REF!</definedName>
    <definedName name="__APW_RESTORE_DATA753__" hidden="1">#REF!,#REF!,#REF!,#REF!,#REF!,#REF!,#REF!,#REF!,#REF!,#REF!,#REF!,#REF!,#REF!,#REF!,#REF!,#REF!</definedName>
    <definedName name="__APW_RESTORE_DATA754__" localSheetId="2" hidden="1">#REF!,#REF!,#REF!,#REF!,#REF!,#REF!,#REF!,#REF!,#REF!,#REF!,#REF!,#REF!,#REF!,#REF!,#REF!,#REF!</definedName>
    <definedName name="__APW_RESTORE_DATA754__" hidden="1">#REF!,#REF!,#REF!,#REF!,#REF!,#REF!,#REF!,#REF!,#REF!,#REF!,#REF!,#REF!,#REF!,#REF!,#REF!,#REF!</definedName>
    <definedName name="__APW_RESTORE_DATA755__" localSheetId="2" hidden="1">#REF!,#REF!,#REF!,#REF!,#REF!,#REF!,#REF!,#REF!,#REF!,#REF!,#REF!,#REF!,#REF!,#REF!,#REF!,#REF!</definedName>
    <definedName name="__APW_RESTORE_DATA755__" hidden="1">#REF!,#REF!,#REF!,#REF!,#REF!,#REF!,#REF!,#REF!,#REF!,#REF!,#REF!,#REF!,#REF!,#REF!,#REF!,#REF!</definedName>
    <definedName name="__APW_RESTORE_DATA756__" localSheetId="6" hidden="1">#REF!,#REF!,#REF!,#REF!,#REF!,#REF!,#REF!,#REF!,#REF!,#REF!,#REF!,#REF!,#REF!,#REF!,#REF!</definedName>
    <definedName name="__APW_RESTORE_DATA756__" localSheetId="9" hidden="1">#REF!,#REF!,#REF!,#REF!,#REF!,#REF!,#REF!,#REF!,#REF!,#REF!,#REF!,#REF!,#REF!,#REF!,#REF!</definedName>
    <definedName name="__APW_RESTORE_DATA756__" localSheetId="2" hidden="1">#REF!,#REF!,#REF!,#REF!,#REF!,#REF!,#REF!,#REF!,#REF!,#REF!,#REF!,#REF!,#REF!,#REF!,#REF!</definedName>
    <definedName name="__APW_RESTORE_DATA756__" hidden="1">#REF!,#REF!,#REF!,#REF!,#REF!,#REF!,#REF!,#REF!,#REF!,#REF!,#REF!,#REF!,#REF!,#REF!,#REF!</definedName>
    <definedName name="__APW_RESTORE_DATA757__" localSheetId="6" hidden="1">#REF!,#REF!,#REF!,#REF!,#REF!,#REF!,#REF!,#REF!,#REF!,#REF!,#REF!,#REF!,#REF!,#REF!,#REF!</definedName>
    <definedName name="__APW_RESTORE_DATA757__" localSheetId="9" hidden="1">#REF!,#REF!,#REF!,#REF!,#REF!,#REF!,#REF!,#REF!,#REF!,#REF!,#REF!,#REF!,#REF!,#REF!,#REF!</definedName>
    <definedName name="__APW_RESTORE_DATA757__" localSheetId="2" hidden="1">#REF!,#REF!,#REF!,#REF!,#REF!,#REF!,#REF!,#REF!,#REF!,#REF!,#REF!,#REF!,#REF!,#REF!,#REF!</definedName>
    <definedName name="__APW_RESTORE_DATA757__" hidden="1">#REF!,#REF!,#REF!,#REF!,#REF!,#REF!,#REF!,#REF!,#REF!,#REF!,#REF!,#REF!,#REF!,#REF!,#REF!</definedName>
    <definedName name="__APW_RESTORE_DATA758__" localSheetId="6" hidden="1">#REF!,#REF!,#REF!,#REF!,#REF!,#REF!,#REF!,#REF!,#REF!,#REF!,#REF!,#REF!,#REF!,#REF!,#REF!</definedName>
    <definedName name="__APW_RESTORE_DATA758__" localSheetId="9" hidden="1">#REF!,#REF!,#REF!,#REF!,#REF!,#REF!,#REF!,#REF!,#REF!,#REF!,#REF!,#REF!,#REF!,#REF!,#REF!</definedName>
    <definedName name="__APW_RESTORE_DATA758__" localSheetId="2" hidden="1">#REF!,#REF!,#REF!,#REF!,#REF!,#REF!,#REF!,#REF!,#REF!,#REF!,#REF!,#REF!,#REF!,#REF!,#REF!</definedName>
    <definedName name="__APW_RESTORE_DATA758__" hidden="1">#REF!,#REF!,#REF!,#REF!,#REF!,#REF!,#REF!,#REF!,#REF!,#REF!,#REF!,#REF!,#REF!,#REF!,#REF!</definedName>
    <definedName name="__APW_RESTORE_DATA759__" localSheetId="2" hidden="1">#REF!,#REF!,#REF!,#REF!,#REF!,#REF!,#REF!,#REF!,#REF!,#REF!,#REF!,#REF!,#REF!,#REF!,#REF!</definedName>
    <definedName name="__APW_RESTORE_DATA759__" hidden="1">#REF!,#REF!,#REF!,#REF!,#REF!,#REF!,#REF!,#REF!,#REF!,#REF!,#REF!,#REF!,#REF!,#REF!,#REF!</definedName>
    <definedName name="__APW_RESTORE_DATA76__" localSheetId="6" hidden="1">#REF!,#REF!,#REF!,#REF!,#REF!,#REF!,#REF!,#REF!,#REF!,#REF!,#REF!,#REF!,#REF!,#REF!,#REF!,#REF!</definedName>
    <definedName name="__APW_RESTORE_DATA76__" localSheetId="9" hidden="1">#REF!,#REF!,#REF!,#REF!,#REF!,#REF!,#REF!,#REF!,#REF!,#REF!,#REF!,#REF!,#REF!,#REF!,#REF!,#REF!</definedName>
    <definedName name="__APW_RESTORE_DATA76__" localSheetId="2" hidden="1">#REF!,#REF!,#REF!,#REF!,#REF!,#REF!,#REF!,#REF!,#REF!,#REF!,#REF!,#REF!,#REF!,#REF!,#REF!,#REF!</definedName>
    <definedName name="__APW_RESTORE_DATA76__" hidden="1">#REF!,#REF!,#REF!,#REF!,#REF!,#REF!,#REF!,#REF!,#REF!,#REF!,#REF!,#REF!,#REF!,#REF!,#REF!,#REF!</definedName>
    <definedName name="__APW_RESTORE_DATA760__" localSheetId="6" hidden="1">#REF!,#REF!,#REF!,#REF!,#REF!,#REF!,#REF!,#REF!,#REF!,#REF!,#REF!,#REF!,#REF!,#REF!,#REF!</definedName>
    <definedName name="__APW_RESTORE_DATA760__" localSheetId="9" hidden="1">#REF!,#REF!,#REF!,#REF!,#REF!,#REF!,#REF!,#REF!,#REF!,#REF!,#REF!,#REF!,#REF!,#REF!,#REF!</definedName>
    <definedName name="__APW_RESTORE_DATA760__" localSheetId="2" hidden="1">#REF!,#REF!,#REF!,#REF!,#REF!,#REF!,#REF!,#REF!,#REF!,#REF!,#REF!,#REF!,#REF!,#REF!,#REF!</definedName>
    <definedName name="__APW_RESTORE_DATA760__" hidden="1">#REF!,#REF!,#REF!,#REF!,#REF!,#REF!,#REF!,#REF!,#REF!,#REF!,#REF!,#REF!,#REF!,#REF!,#REF!</definedName>
    <definedName name="__APW_RESTORE_DATA761__" localSheetId="6" hidden="1">#REF!,#REF!,#REF!,#REF!,#REF!,#REF!,#REF!,#REF!,#REF!,#REF!,#REF!,#REF!,#REF!,#REF!,#REF!</definedName>
    <definedName name="__APW_RESTORE_DATA761__" localSheetId="9" hidden="1">#REF!,#REF!,#REF!,#REF!,#REF!,#REF!,#REF!,#REF!,#REF!,#REF!,#REF!,#REF!,#REF!,#REF!,#REF!</definedName>
    <definedName name="__APW_RESTORE_DATA761__" localSheetId="2" hidden="1">#REF!,#REF!,#REF!,#REF!,#REF!,#REF!,#REF!,#REF!,#REF!,#REF!,#REF!,#REF!,#REF!,#REF!,#REF!</definedName>
    <definedName name="__APW_RESTORE_DATA761__" hidden="1">#REF!,#REF!,#REF!,#REF!,#REF!,#REF!,#REF!,#REF!,#REF!,#REF!,#REF!,#REF!,#REF!,#REF!,#REF!</definedName>
    <definedName name="__APW_RESTORE_DATA762__" localSheetId="6" hidden="1">#REF!,#REF!,#REF!,#REF!,#REF!,#REF!,#REF!,#REF!,#REF!,#REF!,#REF!,#REF!,#REF!,#REF!,#REF!</definedName>
    <definedName name="__APW_RESTORE_DATA762__" localSheetId="9" hidden="1">#REF!,#REF!,#REF!,#REF!,#REF!,#REF!,#REF!,#REF!,#REF!,#REF!,#REF!,#REF!,#REF!,#REF!,#REF!</definedName>
    <definedName name="__APW_RESTORE_DATA762__" localSheetId="2" hidden="1">#REF!,#REF!,#REF!,#REF!,#REF!,#REF!,#REF!,#REF!,#REF!,#REF!,#REF!,#REF!,#REF!,#REF!,#REF!</definedName>
    <definedName name="__APW_RESTORE_DATA762__" hidden="1">#REF!,#REF!,#REF!,#REF!,#REF!,#REF!,#REF!,#REF!,#REF!,#REF!,#REF!,#REF!,#REF!,#REF!,#REF!</definedName>
    <definedName name="__APW_RESTORE_DATA763__" localSheetId="2" hidden="1">#REF!,#REF!,#REF!,#REF!,#REF!,#REF!,#REF!,#REF!,#REF!,#REF!,#REF!,#REF!,#REF!,#REF!,#REF!</definedName>
    <definedName name="__APW_RESTORE_DATA763__" hidden="1">#REF!,#REF!,#REF!,#REF!,#REF!,#REF!,#REF!,#REF!,#REF!,#REF!,#REF!,#REF!,#REF!,#REF!,#REF!</definedName>
    <definedName name="__APW_RESTORE_DATA764__" localSheetId="6" hidden="1">#REF!,#REF!,#REF!,#REF!,#REF!,#REF!,#REF!,#REF!,#REF!</definedName>
    <definedName name="__APW_RESTORE_DATA764__" localSheetId="9" hidden="1">#REF!,#REF!,#REF!,#REF!,#REF!,#REF!,#REF!,#REF!,#REF!</definedName>
    <definedName name="__APW_RESTORE_DATA764__" localSheetId="2" hidden="1">#REF!,#REF!,#REF!,#REF!,#REF!,#REF!,#REF!,#REF!,#REF!</definedName>
    <definedName name="__APW_RESTORE_DATA764__" hidden="1">#REF!,#REF!,#REF!,#REF!,#REF!,#REF!,#REF!,#REF!,#REF!</definedName>
    <definedName name="__APW_RESTORE_DATA765__" localSheetId="6" hidden="1">#REF!,#REF!,#REF!,#REF!,#REF!,#REF!,#REF!,#REF!,#REF!,#REF!,#REF!,#REF!,#REF!,#REF!,#REF!,#REF!,#REF!</definedName>
    <definedName name="__APW_RESTORE_DATA765__" localSheetId="9" hidden="1">#REF!,#REF!,#REF!,#REF!,#REF!,#REF!,#REF!,#REF!,#REF!,#REF!,#REF!,#REF!,#REF!,#REF!,#REF!,#REF!,#REF!</definedName>
    <definedName name="__APW_RESTORE_DATA765__" localSheetId="2" hidden="1">#REF!,#REF!,#REF!,#REF!,#REF!,#REF!,#REF!,#REF!,#REF!,#REF!,#REF!,#REF!,#REF!,#REF!,#REF!,#REF!,#REF!</definedName>
    <definedName name="__APW_RESTORE_DATA765__" hidden="1">#REF!,#REF!,#REF!,#REF!,#REF!,#REF!,#REF!,#REF!,#REF!,#REF!,#REF!,#REF!,#REF!,#REF!,#REF!,#REF!,#REF!</definedName>
    <definedName name="__APW_RESTORE_DATA766__" localSheetId="6" hidden="1">#REF!,#REF!,#REF!,#REF!,#REF!,#REF!,#REF!,#REF!,#REF!,#REF!,#REF!,#REF!,#REF!,#REF!,#REF!,#REF!</definedName>
    <definedName name="__APW_RESTORE_DATA766__" localSheetId="9" hidden="1">#REF!,#REF!,#REF!,#REF!,#REF!,#REF!,#REF!,#REF!,#REF!,#REF!,#REF!,#REF!,#REF!,#REF!,#REF!,#REF!</definedName>
    <definedName name="__APW_RESTORE_DATA766__" localSheetId="2" hidden="1">#REF!,#REF!,#REF!,#REF!,#REF!,#REF!,#REF!,#REF!,#REF!,#REF!,#REF!,#REF!,#REF!,#REF!,#REF!,#REF!</definedName>
    <definedName name="__APW_RESTORE_DATA766__" hidden="1">#REF!,#REF!,#REF!,#REF!,#REF!,#REF!,#REF!,#REF!,#REF!,#REF!,#REF!,#REF!,#REF!,#REF!,#REF!,#REF!</definedName>
    <definedName name="__APW_RESTORE_DATA767__" localSheetId="6" hidden="1">#REF!,#REF!,#REF!,#REF!,#REF!,#REF!,#REF!,#REF!,#REF!,#REF!,#REF!,#REF!,#REF!,#REF!,#REF!,#REF!</definedName>
    <definedName name="__APW_RESTORE_DATA767__" localSheetId="9" hidden="1">#REF!,#REF!,#REF!,#REF!,#REF!,#REF!,#REF!,#REF!,#REF!,#REF!,#REF!,#REF!,#REF!,#REF!,#REF!,#REF!</definedName>
    <definedName name="__APW_RESTORE_DATA767__" localSheetId="2" hidden="1">#REF!,#REF!,#REF!,#REF!,#REF!,#REF!,#REF!,#REF!,#REF!,#REF!,#REF!,#REF!,#REF!,#REF!,#REF!,#REF!</definedName>
    <definedName name="__APW_RESTORE_DATA767__" hidden="1">#REF!,#REF!,#REF!,#REF!,#REF!,#REF!,#REF!,#REF!,#REF!,#REF!,#REF!,#REF!,#REF!,#REF!,#REF!,#REF!</definedName>
    <definedName name="__APW_RESTORE_DATA768__" localSheetId="6" hidden="1">#REF!,#REF!,#REF!,#REF!,#REF!,#REF!,#REF!,#REF!,#REF!,#REF!,#REF!,#REF!,#REF!,#REF!,#REF!,#REF!</definedName>
    <definedName name="__APW_RESTORE_DATA768__" localSheetId="9" hidden="1">#REF!,#REF!,#REF!,#REF!,#REF!,#REF!,#REF!,#REF!,#REF!,#REF!,#REF!,#REF!,#REF!,#REF!,#REF!,#REF!</definedName>
    <definedName name="__APW_RESTORE_DATA768__" localSheetId="2" hidden="1">#REF!,#REF!,#REF!,#REF!,#REF!,#REF!,#REF!,#REF!,#REF!,#REF!,#REF!,#REF!,#REF!,#REF!,#REF!,#REF!</definedName>
    <definedName name="__APW_RESTORE_DATA768__" hidden="1">#REF!,#REF!,#REF!,#REF!,#REF!,#REF!,#REF!,#REF!,#REF!,#REF!,#REF!,#REF!,#REF!,#REF!,#REF!,#REF!</definedName>
    <definedName name="__APW_RESTORE_DATA769__" localSheetId="2" hidden="1">#REF!,#REF!,#REF!,#REF!,#REF!,#REF!,#REF!,#REF!,#REF!,#REF!,#REF!,#REF!,#REF!,#REF!,#REF!,#REF!</definedName>
    <definedName name="__APW_RESTORE_DATA769__" hidden="1">#REF!,#REF!,#REF!,#REF!,#REF!,#REF!,#REF!,#REF!,#REF!,#REF!,#REF!,#REF!,#REF!,#REF!,#REF!,#REF!</definedName>
    <definedName name="__APW_RESTORE_DATA77__" localSheetId="2" hidden="1">#REF!,#REF!,#REF!,#REF!,#REF!,#REF!,#REF!,#REF!,#REF!,#REF!,#REF!,#REF!,#REF!,#REF!,#REF!,#REF!</definedName>
    <definedName name="__APW_RESTORE_DATA77__" hidden="1">#REF!,#REF!,#REF!,#REF!,#REF!,#REF!,#REF!,#REF!,#REF!,#REF!,#REF!,#REF!,#REF!,#REF!,#REF!,#REF!</definedName>
    <definedName name="__APW_RESTORE_DATA770__" localSheetId="2" hidden="1">#REF!,#REF!,#REF!,#REF!,#REF!,#REF!,#REF!,#REF!,#REF!,#REF!,#REF!,#REF!,#REF!,#REF!,#REF!,#REF!</definedName>
    <definedName name="__APW_RESTORE_DATA770__" hidden="1">#REF!,#REF!,#REF!,#REF!,#REF!,#REF!,#REF!,#REF!,#REF!,#REF!,#REF!,#REF!,#REF!,#REF!,#REF!,#REF!</definedName>
    <definedName name="__APW_RESTORE_DATA771__" localSheetId="6" hidden="1">#REF!,#REF!,#REF!,#REF!,#REF!,#REF!,#REF!,#REF!,#REF!,#REF!,#REF!,#REF!,#REF!,#REF!,#REF!</definedName>
    <definedName name="__APW_RESTORE_DATA771__" localSheetId="9" hidden="1">#REF!,#REF!,#REF!,#REF!,#REF!,#REF!,#REF!,#REF!,#REF!,#REF!,#REF!,#REF!,#REF!,#REF!,#REF!</definedName>
    <definedName name="__APW_RESTORE_DATA771__" localSheetId="2" hidden="1">#REF!,#REF!,#REF!,#REF!,#REF!,#REF!,#REF!,#REF!,#REF!,#REF!,#REF!,#REF!,#REF!,#REF!,#REF!</definedName>
    <definedName name="__APW_RESTORE_DATA771__" hidden="1">#REF!,#REF!,#REF!,#REF!,#REF!,#REF!,#REF!,#REF!,#REF!,#REF!,#REF!,#REF!,#REF!,#REF!,#REF!</definedName>
    <definedName name="__APW_RESTORE_DATA772__" localSheetId="6" hidden="1">#REF!,#REF!,#REF!,#REF!,#REF!,#REF!,#REF!,#REF!,#REF!,#REF!,#REF!,#REF!,#REF!,#REF!,#REF!</definedName>
    <definedName name="__APW_RESTORE_DATA772__" localSheetId="9" hidden="1">#REF!,#REF!,#REF!,#REF!,#REF!,#REF!,#REF!,#REF!,#REF!,#REF!,#REF!,#REF!,#REF!,#REF!,#REF!</definedName>
    <definedName name="__APW_RESTORE_DATA772__" localSheetId="2" hidden="1">#REF!,#REF!,#REF!,#REF!,#REF!,#REF!,#REF!,#REF!,#REF!,#REF!,#REF!,#REF!,#REF!,#REF!,#REF!</definedName>
    <definedName name="__APW_RESTORE_DATA772__" hidden="1">#REF!,#REF!,#REF!,#REF!,#REF!,#REF!,#REF!,#REF!,#REF!,#REF!,#REF!,#REF!,#REF!,#REF!,#REF!</definedName>
    <definedName name="__APW_RESTORE_DATA773__" localSheetId="6" hidden="1">#REF!,#REF!,#REF!,#REF!,#REF!,#REF!,#REF!,#REF!,#REF!,#REF!,#REF!,#REF!,#REF!,#REF!,#REF!</definedName>
    <definedName name="__APW_RESTORE_DATA773__" localSheetId="9" hidden="1">#REF!,#REF!,#REF!,#REF!,#REF!,#REF!,#REF!,#REF!,#REF!,#REF!,#REF!,#REF!,#REF!,#REF!,#REF!</definedName>
    <definedName name="__APW_RESTORE_DATA773__" localSheetId="2" hidden="1">#REF!,#REF!,#REF!,#REF!,#REF!,#REF!,#REF!,#REF!,#REF!,#REF!,#REF!,#REF!,#REF!,#REF!,#REF!</definedName>
    <definedName name="__APW_RESTORE_DATA773__" hidden="1">#REF!,#REF!,#REF!,#REF!,#REF!,#REF!,#REF!,#REF!,#REF!,#REF!,#REF!,#REF!,#REF!,#REF!,#REF!</definedName>
    <definedName name="__APW_RESTORE_DATA774__" localSheetId="2" hidden="1">#REF!,#REF!,#REF!,#REF!,#REF!,#REF!,#REF!,#REF!,#REF!,#REF!,#REF!,#REF!,#REF!,#REF!,#REF!</definedName>
    <definedName name="__APW_RESTORE_DATA774__" hidden="1">#REF!,#REF!,#REF!,#REF!,#REF!,#REF!,#REF!,#REF!,#REF!,#REF!,#REF!,#REF!,#REF!,#REF!,#REF!</definedName>
    <definedName name="__APW_RESTORE_DATA775__" localSheetId="2" hidden="1">#REF!,#REF!,#REF!,#REF!,#REF!,#REF!,#REF!,#REF!,#REF!,#REF!,#REF!,#REF!,#REF!,#REF!,#REF!</definedName>
    <definedName name="__APW_RESTORE_DATA775__" hidden="1">#REF!,#REF!,#REF!,#REF!,#REF!,#REF!,#REF!,#REF!,#REF!,#REF!,#REF!,#REF!,#REF!,#REF!,#REF!</definedName>
    <definedName name="__APW_RESTORE_DATA776__" localSheetId="2" hidden="1">#REF!,#REF!,#REF!,#REF!,#REF!,#REF!,#REF!,#REF!,#REF!,#REF!,#REF!,#REF!,#REF!,#REF!,#REF!</definedName>
    <definedName name="__APW_RESTORE_DATA776__" hidden="1">#REF!,#REF!,#REF!,#REF!,#REF!,#REF!,#REF!,#REF!,#REF!,#REF!,#REF!,#REF!,#REF!,#REF!,#REF!</definedName>
    <definedName name="__APW_RESTORE_DATA777__" localSheetId="2" hidden="1">#REF!,#REF!,#REF!,#REF!,#REF!,#REF!,#REF!,#REF!,#REF!,#REF!,#REF!,#REF!,#REF!,#REF!,#REF!</definedName>
    <definedName name="__APW_RESTORE_DATA777__" hidden="1">#REF!,#REF!,#REF!,#REF!,#REF!,#REF!,#REF!,#REF!,#REF!,#REF!,#REF!,#REF!,#REF!,#REF!,#REF!</definedName>
    <definedName name="__APW_RESTORE_DATA778__" localSheetId="2" hidden="1">#REF!,#REF!,#REF!,#REF!,#REF!,#REF!,#REF!,#REF!,#REF!,#REF!,#REF!,#REF!,#REF!,#REF!,#REF!</definedName>
    <definedName name="__APW_RESTORE_DATA778__" hidden="1">#REF!,#REF!,#REF!,#REF!,#REF!,#REF!,#REF!,#REF!,#REF!,#REF!,#REF!,#REF!,#REF!,#REF!,#REF!</definedName>
    <definedName name="__APW_RESTORE_DATA779__" localSheetId="6" hidden="1">#REF!,#REF!,#REF!,#REF!,#REF!,#REF!,#REF!,#REF!,#REF!</definedName>
    <definedName name="__APW_RESTORE_DATA779__" localSheetId="9" hidden="1">#REF!,#REF!,#REF!,#REF!,#REF!,#REF!,#REF!,#REF!,#REF!</definedName>
    <definedName name="__APW_RESTORE_DATA779__" localSheetId="2" hidden="1">#REF!,#REF!,#REF!,#REF!,#REF!,#REF!,#REF!,#REF!,#REF!</definedName>
    <definedName name="__APW_RESTORE_DATA779__" hidden="1">#REF!,#REF!,#REF!,#REF!,#REF!,#REF!,#REF!,#REF!,#REF!</definedName>
    <definedName name="__APW_RESTORE_DATA78__" localSheetId="6" hidden="1">#REF!,#REF!,#REF!,#REF!,#REF!,#REF!,#REF!,#REF!,#REF!,#REF!,#REF!,#REF!,#REF!,#REF!,#REF!</definedName>
    <definedName name="__APW_RESTORE_DATA78__" localSheetId="9" hidden="1">#REF!,#REF!,#REF!,#REF!,#REF!,#REF!,#REF!,#REF!,#REF!,#REF!,#REF!,#REF!,#REF!,#REF!,#REF!</definedName>
    <definedName name="__APW_RESTORE_DATA78__" localSheetId="2" hidden="1">#REF!,#REF!,#REF!,#REF!,#REF!,#REF!,#REF!,#REF!,#REF!,#REF!,#REF!,#REF!,#REF!,#REF!,#REF!</definedName>
    <definedName name="__APW_RESTORE_DATA78__" hidden="1">#REF!,#REF!,#REF!,#REF!,#REF!,#REF!,#REF!,#REF!,#REF!,#REF!,#REF!,#REF!,#REF!,#REF!,#REF!</definedName>
    <definedName name="__APW_RESTORE_DATA780__" localSheetId="6" hidden="1">#REF!,#REF!,#REF!,#REF!,#REF!,#REF!,#REF!,#REF!,#REF!,#REF!,#REF!,#REF!,#REF!,#REF!,#REF!,#REF!,#REF!</definedName>
    <definedName name="__APW_RESTORE_DATA780__" localSheetId="9" hidden="1">#REF!,#REF!,#REF!,#REF!,#REF!,#REF!,#REF!,#REF!,#REF!,#REF!,#REF!,#REF!,#REF!,#REF!,#REF!,#REF!,#REF!</definedName>
    <definedName name="__APW_RESTORE_DATA780__" localSheetId="2" hidden="1">#REF!,#REF!,#REF!,#REF!,#REF!,#REF!,#REF!,#REF!,#REF!,#REF!,#REF!,#REF!,#REF!,#REF!,#REF!,#REF!,#REF!</definedName>
    <definedName name="__APW_RESTORE_DATA780__" hidden="1">#REF!,#REF!,#REF!,#REF!,#REF!,#REF!,#REF!,#REF!,#REF!,#REF!,#REF!,#REF!,#REF!,#REF!,#REF!,#REF!,#REF!</definedName>
    <definedName name="__APW_RESTORE_DATA781__" localSheetId="6" hidden="1">#REF!,#REF!,#REF!,#REF!,#REF!,#REF!,#REF!,#REF!,#REF!,#REF!,#REF!,#REF!,#REF!,#REF!,#REF!,#REF!</definedName>
    <definedName name="__APW_RESTORE_DATA781__" localSheetId="9" hidden="1">#REF!,#REF!,#REF!,#REF!,#REF!,#REF!,#REF!,#REF!,#REF!,#REF!,#REF!,#REF!,#REF!,#REF!,#REF!,#REF!</definedName>
    <definedName name="__APW_RESTORE_DATA781__" localSheetId="2" hidden="1">#REF!,#REF!,#REF!,#REF!,#REF!,#REF!,#REF!,#REF!,#REF!,#REF!,#REF!,#REF!,#REF!,#REF!,#REF!,#REF!</definedName>
    <definedName name="__APW_RESTORE_DATA781__" hidden="1">#REF!,#REF!,#REF!,#REF!,#REF!,#REF!,#REF!,#REF!,#REF!,#REF!,#REF!,#REF!,#REF!,#REF!,#REF!,#REF!</definedName>
    <definedName name="__APW_RESTORE_DATA782__" localSheetId="6" hidden="1">#REF!,#REF!,#REF!,#REF!,#REF!,#REF!,#REF!,#REF!,#REF!,#REF!,#REF!,#REF!,#REF!,#REF!,#REF!,#REF!</definedName>
    <definedName name="__APW_RESTORE_DATA782__" localSheetId="9" hidden="1">#REF!,#REF!,#REF!,#REF!,#REF!,#REF!,#REF!,#REF!,#REF!,#REF!,#REF!,#REF!,#REF!,#REF!,#REF!,#REF!</definedName>
    <definedName name="__APW_RESTORE_DATA782__" localSheetId="2" hidden="1">#REF!,#REF!,#REF!,#REF!,#REF!,#REF!,#REF!,#REF!,#REF!,#REF!,#REF!,#REF!,#REF!,#REF!,#REF!,#REF!</definedName>
    <definedName name="__APW_RESTORE_DATA782__" hidden="1">#REF!,#REF!,#REF!,#REF!,#REF!,#REF!,#REF!,#REF!,#REF!,#REF!,#REF!,#REF!,#REF!,#REF!,#REF!,#REF!</definedName>
    <definedName name="__APW_RESTORE_DATA783__" localSheetId="6" hidden="1">#REF!,#REF!,#REF!,#REF!,#REF!,#REF!,#REF!,#REF!,#REF!,#REF!,#REF!,#REF!,#REF!,#REF!,#REF!,#REF!</definedName>
    <definedName name="__APW_RESTORE_DATA783__" localSheetId="9" hidden="1">#REF!,#REF!,#REF!,#REF!,#REF!,#REF!,#REF!,#REF!,#REF!,#REF!,#REF!,#REF!,#REF!,#REF!,#REF!,#REF!</definedName>
    <definedName name="__APW_RESTORE_DATA783__" localSheetId="2" hidden="1">#REF!,#REF!,#REF!,#REF!,#REF!,#REF!,#REF!,#REF!,#REF!,#REF!,#REF!,#REF!,#REF!,#REF!,#REF!,#REF!</definedName>
    <definedName name="__APW_RESTORE_DATA783__" hidden="1">#REF!,#REF!,#REF!,#REF!,#REF!,#REF!,#REF!,#REF!,#REF!,#REF!,#REF!,#REF!,#REF!,#REF!,#REF!,#REF!</definedName>
    <definedName name="__APW_RESTORE_DATA784__" localSheetId="2" hidden="1">#REF!,#REF!,#REF!,#REF!,#REF!,#REF!,#REF!,#REF!,#REF!,#REF!,#REF!,#REF!,#REF!,#REF!,#REF!,#REF!</definedName>
    <definedName name="__APW_RESTORE_DATA784__" hidden="1">#REF!,#REF!,#REF!,#REF!,#REF!,#REF!,#REF!,#REF!,#REF!,#REF!,#REF!,#REF!,#REF!,#REF!,#REF!,#REF!</definedName>
    <definedName name="__APW_RESTORE_DATA785__" localSheetId="2" hidden="1">#REF!,#REF!,#REF!,#REF!,#REF!,#REF!,#REF!,#REF!,#REF!,#REF!,#REF!,#REF!,#REF!,#REF!,#REF!,#REF!</definedName>
    <definedName name="__APW_RESTORE_DATA785__" hidden="1">#REF!,#REF!,#REF!,#REF!,#REF!,#REF!,#REF!,#REF!,#REF!,#REF!,#REF!,#REF!,#REF!,#REF!,#REF!,#REF!</definedName>
    <definedName name="__APW_RESTORE_DATA786__" localSheetId="6" hidden="1">#REF!,#REF!,#REF!,#REF!,#REF!,#REF!,#REF!,#REF!,#REF!,#REF!,#REF!,#REF!,#REF!,#REF!,#REF!</definedName>
    <definedName name="__APW_RESTORE_DATA786__" localSheetId="9" hidden="1">#REF!,#REF!,#REF!,#REF!,#REF!,#REF!,#REF!,#REF!,#REF!,#REF!,#REF!,#REF!,#REF!,#REF!,#REF!</definedName>
    <definedName name="__APW_RESTORE_DATA786__" localSheetId="2" hidden="1">#REF!,#REF!,#REF!,#REF!,#REF!,#REF!,#REF!,#REF!,#REF!,#REF!,#REF!,#REF!,#REF!,#REF!,#REF!</definedName>
    <definedName name="__APW_RESTORE_DATA786__" hidden="1">#REF!,#REF!,#REF!,#REF!,#REF!,#REF!,#REF!,#REF!,#REF!,#REF!,#REF!,#REF!,#REF!,#REF!,#REF!</definedName>
    <definedName name="__APW_RESTORE_DATA787__" localSheetId="6" hidden="1">#REF!,#REF!,#REF!,#REF!,#REF!,#REF!,#REF!,#REF!,#REF!,#REF!,#REF!,#REF!,#REF!,#REF!,#REF!</definedName>
    <definedName name="__APW_RESTORE_DATA787__" localSheetId="9" hidden="1">#REF!,#REF!,#REF!,#REF!,#REF!,#REF!,#REF!,#REF!,#REF!,#REF!,#REF!,#REF!,#REF!,#REF!,#REF!</definedName>
    <definedName name="__APW_RESTORE_DATA787__" localSheetId="2" hidden="1">#REF!,#REF!,#REF!,#REF!,#REF!,#REF!,#REF!,#REF!,#REF!,#REF!,#REF!,#REF!,#REF!,#REF!,#REF!</definedName>
    <definedName name="__APW_RESTORE_DATA787__" hidden="1">#REF!,#REF!,#REF!,#REF!,#REF!,#REF!,#REF!,#REF!,#REF!,#REF!,#REF!,#REF!,#REF!,#REF!,#REF!</definedName>
    <definedName name="__APW_RESTORE_DATA788__" localSheetId="6" hidden="1">#REF!,#REF!,#REF!,#REF!,#REF!,#REF!,#REF!,#REF!,#REF!,#REF!,#REF!,#REF!,#REF!,#REF!,#REF!</definedName>
    <definedName name="__APW_RESTORE_DATA788__" localSheetId="9" hidden="1">#REF!,#REF!,#REF!,#REF!,#REF!,#REF!,#REF!,#REF!,#REF!,#REF!,#REF!,#REF!,#REF!,#REF!,#REF!</definedName>
    <definedName name="__APW_RESTORE_DATA788__" localSheetId="2" hidden="1">#REF!,#REF!,#REF!,#REF!,#REF!,#REF!,#REF!,#REF!,#REF!,#REF!,#REF!,#REF!,#REF!,#REF!,#REF!</definedName>
    <definedName name="__APW_RESTORE_DATA788__" hidden="1">#REF!,#REF!,#REF!,#REF!,#REF!,#REF!,#REF!,#REF!,#REF!,#REF!,#REF!,#REF!,#REF!,#REF!,#REF!</definedName>
    <definedName name="__APW_RESTORE_DATA789__" localSheetId="2" hidden="1">#REF!,#REF!,#REF!,#REF!,#REF!,#REF!,#REF!,#REF!,#REF!,#REF!,#REF!,#REF!,#REF!,#REF!,#REF!</definedName>
    <definedName name="__APW_RESTORE_DATA789__" hidden="1">#REF!,#REF!,#REF!,#REF!,#REF!,#REF!,#REF!,#REF!,#REF!,#REF!,#REF!,#REF!,#REF!,#REF!,#REF!</definedName>
    <definedName name="__APW_RESTORE_DATA79__" localSheetId="2" hidden="1">#REF!,#REF!,#REF!,#REF!,#REF!,#REF!,#REF!,#REF!,#REF!,#REF!,#REF!,#REF!,#REF!,#REF!,#REF!</definedName>
    <definedName name="__APW_RESTORE_DATA79__" hidden="1">#REF!,#REF!,#REF!,#REF!,#REF!,#REF!,#REF!,#REF!,#REF!,#REF!,#REF!,#REF!,#REF!,#REF!,#REF!</definedName>
    <definedName name="__APW_RESTORE_DATA790__" localSheetId="2" hidden="1">#REF!,#REF!,#REF!,#REF!,#REF!,#REF!,#REF!,#REF!,#REF!,#REF!,#REF!,#REF!,#REF!,#REF!,#REF!</definedName>
    <definedName name="__APW_RESTORE_DATA790__" hidden="1">#REF!,#REF!,#REF!,#REF!,#REF!,#REF!,#REF!,#REF!,#REF!,#REF!,#REF!,#REF!,#REF!,#REF!,#REF!</definedName>
    <definedName name="__APW_RESTORE_DATA791__" localSheetId="2" hidden="1">#REF!,#REF!,#REF!,#REF!,#REF!,#REF!,#REF!,#REF!,#REF!,#REF!,#REF!,#REF!,#REF!,#REF!,#REF!</definedName>
    <definedName name="__APW_RESTORE_DATA791__" hidden="1">#REF!,#REF!,#REF!,#REF!,#REF!,#REF!,#REF!,#REF!,#REF!,#REF!,#REF!,#REF!,#REF!,#REF!,#REF!</definedName>
    <definedName name="__APW_RESTORE_DATA792__" localSheetId="2" hidden="1">#REF!,#REF!,#REF!,#REF!,#REF!,#REF!,#REF!,#REF!,#REF!,#REF!,#REF!,#REF!,#REF!,#REF!,#REF!</definedName>
    <definedName name="__APW_RESTORE_DATA792__" hidden="1">#REF!,#REF!,#REF!,#REF!,#REF!,#REF!,#REF!,#REF!,#REF!,#REF!,#REF!,#REF!,#REF!,#REF!,#REF!</definedName>
    <definedName name="__APW_RESTORE_DATA793__" localSheetId="2" hidden="1">#REF!,#REF!,#REF!,#REF!,#REF!,#REF!,#REF!,#REF!,#REF!,#REF!,#REF!,#REF!,#REF!,#REF!,#REF!</definedName>
    <definedName name="__APW_RESTORE_DATA793__" hidden="1">#REF!,#REF!,#REF!,#REF!,#REF!,#REF!,#REF!,#REF!,#REF!,#REF!,#REF!,#REF!,#REF!,#REF!,#REF!</definedName>
    <definedName name="__APW_RESTORE_DATA794__" localSheetId="6" hidden="1">#REF!,#REF!,#REF!,#REF!,#REF!,#REF!,#REF!,#REF!,#REF!</definedName>
    <definedName name="__APW_RESTORE_DATA794__" localSheetId="9" hidden="1">#REF!,#REF!,#REF!,#REF!,#REF!,#REF!,#REF!,#REF!,#REF!</definedName>
    <definedName name="__APW_RESTORE_DATA794__" localSheetId="2" hidden="1">#REF!,#REF!,#REF!,#REF!,#REF!,#REF!,#REF!,#REF!,#REF!</definedName>
    <definedName name="__APW_RESTORE_DATA794__" hidden="1">#REF!,#REF!,#REF!,#REF!,#REF!,#REF!,#REF!,#REF!,#REF!</definedName>
    <definedName name="__APW_RESTORE_DATA795__" localSheetId="6" hidden="1">#REF!,#REF!,#REF!,#REF!,#REF!,#REF!,#REF!,#REF!,#REF!,#REF!,#REF!,#REF!,#REF!,#REF!,#REF!,#REF!,#REF!</definedName>
    <definedName name="__APW_RESTORE_DATA795__" localSheetId="9" hidden="1">#REF!,#REF!,#REF!,#REF!,#REF!,#REF!,#REF!,#REF!,#REF!,#REF!,#REF!,#REF!,#REF!,#REF!,#REF!,#REF!,#REF!</definedName>
    <definedName name="__APW_RESTORE_DATA795__" localSheetId="2" hidden="1">#REF!,#REF!,#REF!,#REF!,#REF!,#REF!,#REF!,#REF!,#REF!,#REF!,#REF!,#REF!,#REF!,#REF!,#REF!,#REF!,#REF!</definedName>
    <definedName name="__APW_RESTORE_DATA795__" hidden="1">#REF!,#REF!,#REF!,#REF!,#REF!,#REF!,#REF!,#REF!,#REF!,#REF!,#REF!,#REF!,#REF!,#REF!,#REF!,#REF!,#REF!</definedName>
    <definedName name="__APW_RESTORE_DATA796__" localSheetId="6" hidden="1">#REF!,#REF!,#REF!,#REF!,#REF!,#REF!,#REF!,#REF!,#REF!,#REF!,#REF!,#REF!,#REF!,#REF!,#REF!,#REF!</definedName>
    <definedName name="__APW_RESTORE_DATA796__" localSheetId="9" hidden="1">#REF!,#REF!,#REF!,#REF!,#REF!,#REF!,#REF!,#REF!,#REF!,#REF!,#REF!,#REF!,#REF!,#REF!,#REF!,#REF!</definedName>
    <definedName name="__APW_RESTORE_DATA796__" localSheetId="2" hidden="1">#REF!,#REF!,#REF!,#REF!,#REF!,#REF!,#REF!,#REF!,#REF!,#REF!,#REF!,#REF!,#REF!,#REF!,#REF!,#REF!</definedName>
    <definedName name="__APW_RESTORE_DATA796__" hidden="1">#REF!,#REF!,#REF!,#REF!,#REF!,#REF!,#REF!,#REF!,#REF!,#REF!,#REF!,#REF!,#REF!,#REF!,#REF!,#REF!</definedName>
    <definedName name="__APW_RESTORE_DATA797__" localSheetId="6" hidden="1">#REF!,#REF!,#REF!,#REF!,#REF!,#REF!,#REF!,#REF!,#REF!,#REF!,#REF!,#REF!,#REF!,#REF!,#REF!,#REF!</definedName>
    <definedName name="__APW_RESTORE_DATA797__" localSheetId="9" hidden="1">#REF!,#REF!,#REF!,#REF!,#REF!,#REF!,#REF!,#REF!,#REF!,#REF!,#REF!,#REF!,#REF!,#REF!,#REF!,#REF!</definedName>
    <definedName name="__APW_RESTORE_DATA797__" localSheetId="2" hidden="1">#REF!,#REF!,#REF!,#REF!,#REF!,#REF!,#REF!,#REF!,#REF!,#REF!,#REF!,#REF!,#REF!,#REF!,#REF!,#REF!</definedName>
    <definedName name="__APW_RESTORE_DATA797__" hidden="1">#REF!,#REF!,#REF!,#REF!,#REF!,#REF!,#REF!,#REF!,#REF!,#REF!,#REF!,#REF!,#REF!,#REF!,#REF!,#REF!</definedName>
    <definedName name="__APW_RESTORE_DATA798__" localSheetId="6" hidden="1">#REF!,#REF!,#REF!,#REF!,#REF!,#REF!,#REF!,#REF!,#REF!,#REF!,#REF!,#REF!,#REF!,#REF!,#REF!,#REF!</definedName>
    <definedName name="__APW_RESTORE_DATA798__" localSheetId="9" hidden="1">#REF!,#REF!,#REF!,#REF!,#REF!,#REF!,#REF!,#REF!,#REF!,#REF!,#REF!,#REF!,#REF!,#REF!,#REF!,#REF!</definedName>
    <definedName name="__APW_RESTORE_DATA798__" localSheetId="2" hidden="1">#REF!,#REF!,#REF!,#REF!,#REF!,#REF!,#REF!,#REF!,#REF!,#REF!,#REF!,#REF!,#REF!,#REF!,#REF!,#REF!</definedName>
    <definedName name="__APW_RESTORE_DATA798__" hidden="1">#REF!,#REF!,#REF!,#REF!,#REF!,#REF!,#REF!,#REF!,#REF!,#REF!,#REF!,#REF!,#REF!,#REF!,#REF!,#REF!</definedName>
    <definedName name="__APW_RESTORE_DATA799__" localSheetId="2" hidden="1">#REF!,#REF!,#REF!,#REF!,#REF!,#REF!,#REF!,#REF!,#REF!,#REF!,#REF!,#REF!,#REF!,#REF!,#REF!,#REF!</definedName>
    <definedName name="__APW_RESTORE_DATA799__" hidden="1">#REF!,#REF!,#REF!,#REF!,#REF!,#REF!,#REF!,#REF!,#REF!,#REF!,#REF!,#REF!,#REF!,#REF!,#REF!,#REF!</definedName>
    <definedName name="__APW_RESTORE_DATA8__" localSheetId="6" hidden="1">#REF!,#REF!,#REF!,#REF!,#REF!,#REF!,#REF!,#REF!,#REF!,#REF!,#REF!,#REF!,#REF!,#REF!,#REF!</definedName>
    <definedName name="__APW_RESTORE_DATA8__" localSheetId="9" hidden="1">#REF!,#REF!,#REF!,#REF!,#REF!,#REF!,#REF!,#REF!,#REF!,#REF!,#REF!,#REF!,#REF!,#REF!,#REF!</definedName>
    <definedName name="__APW_RESTORE_DATA8__" localSheetId="2" hidden="1">#REF!,#REF!,#REF!,#REF!,#REF!,#REF!,#REF!,#REF!,#REF!,#REF!,#REF!,#REF!,#REF!,#REF!,#REF!</definedName>
    <definedName name="__APW_RESTORE_DATA8__" hidden="1">#REF!,#REF!,#REF!,#REF!,#REF!,#REF!,#REF!,#REF!,#REF!,#REF!,#REF!,#REF!,#REF!,#REF!,#REF!</definedName>
    <definedName name="__APW_RESTORE_DATA80__" localSheetId="6" hidden="1">#REF!,#REF!,#REF!,#REF!,#REF!,#REF!,#REF!,#REF!,#REF!,#REF!,#REF!,#REF!,#REF!,#REF!,#REF!</definedName>
    <definedName name="__APW_RESTORE_DATA80__" localSheetId="9" hidden="1">#REF!,#REF!,#REF!,#REF!,#REF!,#REF!,#REF!,#REF!,#REF!,#REF!,#REF!,#REF!,#REF!,#REF!,#REF!</definedName>
    <definedName name="__APW_RESTORE_DATA80__" localSheetId="2" hidden="1">#REF!,#REF!,#REF!,#REF!,#REF!,#REF!,#REF!,#REF!,#REF!,#REF!,#REF!,#REF!,#REF!,#REF!,#REF!</definedName>
    <definedName name="__APW_RESTORE_DATA80__" hidden="1">#REF!,#REF!,#REF!,#REF!,#REF!,#REF!,#REF!,#REF!,#REF!,#REF!,#REF!,#REF!,#REF!,#REF!,#REF!</definedName>
    <definedName name="__APW_RESTORE_DATA800__" localSheetId="6" hidden="1">#REF!,#REF!,#REF!,#REF!,#REF!,#REF!,#REF!,#REF!,#REF!,#REF!,#REF!,#REF!,#REF!,#REF!,#REF!,#REF!</definedName>
    <definedName name="__APW_RESTORE_DATA800__" localSheetId="9" hidden="1">#REF!,#REF!,#REF!,#REF!,#REF!,#REF!,#REF!,#REF!,#REF!,#REF!,#REF!,#REF!,#REF!,#REF!,#REF!,#REF!</definedName>
    <definedName name="__APW_RESTORE_DATA800__" localSheetId="2" hidden="1">#REF!,#REF!,#REF!,#REF!,#REF!,#REF!,#REF!,#REF!,#REF!,#REF!,#REF!,#REF!,#REF!,#REF!,#REF!,#REF!</definedName>
    <definedName name="__APW_RESTORE_DATA800__" hidden="1">#REF!,#REF!,#REF!,#REF!,#REF!,#REF!,#REF!,#REF!,#REF!,#REF!,#REF!,#REF!,#REF!,#REF!,#REF!,#REF!</definedName>
    <definedName name="__APW_RESTORE_DATA801__" localSheetId="6" hidden="1">#REF!,#REF!,#REF!,#REF!,#REF!,#REF!,#REF!,#REF!,#REF!,#REF!,#REF!,#REF!,#REF!,#REF!,#REF!</definedName>
    <definedName name="__APW_RESTORE_DATA801__" localSheetId="9" hidden="1">#REF!,#REF!,#REF!,#REF!,#REF!,#REF!,#REF!,#REF!,#REF!,#REF!,#REF!,#REF!,#REF!,#REF!,#REF!</definedName>
    <definedName name="__APW_RESTORE_DATA801__" localSheetId="2" hidden="1">#REF!,#REF!,#REF!,#REF!,#REF!,#REF!,#REF!,#REF!,#REF!,#REF!,#REF!,#REF!,#REF!,#REF!,#REF!</definedName>
    <definedName name="__APW_RESTORE_DATA801__" hidden="1">#REF!,#REF!,#REF!,#REF!,#REF!,#REF!,#REF!,#REF!,#REF!,#REF!,#REF!,#REF!,#REF!,#REF!,#REF!</definedName>
    <definedName name="__APW_RESTORE_DATA802__" localSheetId="6" hidden="1">#REF!,#REF!,#REF!,#REF!,#REF!,#REF!,#REF!,#REF!,#REF!,#REF!,#REF!,#REF!,#REF!,#REF!,#REF!</definedName>
    <definedName name="__APW_RESTORE_DATA802__" localSheetId="9" hidden="1">#REF!,#REF!,#REF!,#REF!,#REF!,#REF!,#REF!,#REF!,#REF!,#REF!,#REF!,#REF!,#REF!,#REF!,#REF!</definedName>
    <definedName name="__APW_RESTORE_DATA802__" localSheetId="2" hidden="1">#REF!,#REF!,#REF!,#REF!,#REF!,#REF!,#REF!,#REF!,#REF!,#REF!,#REF!,#REF!,#REF!,#REF!,#REF!</definedName>
    <definedName name="__APW_RESTORE_DATA802__" hidden="1">#REF!,#REF!,#REF!,#REF!,#REF!,#REF!,#REF!,#REF!,#REF!,#REF!,#REF!,#REF!,#REF!,#REF!,#REF!</definedName>
    <definedName name="__APW_RESTORE_DATA803__" localSheetId="6" hidden="1">#REF!,#REF!,#REF!,#REF!,#REF!,#REF!,#REF!,#REF!,#REF!,#REF!,#REF!,#REF!,#REF!,#REF!,#REF!</definedName>
    <definedName name="__APW_RESTORE_DATA803__" localSheetId="9" hidden="1">#REF!,#REF!,#REF!,#REF!,#REF!,#REF!,#REF!,#REF!,#REF!,#REF!,#REF!,#REF!,#REF!,#REF!,#REF!</definedName>
    <definedName name="__APW_RESTORE_DATA803__" localSheetId="2" hidden="1">#REF!,#REF!,#REF!,#REF!,#REF!,#REF!,#REF!,#REF!,#REF!,#REF!,#REF!,#REF!,#REF!,#REF!,#REF!</definedName>
    <definedName name="__APW_RESTORE_DATA803__" hidden="1">#REF!,#REF!,#REF!,#REF!,#REF!,#REF!,#REF!,#REF!,#REF!,#REF!,#REF!,#REF!,#REF!,#REF!,#REF!</definedName>
    <definedName name="__APW_RESTORE_DATA804__" localSheetId="2" hidden="1">#REF!,#REF!,#REF!,#REF!,#REF!,#REF!,#REF!,#REF!,#REF!,#REF!,#REF!,#REF!,#REF!,#REF!,#REF!</definedName>
    <definedName name="__APW_RESTORE_DATA804__" hidden="1">#REF!,#REF!,#REF!,#REF!,#REF!,#REF!,#REF!,#REF!,#REF!,#REF!,#REF!,#REF!,#REF!,#REF!,#REF!</definedName>
    <definedName name="__APW_RESTORE_DATA805__" localSheetId="2" hidden="1">#REF!,#REF!,#REF!,#REF!,#REF!,#REF!,#REF!,#REF!,#REF!,#REF!,#REF!,#REF!,#REF!,#REF!,#REF!</definedName>
    <definedName name="__APW_RESTORE_DATA805__" hidden="1">#REF!,#REF!,#REF!,#REF!,#REF!,#REF!,#REF!,#REF!,#REF!,#REF!,#REF!,#REF!,#REF!,#REF!,#REF!</definedName>
    <definedName name="__APW_RESTORE_DATA806__" localSheetId="2" hidden="1">#REF!,#REF!,#REF!,#REF!,#REF!,#REF!,#REF!,#REF!,#REF!,#REF!,#REF!,#REF!,#REF!,#REF!,#REF!</definedName>
    <definedName name="__APW_RESTORE_DATA806__" hidden="1">#REF!,#REF!,#REF!,#REF!,#REF!,#REF!,#REF!,#REF!,#REF!,#REF!,#REF!,#REF!,#REF!,#REF!,#REF!</definedName>
    <definedName name="__APW_RESTORE_DATA807__" localSheetId="2" hidden="1">#REF!,#REF!,#REF!,#REF!,#REF!,#REF!,#REF!,#REF!,#REF!,#REF!,#REF!,#REF!,#REF!,#REF!,#REF!</definedName>
    <definedName name="__APW_RESTORE_DATA807__" hidden="1">#REF!,#REF!,#REF!,#REF!,#REF!,#REF!,#REF!,#REF!,#REF!,#REF!,#REF!,#REF!,#REF!,#REF!,#REF!</definedName>
    <definedName name="__APW_RESTORE_DATA808__" localSheetId="2" hidden="1">#REF!,#REF!,#REF!,#REF!,#REF!,#REF!,#REF!,#REF!,#REF!,#REF!,#REF!,#REF!,#REF!,#REF!,#REF!</definedName>
    <definedName name="__APW_RESTORE_DATA808__" hidden="1">#REF!,#REF!,#REF!,#REF!,#REF!,#REF!,#REF!,#REF!,#REF!,#REF!,#REF!,#REF!,#REF!,#REF!,#REF!</definedName>
    <definedName name="__APW_RESTORE_DATA809__" localSheetId="6" hidden="1">#REF!,#REF!,#REF!,#REF!,#REF!,#REF!,#REF!,#REF!,#REF!</definedName>
    <definedName name="__APW_RESTORE_DATA809__" localSheetId="9" hidden="1">#REF!,#REF!,#REF!,#REF!,#REF!,#REF!,#REF!,#REF!,#REF!</definedName>
    <definedName name="__APW_RESTORE_DATA809__" localSheetId="2" hidden="1">#REF!,#REF!,#REF!,#REF!,#REF!,#REF!,#REF!,#REF!,#REF!</definedName>
    <definedName name="__APW_RESTORE_DATA809__" hidden="1">#REF!,#REF!,#REF!,#REF!,#REF!,#REF!,#REF!,#REF!,#REF!</definedName>
    <definedName name="__APW_RESTORE_DATA81__" localSheetId="6" hidden="1">#REF!,#REF!,#REF!,#REF!,#REF!,#REF!,#REF!,#REF!,#REF!,#REF!,#REF!,#REF!,#REF!,#REF!,#REF!</definedName>
    <definedName name="__APW_RESTORE_DATA81__" localSheetId="9" hidden="1">#REF!,#REF!,#REF!,#REF!,#REF!,#REF!,#REF!,#REF!,#REF!,#REF!,#REF!,#REF!,#REF!,#REF!,#REF!</definedName>
    <definedName name="__APW_RESTORE_DATA81__" localSheetId="2" hidden="1">#REF!,#REF!,#REF!,#REF!,#REF!,#REF!,#REF!,#REF!,#REF!,#REF!,#REF!,#REF!,#REF!,#REF!,#REF!</definedName>
    <definedName name="__APW_RESTORE_DATA81__" hidden="1">#REF!,#REF!,#REF!,#REF!,#REF!,#REF!,#REF!,#REF!,#REF!,#REF!,#REF!,#REF!,#REF!,#REF!,#REF!</definedName>
    <definedName name="__APW_RESTORE_DATA810__" localSheetId="6" hidden="1">#REF!,#REF!,#REF!,#REF!,#REF!,#REF!,#REF!,#REF!,#REF!,#REF!,#REF!,#REF!,#REF!,#REF!,#REF!,#REF!,#REF!</definedName>
    <definedName name="__APW_RESTORE_DATA810__" localSheetId="9" hidden="1">#REF!,#REF!,#REF!,#REF!,#REF!,#REF!,#REF!,#REF!,#REF!,#REF!,#REF!,#REF!,#REF!,#REF!,#REF!,#REF!,#REF!</definedName>
    <definedName name="__APW_RESTORE_DATA810__" localSheetId="2" hidden="1">#REF!,#REF!,#REF!,#REF!,#REF!,#REF!,#REF!,#REF!,#REF!,#REF!,#REF!,#REF!,#REF!,#REF!,#REF!,#REF!,#REF!</definedName>
    <definedName name="__APW_RESTORE_DATA810__" hidden="1">#REF!,#REF!,#REF!,#REF!,#REF!,#REF!,#REF!,#REF!,#REF!,#REF!,#REF!,#REF!,#REF!,#REF!,#REF!,#REF!,#REF!</definedName>
    <definedName name="__APW_RESTORE_DATA811__" localSheetId="6" hidden="1">#REF!,#REF!,#REF!,#REF!,#REF!,#REF!,#REF!,#REF!,#REF!,#REF!,#REF!,#REF!,#REF!,#REF!,#REF!,#REF!</definedName>
    <definedName name="__APW_RESTORE_DATA811__" localSheetId="9" hidden="1">#REF!,#REF!,#REF!,#REF!,#REF!,#REF!,#REF!,#REF!,#REF!,#REF!,#REF!,#REF!,#REF!,#REF!,#REF!,#REF!</definedName>
    <definedName name="__APW_RESTORE_DATA811__" localSheetId="2" hidden="1">#REF!,#REF!,#REF!,#REF!,#REF!,#REF!,#REF!,#REF!,#REF!,#REF!,#REF!,#REF!,#REF!,#REF!,#REF!,#REF!</definedName>
    <definedName name="__APW_RESTORE_DATA811__" hidden="1">#REF!,#REF!,#REF!,#REF!,#REF!,#REF!,#REF!,#REF!,#REF!,#REF!,#REF!,#REF!,#REF!,#REF!,#REF!,#REF!</definedName>
    <definedName name="__APW_RESTORE_DATA812__" localSheetId="6" hidden="1">#REF!,#REF!,#REF!,#REF!,#REF!,#REF!,#REF!,#REF!,#REF!,#REF!,#REF!,#REF!,#REF!,#REF!,#REF!,#REF!</definedName>
    <definedName name="__APW_RESTORE_DATA812__" localSheetId="9" hidden="1">#REF!,#REF!,#REF!,#REF!,#REF!,#REF!,#REF!,#REF!,#REF!,#REF!,#REF!,#REF!,#REF!,#REF!,#REF!,#REF!</definedName>
    <definedName name="__APW_RESTORE_DATA812__" localSheetId="2" hidden="1">#REF!,#REF!,#REF!,#REF!,#REF!,#REF!,#REF!,#REF!,#REF!,#REF!,#REF!,#REF!,#REF!,#REF!,#REF!,#REF!</definedName>
    <definedName name="__APW_RESTORE_DATA812__" hidden="1">#REF!,#REF!,#REF!,#REF!,#REF!,#REF!,#REF!,#REF!,#REF!,#REF!,#REF!,#REF!,#REF!,#REF!,#REF!,#REF!</definedName>
    <definedName name="__APW_RESTORE_DATA813__" localSheetId="6" hidden="1">#REF!,#REF!,#REF!,#REF!,#REF!,#REF!,#REF!,#REF!,#REF!,#REF!,#REF!,#REF!,#REF!,#REF!,#REF!,#REF!</definedName>
    <definedName name="__APW_RESTORE_DATA813__" localSheetId="9" hidden="1">#REF!,#REF!,#REF!,#REF!,#REF!,#REF!,#REF!,#REF!,#REF!,#REF!,#REF!,#REF!,#REF!,#REF!,#REF!,#REF!</definedName>
    <definedName name="__APW_RESTORE_DATA813__" localSheetId="2" hidden="1">#REF!,#REF!,#REF!,#REF!,#REF!,#REF!,#REF!,#REF!,#REF!,#REF!,#REF!,#REF!,#REF!,#REF!,#REF!,#REF!</definedName>
    <definedName name="__APW_RESTORE_DATA813__" hidden="1">#REF!,#REF!,#REF!,#REF!,#REF!,#REF!,#REF!,#REF!,#REF!,#REF!,#REF!,#REF!,#REF!,#REF!,#REF!,#REF!</definedName>
    <definedName name="__APW_RESTORE_DATA814__" localSheetId="2" hidden="1">#REF!,#REF!,#REF!,#REF!,#REF!,#REF!,#REF!,#REF!,#REF!,#REF!,#REF!,#REF!,#REF!,#REF!,#REF!,#REF!</definedName>
    <definedName name="__APW_RESTORE_DATA814__" hidden="1">#REF!,#REF!,#REF!,#REF!,#REF!,#REF!,#REF!,#REF!,#REF!,#REF!,#REF!,#REF!,#REF!,#REF!,#REF!,#REF!</definedName>
    <definedName name="__APW_RESTORE_DATA815__" localSheetId="2" hidden="1">#REF!,#REF!,#REF!,#REF!,#REF!,#REF!,#REF!,#REF!,#REF!,#REF!,#REF!,#REF!,#REF!,#REF!,#REF!,#REF!</definedName>
    <definedName name="__APW_RESTORE_DATA815__" hidden="1">#REF!,#REF!,#REF!,#REF!,#REF!,#REF!,#REF!,#REF!,#REF!,#REF!,#REF!,#REF!,#REF!,#REF!,#REF!,#REF!</definedName>
    <definedName name="__APW_RESTORE_DATA816__" localSheetId="6" hidden="1">#REF!,#REF!,#REF!,#REF!,#REF!,#REF!,#REF!,#REF!,#REF!,#REF!,#REF!,#REF!,#REF!,#REF!,#REF!</definedName>
    <definedName name="__APW_RESTORE_DATA816__" localSheetId="9" hidden="1">#REF!,#REF!,#REF!,#REF!,#REF!,#REF!,#REF!,#REF!,#REF!,#REF!,#REF!,#REF!,#REF!,#REF!,#REF!</definedName>
    <definedName name="__APW_RESTORE_DATA816__" localSheetId="2" hidden="1">#REF!,#REF!,#REF!,#REF!,#REF!,#REF!,#REF!,#REF!,#REF!,#REF!,#REF!,#REF!,#REF!,#REF!,#REF!</definedName>
    <definedName name="__APW_RESTORE_DATA816__" hidden="1">#REF!,#REF!,#REF!,#REF!,#REF!,#REF!,#REF!,#REF!,#REF!,#REF!,#REF!,#REF!,#REF!,#REF!,#REF!</definedName>
    <definedName name="__APW_RESTORE_DATA817__" localSheetId="6" hidden="1">#REF!,#REF!,#REF!,#REF!,#REF!,#REF!,#REF!,#REF!,#REF!,#REF!,#REF!,#REF!,#REF!,#REF!,#REF!</definedName>
    <definedName name="__APW_RESTORE_DATA817__" localSheetId="9" hidden="1">#REF!,#REF!,#REF!,#REF!,#REF!,#REF!,#REF!,#REF!,#REF!,#REF!,#REF!,#REF!,#REF!,#REF!,#REF!</definedName>
    <definedName name="__APW_RESTORE_DATA817__" localSheetId="2" hidden="1">#REF!,#REF!,#REF!,#REF!,#REF!,#REF!,#REF!,#REF!,#REF!,#REF!,#REF!,#REF!,#REF!,#REF!,#REF!</definedName>
    <definedName name="__APW_RESTORE_DATA817__" hidden="1">#REF!,#REF!,#REF!,#REF!,#REF!,#REF!,#REF!,#REF!,#REF!,#REF!,#REF!,#REF!,#REF!,#REF!,#REF!</definedName>
    <definedName name="__APW_RESTORE_DATA818__" localSheetId="6" hidden="1">#REF!,#REF!,#REF!,#REF!,#REF!,#REF!,#REF!,#REF!,#REF!,#REF!,#REF!,#REF!,#REF!,#REF!,#REF!</definedName>
    <definedName name="__APW_RESTORE_DATA818__" localSheetId="9" hidden="1">#REF!,#REF!,#REF!,#REF!,#REF!,#REF!,#REF!,#REF!,#REF!,#REF!,#REF!,#REF!,#REF!,#REF!,#REF!</definedName>
    <definedName name="__APW_RESTORE_DATA818__" localSheetId="2" hidden="1">#REF!,#REF!,#REF!,#REF!,#REF!,#REF!,#REF!,#REF!,#REF!,#REF!,#REF!,#REF!,#REF!,#REF!,#REF!</definedName>
    <definedName name="__APW_RESTORE_DATA818__" hidden="1">#REF!,#REF!,#REF!,#REF!,#REF!,#REF!,#REF!,#REF!,#REF!,#REF!,#REF!,#REF!,#REF!,#REF!,#REF!</definedName>
    <definedName name="__APW_RESTORE_DATA819__" localSheetId="2" hidden="1">#REF!,#REF!,#REF!,#REF!,#REF!,#REF!,#REF!,#REF!,#REF!,#REF!,#REF!,#REF!,#REF!,#REF!,#REF!</definedName>
    <definedName name="__APW_RESTORE_DATA819__" hidden="1">#REF!,#REF!,#REF!,#REF!,#REF!,#REF!,#REF!,#REF!,#REF!,#REF!,#REF!,#REF!,#REF!,#REF!,#REF!</definedName>
    <definedName name="__APW_RESTORE_DATA82__" localSheetId="2" hidden="1">#REF!,#REF!,#REF!,#REF!,#REF!,#REF!,#REF!,#REF!,#REF!,#REF!,#REF!,#REF!,#REF!,#REF!,#REF!</definedName>
    <definedName name="__APW_RESTORE_DATA82__" hidden="1">#REF!,#REF!,#REF!,#REF!,#REF!,#REF!,#REF!,#REF!,#REF!,#REF!,#REF!,#REF!,#REF!,#REF!,#REF!</definedName>
    <definedName name="__APW_RESTORE_DATA820__" localSheetId="2" hidden="1">#REF!,#REF!,#REF!,#REF!,#REF!,#REF!,#REF!,#REF!,#REF!,#REF!,#REF!,#REF!,#REF!,#REF!,#REF!</definedName>
    <definedName name="__APW_RESTORE_DATA820__" hidden="1">#REF!,#REF!,#REF!,#REF!,#REF!,#REF!,#REF!,#REF!,#REF!,#REF!,#REF!,#REF!,#REF!,#REF!,#REF!</definedName>
    <definedName name="__APW_RESTORE_DATA821__" localSheetId="2" hidden="1">#REF!,#REF!,#REF!,#REF!,#REF!,#REF!,#REF!,#REF!,#REF!,#REF!,#REF!,#REF!,#REF!,#REF!,#REF!</definedName>
    <definedName name="__APW_RESTORE_DATA821__" hidden="1">#REF!,#REF!,#REF!,#REF!,#REF!,#REF!,#REF!,#REF!,#REF!,#REF!,#REF!,#REF!,#REF!,#REF!,#REF!</definedName>
    <definedName name="__APW_RESTORE_DATA822__" localSheetId="2" hidden="1">#REF!,#REF!,#REF!,#REF!,#REF!,#REF!,#REF!,#REF!,#REF!,#REF!,#REF!,#REF!,#REF!,#REF!,#REF!</definedName>
    <definedName name="__APW_RESTORE_DATA822__" hidden="1">#REF!,#REF!,#REF!,#REF!,#REF!,#REF!,#REF!,#REF!,#REF!,#REF!,#REF!,#REF!,#REF!,#REF!,#REF!</definedName>
    <definedName name="__APW_RESTORE_DATA823__" localSheetId="2" hidden="1">#REF!,#REF!,#REF!,#REF!,#REF!,#REF!,#REF!,#REF!,#REF!,#REF!,#REF!,#REF!,#REF!,#REF!,#REF!</definedName>
    <definedName name="__APW_RESTORE_DATA823__" hidden="1">#REF!,#REF!,#REF!,#REF!,#REF!,#REF!,#REF!,#REF!,#REF!,#REF!,#REF!,#REF!,#REF!,#REF!,#REF!</definedName>
    <definedName name="__APW_RESTORE_DATA824__" localSheetId="6" hidden="1">#REF!,#REF!,#REF!,#REF!,#REF!,#REF!,#REF!,#REF!,#REF!</definedName>
    <definedName name="__APW_RESTORE_DATA824__" localSheetId="9" hidden="1">#REF!,#REF!,#REF!,#REF!,#REF!,#REF!,#REF!,#REF!,#REF!</definedName>
    <definedName name="__APW_RESTORE_DATA824__" localSheetId="2" hidden="1">#REF!,#REF!,#REF!,#REF!,#REF!,#REF!,#REF!,#REF!,#REF!</definedName>
    <definedName name="__APW_RESTORE_DATA824__" hidden="1">#REF!,#REF!,#REF!,#REF!,#REF!,#REF!,#REF!,#REF!,#REF!</definedName>
    <definedName name="__APW_RESTORE_DATA825__" localSheetId="6" hidden="1">#REF!,#REF!,#REF!,#REF!,#REF!,#REF!,#REF!,#REF!,#REF!,#REF!,#REF!,#REF!,#REF!,#REF!,#REF!,#REF!,#REF!</definedName>
    <definedName name="__APW_RESTORE_DATA825__" localSheetId="9" hidden="1">#REF!,#REF!,#REF!,#REF!,#REF!,#REF!,#REF!,#REF!,#REF!,#REF!,#REF!,#REF!,#REF!,#REF!,#REF!,#REF!,#REF!</definedName>
    <definedName name="__APW_RESTORE_DATA825__" localSheetId="2" hidden="1">#REF!,#REF!,#REF!,#REF!,#REF!,#REF!,#REF!,#REF!,#REF!,#REF!,#REF!,#REF!,#REF!,#REF!,#REF!,#REF!,#REF!</definedName>
    <definedName name="__APW_RESTORE_DATA825__" hidden="1">#REF!,#REF!,#REF!,#REF!,#REF!,#REF!,#REF!,#REF!,#REF!,#REF!,#REF!,#REF!,#REF!,#REF!,#REF!,#REF!,#REF!</definedName>
    <definedName name="__APW_RESTORE_DATA826__" localSheetId="6" hidden="1">#REF!,#REF!,#REF!,#REF!,#REF!,#REF!,#REF!,#REF!,#REF!,#REF!,#REF!,#REF!,#REF!,#REF!,#REF!,#REF!</definedName>
    <definedName name="__APW_RESTORE_DATA826__" localSheetId="9" hidden="1">#REF!,#REF!,#REF!,#REF!,#REF!,#REF!,#REF!,#REF!,#REF!,#REF!,#REF!,#REF!,#REF!,#REF!,#REF!,#REF!</definedName>
    <definedName name="__APW_RESTORE_DATA826__" localSheetId="2" hidden="1">#REF!,#REF!,#REF!,#REF!,#REF!,#REF!,#REF!,#REF!,#REF!,#REF!,#REF!,#REF!,#REF!,#REF!,#REF!,#REF!</definedName>
    <definedName name="__APW_RESTORE_DATA826__" hidden="1">#REF!,#REF!,#REF!,#REF!,#REF!,#REF!,#REF!,#REF!,#REF!,#REF!,#REF!,#REF!,#REF!,#REF!,#REF!,#REF!</definedName>
    <definedName name="__APW_RESTORE_DATA827__" localSheetId="6" hidden="1">#REF!,#REF!,#REF!,#REF!,#REF!,#REF!,#REF!,#REF!,#REF!,#REF!,#REF!,#REF!,#REF!,#REF!,#REF!,#REF!</definedName>
    <definedName name="__APW_RESTORE_DATA827__" localSheetId="9" hidden="1">#REF!,#REF!,#REF!,#REF!,#REF!,#REF!,#REF!,#REF!,#REF!,#REF!,#REF!,#REF!,#REF!,#REF!,#REF!,#REF!</definedName>
    <definedName name="__APW_RESTORE_DATA827__" localSheetId="2" hidden="1">#REF!,#REF!,#REF!,#REF!,#REF!,#REF!,#REF!,#REF!,#REF!,#REF!,#REF!,#REF!,#REF!,#REF!,#REF!,#REF!</definedName>
    <definedName name="__APW_RESTORE_DATA827__" hidden="1">#REF!,#REF!,#REF!,#REF!,#REF!,#REF!,#REF!,#REF!,#REF!,#REF!,#REF!,#REF!,#REF!,#REF!,#REF!,#REF!</definedName>
    <definedName name="__APW_RESTORE_DATA828__" localSheetId="6" hidden="1">#REF!,#REF!,#REF!,#REF!,#REF!,#REF!,#REF!,#REF!,#REF!,#REF!,#REF!,#REF!,#REF!,#REF!,#REF!,#REF!</definedName>
    <definedName name="__APW_RESTORE_DATA828__" localSheetId="9" hidden="1">#REF!,#REF!,#REF!,#REF!,#REF!,#REF!,#REF!,#REF!,#REF!,#REF!,#REF!,#REF!,#REF!,#REF!,#REF!,#REF!</definedName>
    <definedName name="__APW_RESTORE_DATA828__" localSheetId="2" hidden="1">#REF!,#REF!,#REF!,#REF!,#REF!,#REF!,#REF!,#REF!,#REF!,#REF!,#REF!,#REF!,#REF!,#REF!,#REF!,#REF!</definedName>
    <definedName name="__APW_RESTORE_DATA828__" hidden="1">#REF!,#REF!,#REF!,#REF!,#REF!,#REF!,#REF!,#REF!,#REF!,#REF!,#REF!,#REF!,#REF!,#REF!,#REF!,#REF!</definedName>
    <definedName name="__APW_RESTORE_DATA829__" localSheetId="2" hidden="1">#REF!,#REF!,#REF!,#REF!,#REF!,#REF!,#REF!,#REF!,#REF!,#REF!,#REF!,#REF!,#REF!,#REF!,#REF!,#REF!</definedName>
    <definedName name="__APW_RESTORE_DATA829__" hidden="1">#REF!,#REF!,#REF!,#REF!,#REF!,#REF!,#REF!,#REF!,#REF!,#REF!,#REF!,#REF!,#REF!,#REF!,#REF!,#REF!</definedName>
    <definedName name="__APW_RESTORE_DATA83__" localSheetId="6" hidden="1">#REF!,#REF!,#REF!,#REF!,#REF!,#REF!</definedName>
    <definedName name="__APW_RESTORE_DATA83__" localSheetId="9" hidden="1">#REF!,#REF!,#REF!,#REF!,#REF!,#REF!</definedName>
    <definedName name="__APW_RESTORE_DATA83__" localSheetId="2" hidden="1">#REF!,#REF!,#REF!,#REF!,#REF!,#REF!</definedName>
    <definedName name="__APW_RESTORE_DATA83__" hidden="1">#REF!,#REF!,#REF!,#REF!,#REF!,#REF!</definedName>
    <definedName name="__APW_RESTORE_DATA830__" localSheetId="6" hidden="1">#REF!,#REF!,#REF!,#REF!,#REF!,#REF!,#REF!,#REF!,#REF!,#REF!,#REF!,#REF!,#REF!,#REF!,#REF!,#REF!</definedName>
    <definedName name="__APW_RESTORE_DATA830__" localSheetId="9" hidden="1">#REF!,#REF!,#REF!,#REF!,#REF!,#REF!,#REF!,#REF!,#REF!,#REF!,#REF!,#REF!,#REF!,#REF!,#REF!,#REF!</definedName>
    <definedName name="__APW_RESTORE_DATA830__" localSheetId="2" hidden="1">#REF!,#REF!,#REF!,#REF!,#REF!,#REF!,#REF!,#REF!,#REF!,#REF!,#REF!,#REF!,#REF!,#REF!,#REF!,#REF!</definedName>
    <definedName name="__APW_RESTORE_DATA830__" hidden="1">#REF!,#REF!,#REF!,#REF!,#REF!,#REF!,#REF!,#REF!,#REF!,#REF!,#REF!,#REF!,#REF!,#REF!,#REF!,#REF!</definedName>
    <definedName name="__APW_RESTORE_DATA831__" localSheetId="6" hidden="1">#REF!,#REF!,#REF!,#REF!,#REF!,#REF!,#REF!,#REF!,#REF!,#REF!,#REF!,#REF!,#REF!,#REF!,#REF!</definedName>
    <definedName name="__APW_RESTORE_DATA831__" localSheetId="9" hidden="1">#REF!,#REF!,#REF!,#REF!,#REF!,#REF!,#REF!,#REF!,#REF!,#REF!,#REF!,#REF!,#REF!,#REF!,#REF!</definedName>
    <definedName name="__APW_RESTORE_DATA831__" localSheetId="2" hidden="1">#REF!,#REF!,#REF!,#REF!,#REF!,#REF!,#REF!,#REF!,#REF!,#REF!,#REF!,#REF!,#REF!,#REF!,#REF!</definedName>
    <definedName name="__APW_RESTORE_DATA831__" hidden="1">#REF!,#REF!,#REF!,#REF!,#REF!,#REF!,#REF!,#REF!,#REF!,#REF!,#REF!,#REF!,#REF!,#REF!,#REF!</definedName>
    <definedName name="__APW_RESTORE_DATA832__" localSheetId="6" hidden="1">#REF!,#REF!,#REF!,#REF!,#REF!,#REF!,#REF!,#REF!,#REF!,#REF!,#REF!,#REF!,#REF!,#REF!,#REF!</definedName>
    <definedName name="__APW_RESTORE_DATA832__" localSheetId="9" hidden="1">#REF!,#REF!,#REF!,#REF!,#REF!,#REF!,#REF!,#REF!,#REF!,#REF!,#REF!,#REF!,#REF!,#REF!,#REF!</definedName>
    <definedName name="__APW_RESTORE_DATA832__" localSheetId="2" hidden="1">#REF!,#REF!,#REF!,#REF!,#REF!,#REF!,#REF!,#REF!,#REF!,#REF!,#REF!,#REF!,#REF!,#REF!,#REF!</definedName>
    <definedName name="__APW_RESTORE_DATA832__" hidden="1">#REF!,#REF!,#REF!,#REF!,#REF!,#REF!,#REF!,#REF!,#REF!,#REF!,#REF!,#REF!,#REF!,#REF!,#REF!</definedName>
    <definedName name="__APW_RESTORE_DATA833__" localSheetId="6" hidden="1">#REF!,#REF!,#REF!,#REF!,#REF!,#REF!,#REF!,#REF!,#REF!,#REF!,#REF!,#REF!,#REF!,#REF!,#REF!</definedName>
    <definedName name="__APW_RESTORE_DATA833__" localSheetId="9" hidden="1">#REF!,#REF!,#REF!,#REF!,#REF!,#REF!,#REF!,#REF!,#REF!,#REF!,#REF!,#REF!,#REF!,#REF!,#REF!</definedName>
    <definedName name="__APW_RESTORE_DATA833__" localSheetId="2" hidden="1">#REF!,#REF!,#REF!,#REF!,#REF!,#REF!,#REF!,#REF!,#REF!,#REF!,#REF!,#REF!,#REF!,#REF!,#REF!</definedName>
    <definedName name="__APW_RESTORE_DATA833__" hidden="1">#REF!,#REF!,#REF!,#REF!,#REF!,#REF!,#REF!,#REF!,#REF!,#REF!,#REF!,#REF!,#REF!,#REF!,#REF!</definedName>
    <definedName name="__APW_RESTORE_DATA834__" localSheetId="2" hidden="1">#REF!,#REF!,#REF!,#REF!,#REF!,#REF!,#REF!,#REF!,#REF!,#REF!,#REF!,#REF!,#REF!,#REF!,#REF!</definedName>
    <definedName name="__APW_RESTORE_DATA834__" hidden="1">#REF!,#REF!,#REF!,#REF!,#REF!,#REF!,#REF!,#REF!,#REF!,#REF!,#REF!,#REF!,#REF!,#REF!,#REF!</definedName>
    <definedName name="__APW_RESTORE_DATA835__" localSheetId="2" hidden="1">#REF!,#REF!,#REF!,#REF!,#REF!,#REF!,#REF!,#REF!,#REF!,#REF!,#REF!,#REF!,#REF!,#REF!,#REF!</definedName>
    <definedName name="__APW_RESTORE_DATA835__" hidden="1">#REF!,#REF!,#REF!,#REF!,#REF!,#REF!,#REF!,#REF!,#REF!,#REF!,#REF!,#REF!,#REF!,#REF!,#REF!</definedName>
    <definedName name="__APW_RESTORE_DATA836__" localSheetId="2" hidden="1">#REF!,#REF!,#REF!,#REF!,#REF!,#REF!,#REF!,#REF!,#REF!,#REF!,#REF!,#REF!,#REF!,#REF!,#REF!</definedName>
    <definedName name="__APW_RESTORE_DATA836__" hidden="1">#REF!,#REF!,#REF!,#REF!,#REF!,#REF!,#REF!,#REF!,#REF!,#REF!,#REF!,#REF!,#REF!,#REF!,#REF!</definedName>
    <definedName name="__APW_RESTORE_DATA837__" localSheetId="2" hidden="1">#REF!,#REF!,#REF!,#REF!,#REF!,#REF!,#REF!,#REF!,#REF!,#REF!,#REF!,#REF!,#REF!,#REF!,#REF!</definedName>
    <definedName name="__APW_RESTORE_DATA837__" hidden="1">#REF!,#REF!,#REF!,#REF!,#REF!,#REF!,#REF!,#REF!,#REF!,#REF!,#REF!,#REF!,#REF!,#REF!,#REF!</definedName>
    <definedName name="__APW_RESTORE_DATA838__" localSheetId="2" hidden="1">#REF!,#REF!,#REF!,#REF!,#REF!,#REF!,#REF!,#REF!,#REF!,#REF!,#REF!,#REF!,#REF!,#REF!,#REF!</definedName>
    <definedName name="__APW_RESTORE_DATA838__" hidden="1">#REF!,#REF!,#REF!,#REF!,#REF!,#REF!,#REF!,#REF!,#REF!,#REF!,#REF!,#REF!,#REF!,#REF!,#REF!</definedName>
    <definedName name="__APW_RESTORE_DATA839__" localSheetId="6" hidden="1">#REF!,#REF!,#REF!,#REF!,#REF!,#REF!,#REF!,#REF!,#REF!</definedName>
    <definedName name="__APW_RESTORE_DATA839__" localSheetId="9" hidden="1">#REF!,#REF!,#REF!,#REF!,#REF!,#REF!,#REF!,#REF!,#REF!</definedName>
    <definedName name="__APW_RESTORE_DATA839__" localSheetId="2" hidden="1">#REF!,#REF!,#REF!,#REF!,#REF!,#REF!,#REF!,#REF!,#REF!</definedName>
    <definedName name="__APW_RESTORE_DATA839__" hidden="1">#REF!,#REF!,#REF!,#REF!,#REF!,#REF!,#REF!,#REF!,#REF!</definedName>
    <definedName name="__APW_RESTORE_DATA84__" localSheetId="6" hidden="1">#REF!,#REF!,#REF!,#REF!,#REF!,#REF!,#REF!,#REF!,#REF!,#REF!,#REF!,#REF!,#REF!,#REF!,#REF!,#REF!,#REF!</definedName>
    <definedName name="__APW_RESTORE_DATA84__" localSheetId="9" hidden="1">#REF!,#REF!,#REF!,#REF!,#REF!,#REF!,#REF!,#REF!,#REF!,#REF!,#REF!,#REF!,#REF!,#REF!,#REF!,#REF!,#REF!</definedName>
    <definedName name="__APW_RESTORE_DATA84__" localSheetId="2" hidden="1">#REF!,#REF!,#REF!,#REF!,#REF!,#REF!,#REF!,#REF!,#REF!,#REF!,#REF!,#REF!,#REF!,#REF!,#REF!,#REF!,#REF!</definedName>
    <definedName name="__APW_RESTORE_DATA84__" hidden="1">#REF!,#REF!,#REF!,#REF!,#REF!,#REF!,#REF!,#REF!,#REF!,#REF!,#REF!,#REF!,#REF!,#REF!,#REF!,#REF!,#REF!</definedName>
    <definedName name="__APW_RESTORE_DATA840__" localSheetId="6" hidden="1">#REF!,#REF!,#REF!,#REF!,#REF!,#REF!,#REF!,#REF!,#REF!,#REF!,#REF!,#REF!,#REF!,#REF!,#REF!,#REF!,#REF!</definedName>
    <definedName name="__APW_RESTORE_DATA840__" localSheetId="9" hidden="1">#REF!,#REF!,#REF!,#REF!,#REF!,#REF!,#REF!,#REF!,#REF!,#REF!,#REF!,#REF!,#REF!,#REF!,#REF!,#REF!,#REF!</definedName>
    <definedName name="__APW_RESTORE_DATA840__" localSheetId="2" hidden="1">#REF!,#REF!,#REF!,#REF!,#REF!,#REF!,#REF!,#REF!,#REF!,#REF!,#REF!,#REF!,#REF!,#REF!,#REF!,#REF!,#REF!</definedName>
    <definedName name="__APW_RESTORE_DATA840__" hidden="1">#REF!,#REF!,#REF!,#REF!,#REF!,#REF!,#REF!,#REF!,#REF!,#REF!,#REF!,#REF!,#REF!,#REF!,#REF!,#REF!,#REF!</definedName>
    <definedName name="__APW_RESTORE_DATA841__" localSheetId="6" hidden="1">#REF!,#REF!,#REF!,#REF!,#REF!,#REF!,#REF!,#REF!,#REF!,#REF!,#REF!,#REF!,#REF!,#REF!,#REF!,#REF!</definedName>
    <definedName name="__APW_RESTORE_DATA841__" localSheetId="9" hidden="1">#REF!,#REF!,#REF!,#REF!,#REF!,#REF!,#REF!,#REF!,#REF!,#REF!,#REF!,#REF!,#REF!,#REF!,#REF!,#REF!</definedName>
    <definedName name="__APW_RESTORE_DATA841__" localSheetId="2" hidden="1">#REF!,#REF!,#REF!,#REF!,#REF!,#REF!,#REF!,#REF!,#REF!,#REF!,#REF!,#REF!,#REF!,#REF!,#REF!,#REF!</definedName>
    <definedName name="__APW_RESTORE_DATA841__" hidden="1">#REF!,#REF!,#REF!,#REF!,#REF!,#REF!,#REF!,#REF!,#REF!,#REF!,#REF!,#REF!,#REF!,#REF!,#REF!,#REF!</definedName>
    <definedName name="__APW_RESTORE_DATA842__" localSheetId="6" hidden="1">#REF!,#REF!,#REF!,#REF!,#REF!,#REF!,#REF!,#REF!,#REF!,#REF!,#REF!,#REF!,#REF!,#REF!,#REF!,#REF!</definedName>
    <definedName name="__APW_RESTORE_DATA842__" localSheetId="9" hidden="1">#REF!,#REF!,#REF!,#REF!,#REF!,#REF!,#REF!,#REF!,#REF!,#REF!,#REF!,#REF!,#REF!,#REF!,#REF!,#REF!</definedName>
    <definedName name="__APW_RESTORE_DATA842__" localSheetId="2" hidden="1">#REF!,#REF!,#REF!,#REF!,#REF!,#REF!,#REF!,#REF!,#REF!,#REF!,#REF!,#REF!,#REF!,#REF!,#REF!,#REF!</definedName>
    <definedName name="__APW_RESTORE_DATA842__" hidden="1">#REF!,#REF!,#REF!,#REF!,#REF!,#REF!,#REF!,#REF!,#REF!,#REF!,#REF!,#REF!,#REF!,#REF!,#REF!,#REF!</definedName>
    <definedName name="__APW_RESTORE_DATA843__" localSheetId="6" hidden="1">#REF!,#REF!,#REF!,#REF!,#REF!,#REF!,#REF!,#REF!,#REF!,#REF!,#REF!,#REF!,#REF!,#REF!,#REF!,#REF!</definedName>
    <definedName name="__APW_RESTORE_DATA843__" localSheetId="9" hidden="1">#REF!,#REF!,#REF!,#REF!,#REF!,#REF!,#REF!,#REF!,#REF!,#REF!,#REF!,#REF!,#REF!,#REF!,#REF!,#REF!</definedName>
    <definedName name="__APW_RESTORE_DATA843__" localSheetId="2" hidden="1">#REF!,#REF!,#REF!,#REF!,#REF!,#REF!,#REF!,#REF!,#REF!,#REF!,#REF!,#REF!,#REF!,#REF!,#REF!,#REF!</definedName>
    <definedName name="__APW_RESTORE_DATA843__" hidden="1">#REF!,#REF!,#REF!,#REF!,#REF!,#REF!,#REF!,#REF!,#REF!,#REF!,#REF!,#REF!,#REF!,#REF!,#REF!,#REF!</definedName>
    <definedName name="__APW_RESTORE_DATA844__" localSheetId="2" hidden="1">#REF!,#REF!,#REF!,#REF!,#REF!,#REF!,#REF!,#REF!,#REF!,#REF!,#REF!,#REF!,#REF!,#REF!,#REF!,#REF!</definedName>
    <definedName name="__APW_RESTORE_DATA844__" hidden="1">#REF!,#REF!,#REF!,#REF!,#REF!,#REF!,#REF!,#REF!,#REF!,#REF!,#REF!,#REF!,#REF!,#REF!,#REF!,#REF!</definedName>
    <definedName name="__APW_RESTORE_DATA845__" localSheetId="2" hidden="1">#REF!,#REF!,#REF!,#REF!,#REF!,#REF!,#REF!,#REF!,#REF!,#REF!,#REF!,#REF!,#REF!,#REF!,#REF!,#REF!</definedName>
    <definedName name="__APW_RESTORE_DATA845__" hidden="1">#REF!,#REF!,#REF!,#REF!,#REF!,#REF!,#REF!,#REF!,#REF!,#REF!,#REF!,#REF!,#REF!,#REF!,#REF!,#REF!</definedName>
    <definedName name="__APW_RESTORE_DATA846__" localSheetId="6" hidden="1">#REF!,#REF!,#REF!,#REF!,#REF!,#REF!,#REF!,#REF!,#REF!,#REF!,#REF!,#REF!,#REF!,#REF!,#REF!</definedName>
    <definedName name="__APW_RESTORE_DATA846__" localSheetId="9" hidden="1">#REF!,#REF!,#REF!,#REF!,#REF!,#REF!,#REF!,#REF!,#REF!,#REF!,#REF!,#REF!,#REF!,#REF!,#REF!</definedName>
    <definedName name="__APW_RESTORE_DATA846__" localSheetId="2" hidden="1">#REF!,#REF!,#REF!,#REF!,#REF!,#REF!,#REF!,#REF!,#REF!,#REF!,#REF!,#REF!,#REF!,#REF!,#REF!</definedName>
    <definedName name="__APW_RESTORE_DATA846__" hidden="1">#REF!,#REF!,#REF!,#REF!,#REF!,#REF!,#REF!,#REF!,#REF!,#REF!,#REF!,#REF!,#REF!,#REF!,#REF!</definedName>
    <definedName name="__APW_RESTORE_DATA847__" localSheetId="6" hidden="1">#REF!,#REF!,#REF!,#REF!,#REF!,#REF!,#REF!,#REF!,#REF!,#REF!,#REF!,#REF!,#REF!,#REF!,#REF!</definedName>
    <definedName name="__APW_RESTORE_DATA847__" localSheetId="9" hidden="1">#REF!,#REF!,#REF!,#REF!,#REF!,#REF!,#REF!,#REF!,#REF!,#REF!,#REF!,#REF!,#REF!,#REF!,#REF!</definedName>
    <definedName name="__APW_RESTORE_DATA847__" localSheetId="2" hidden="1">#REF!,#REF!,#REF!,#REF!,#REF!,#REF!,#REF!,#REF!,#REF!,#REF!,#REF!,#REF!,#REF!,#REF!,#REF!</definedName>
    <definedName name="__APW_RESTORE_DATA847__" hidden="1">#REF!,#REF!,#REF!,#REF!,#REF!,#REF!,#REF!,#REF!,#REF!,#REF!,#REF!,#REF!,#REF!,#REF!,#REF!</definedName>
    <definedName name="__APW_RESTORE_DATA848__" localSheetId="6" hidden="1">#REF!,#REF!,#REF!,#REF!,#REF!,#REF!,#REF!,#REF!,#REF!,#REF!,#REF!,#REF!,#REF!,#REF!,#REF!</definedName>
    <definedName name="__APW_RESTORE_DATA848__" localSheetId="9" hidden="1">#REF!,#REF!,#REF!,#REF!,#REF!,#REF!,#REF!,#REF!,#REF!,#REF!,#REF!,#REF!,#REF!,#REF!,#REF!</definedName>
    <definedName name="__APW_RESTORE_DATA848__" localSheetId="2" hidden="1">#REF!,#REF!,#REF!,#REF!,#REF!,#REF!,#REF!,#REF!,#REF!,#REF!,#REF!,#REF!,#REF!,#REF!,#REF!</definedName>
    <definedName name="__APW_RESTORE_DATA848__" hidden="1">#REF!,#REF!,#REF!,#REF!,#REF!,#REF!,#REF!,#REF!,#REF!,#REF!,#REF!,#REF!,#REF!,#REF!,#REF!</definedName>
    <definedName name="__APW_RESTORE_DATA849__" localSheetId="2" hidden="1">#REF!,#REF!,#REF!,#REF!,#REF!,#REF!,#REF!,#REF!,#REF!,#REF!,#REF!,#REF!,#REF!,#REF!,#REF!</definedName>
    <definedName name="__APW_RESTORE_DATA849__" hidden="1">#REF!,#REF!,#REF!,#REF!,#REF!,#REF!,#REF!,#REF!,#REF!,#REF!,#REF!,#REF!,#REF!,#REF!,#REF!</definedName>
    <definedName name="__APW_RESTORE_DATA85__" localSheetId="6" hidden="1">#REF!,#REF!,#REF!,#REF!,#REF!,#REF!,#REF!,#REF!,#REF!,#REF!,#REF!,#REF!,#REF!,#REF!,#REF!,#REF!</definedName>
    <definedName name="__APW_RESTORE_DATA85__" localSheetId="9" hidden="1">#REF!,#REF!,#REF!,#REF!,#REF!,#REF!,#REF!,#REF!,#REF!,#REF!,#REF!,#REF!,#REF!,#REF!,#REF!,#REF!</definedName>
    <definedName name="__APW_RESTORE_DATA85__" localSheetId="2" hidden="1">#REF!,#REF!,#REF!,#REF!,#REF!,#REF!,#REF!,#REF!,#REF!,#REF!,#REF!,#REF!,#REF!,#REF!,#REF!,#REF!</definedName>
    <definedName name="__APW_RESTORE_DATA85__" hidden="1">#REF!,#REF!,#REF!,#REF!,#REF!,#REF!,#REF!,#REF!,#REF!,#REF!,#REF!,#REF!,#REF!,#REF!,#REF!,#REF!</definedName>
    <definedName name="__APW_RESTORE_DATA850__" localSheetId="6" hidden="1">#REF!,#REF!,#REF!,#REF!,#REF!,#REF!,#REF!,#REF!,#REF!,#REF!,#REF!,#REF!,#REF!,#REF!,#REF!</definedName>
    <definedName name="__APW_RESTORE_DATA850__" localSheetId="9" hidden="1">#REF!,#REF!,#REF!,#REF!,#REF!,#REF!,#REF!,#REF!,#REF!,#REF!,#REF!,#REF!,#REF!,#REF!,#REF!</definedName>
    <definedName name="__APW_RESTORE_DATA850__" localSheetId="2" hidden="1">#REF!,#REF!,#REF!,#REF!,#REF!,#REF!,#REF!,#REF!,#REF!,#REF!,#REF!,#REF!,#REF!,#REF!,#REF!</definedName>
    <definedName name="__APW_RESTORE_DATA850__" hidden="1">#REF!,#REF!,#REF!,#REF!,#REF!,#REF!,#REF!,#REF!,#REF!,#REF!,#REF!,#REF!,#REF!,#REF!,#REF!</definedName>
    <definedName name="__APW_RESTORE_DATA851__" localSheetId="6" hidden="1">#REF!,#REF!,#REF!,#REF!,#REF!,#REF!,#REF!,#REF!,#REF!,#REF!,#REF!,#REF!,#REF!,#REF!,#REF!</definedName>
    <definedName name="__APW_RESTORE_DATA851__" localSheetId="9" hidden="1">#REF!,#REF!,#REF!,#REF!,#REF!,#REF!,#REF!,#REF!,#REF!,#REF!,#REF!,#REF!,#REF!,#REF!,#REF!</definedName>
    <definedName name="__APW_RESTORE_DATA851__" localSheetId="2" hidden="1">#REF!,#REF!,#REF!,#REF!,#REF!,#REF!,#REF!,#REF!,#REF!,#REF!,#REF!,#REF!,#REF!,#REF!,#REF!</definedName>
    <definedName name="__APW_RESTORE_DATA851__" hidden="1">#REF!,#REF!,#REF!,#REF!,#REF!,#REF!,#REF!,#REF!,#REF!,#REF!,#REF!,#REF!,#REF!,#REF!,#REF!</definedName>
    <definedName name="__APW_RESTORE_DATA852__" localSheetId="6" hidden="1">#REF!,#REF!,#REF!,#REF!,#REF!,#REF!,#REF!,#REF!,#REF!,#REF!,#REF!,#REF!,#REF!,#REF!,#REF!</definedName>
    <definedName name="__APW_RESTORE_DATA852__" localSheetId="9" hidden="1">#REF!,#REF!,#REF!,#REF!,#REF!,#REF!,#REF!,#REF!,#REF!,#REF!,#REF!,#REF!,#REF!,#REF!,#REF!</definedName>
    <definedName name="__APW_RESTORE_DATA852__" localSheetId="2" hidden="1">#REF!,#REF!,#REF!,#REF!,#REF!,#REF!,#REF!,#REF!,#REF!,#REF!,#REF!,#REF!,#REF!,#REF!,#REF!</definedName>
    <definedName name="__APW_RESTORE_DATA852__" hidden="1">#REF!,#REF!,#REF!,#REF!,#REF!,#REF!,#REF!,#REF!,#REF!,#REF!,#REF!,#REF!,#REF!,#REF!,#REF!</definedName>
    <definedName name="__APW_RESTORE_DATA853__" localSheetId="2" hidden="1">#REF!,#REF!,#REF!,#REF!,#REF!,#REF!,#REF!,#REF!,#REF!,#REF!,#REF!,#REF!,#REF!,#REF!,#REF!</definedName>
    <definedName name="__APW_RESTORE_DATA853__" hidden="1">#REF!,#REF!,#REF!,#REF!,#REF!,#REF!,#REF!,#REF!,#REF!,#REF!,#REF!,#REF!,#REF!,#REF!,#REF!</definedName>
    <definedName name="__APW_RESTORE_DATA854__" localSheetId="6" hidden="1">#REF!,#REF!,#REF!,#REF!,#REF!,#REF!,#REF!,#REF!,#REF!</definedName>
    <definedName name="__APW_RESTORE_DATA854__" localSheetId="9" hidden="1">#REF!,#REF!,#REF!,#REF!,#REF!,#REF!,#REF!,#REF!,#REF!</definedName>
    <definedName name="__APW_RESTORE_DATA854__" localSheetId="2" hidden="1">#REF!,#REF!,#REF!,#REF!,#REF!,#REF!,#REF!,#REF!,#REF!</definedName>
    <definedName name="__APW_RESTORE_DATA854__" hidden="1">#REF!,#REF!,#REF!,#REF!,#REF!,#REF!,#REF!,#REF!,#REF!</definedName>
    <definedName name="__APW_RESTORE_DATA855__" localSheetId="6" hidden="1">#REF!,#REF!,#REF!,#REF!,#REF!,#REF!,#REF!,#REF!,#REF!,#REF!,#REF!,#REF!,#REF!,#REF!,#REF!,#REF!,#REF!</definedName>
    <definedName name="__APW_RESTORE_DATA855__" localSheetId="9" hidden="1">#REF!,#REF!,#REF!,#REF!,#REF!,#REF!,#REF!,#REF!,#REF!,#REF!,#REF!,#REF!,#REF!,#REF!,#REF!,#REF!,#REF!</definedName>
    <definedName name="__APW_RESTORE_DATA855__" localSheetId="2" hidden="1">#REF!,#REF!,#REF!,#REF!,#REF!,#REF!,#REF!,#REF!,#REF!,#REF!,#REF!,#REF!,#REF!,#REF!,#REF!,#REF!,#REF!</definedName>
    <definedName name="__APW_RESTORE_DATA855__" hidden="1">#REF!,#REF!,#REF!,#REF!,#REF!,#REF!,#REF!,#REF!,#REF!,#REF!,#REF!,#REF!,#REF!,#REF!,#REF!,#REF!,#REF!</definedName>
    <definedName name="__APW_RESTORE_DATA856__" localSheetId="6" hidden="1">#REF!,#REF!,#REF!,#REF!,#REF!,#REF!,#REF!,#REF!,#REF!,#REF!,#REF!,#REF!,#REF!,#REF!,#REF!,#REF!</definedName>
    <definedName name="__APW_RESTORE_DATA856__" localSheetId="9" hidden="1">#REF!,#REF!,#REF!,#REF!,#REF!,#REF!,#REF!,#REF!,#REF!,#REF!,#REF!,#REF!,#REF!,#REF!,#REF!,#REF!</definedName>
    <definedName name="__APW_RESTORE_DATA856__" localSheetId="2" hidden="1">#REF!,#REF!,#REF!,#REF!,#REF!,#REF!,#REF!,#REF!,#REF!,#REF!,#REF!,#REF!,#REF!,#REF!,#REF!,#REF!</definedName>
    <definedName name="__APW_RESTORE_DATA856__" hidden="1">#REF!,#REF!,#REF!,#REF!,#REF!,#REF!,#REF!,#REF!,#REF!,#REF!,#REF!,#REF!,#REF!,#REF!,#REF!,#REF!</definedName>
    <definedName name="__APW_RESTORE_DATA857__" localSheetId="6" hidden="1">#REF!,#REF!,#REF!,#REF!,#REF!,#REF!,#REF!,#REF!,#REF!,#REF!,#REF!,#REF!,#REF!,#REF!,#REF!,#REF!</definedName>
    <definedName name="__APW_RESTORE_DATA857__" localSheetId="9" hidden="1">#REF!,#REF!,#REF!,#REF!,#REF!,#REF!,#REF!,#REF!,#REF!,#REF!,#REF!,#REF!,#REF!,#REF!,#REF!,#REF!</definedName>
    <definedName name="__APW_RESTORE_DATA857__" localSheetId="2" hidden="1">#REF!,#REF!,#REF!,#REF!,#REF!,#REF!,#REF!,#REF!,#REF!,#REF!,#REF!,#REF!,#REF!,#REF!,#REF!,#REF!</definedName>
    <definedName name="__APW_RESTORE_DATA857__" hidden="1">#REF!,#REF!,#REF!,#REF!,#REF!,#REF!,#REF!,#REF!,#REF!,#REF!,#REF!,#REF!,#REF!,#REF!,#REF!,#REF!</definedName>
    <definedName name="__APW_RESTORE_DATA858__" localSheetId="6" hidden="1">#REF!,#REF!,#REF!,#REF!,#REF!,#REF!,#REF!,#REF!,#REF!,#REF!,#REF!,#REF!,#REF!,#REF!,#REF!,#REF!</definedName>
    <definedName name="__APW_RESTORE_DATA858__" localSheetId="9" hidden="1">#REF!,#REF!,#REF!,#REF!,#REF!,#REF!,#REF!,#REF!,#REF!,#REF!,#REF!,#REF!,#REF!,#REF!,#REF!,#REF!</definedName>
    <definedName name="__APW_RESTORE_DATA858__" localSheetId="2" hidden="1">#REF!,#REF!,#REF!,#REF!,#REF!,#REF!,#REF!,#REF!,#REF!,#REF!,#REF!,#REF!,#REF!,#REF!,#REF!,#REF!</definedName>
    <definedName name="__APW_RESTORE_DATA858__" hidden="1">#REF!,#REF!,#REF!,#REF!,#REF!,#REF!,#REF!,#REF!,#REF!,#REF!,#REF!,#REF!,#REF!,#REF!,#REF!,#REF!</definedName>
    <definedName name="__APW_RESTORE_DATA859__" localSheetId="2" hidden="1">#REF!,#REF!,#REF!,#REF!,#REF!,#REF!,#REF!,#REF!,#REF!,#REF!,#REF!,#REF!,#REF!,#REF!,#REF!,#REF!</definedName>
    <definedName name="__APW_RESTORE_DATA859__" hidden="1">#REF!,#REF!,#REF!,#REF!,#REF!,#REF!,#REF!,#REF!,#REF!,#REF!,#REF!,#REF!,#REF!,#REF!,#REF!,#REF!</definedName>
    <definedName name="__APW_RESTORE_DATA86__" localSheetId="2" hidden="1">#REF!,#REF!,#REF!,#REF!,#REF!,#REF!,#REF!,#REF!,#REF!,#REF!,#REF!,#REF!,#REF!,#REF!,#REF!,#REF!</definedName>
    <definedName name="__APW_RESTORE_DATA86__" hidden="1">#REF!,#REF!,#REF!,#REF!,#REF!,#REF!,#REF!,#REF!,#REF!,#REF!,#REF!,#REF!,#REF!,#REF!,#REF!,#REF!</definedName>
    <definedName name="__APW_RESTORE_DATA860__" localSheetId="2" hidden="1">#REF!,#REF!,#REF!,#REF!,#REF!,#REF!,#REF!,#REF!,#REF!,#REF!,#REF!,#REF!,#REF!,#REF!,#REF!,#REF!</definedName>
    <definedName name="__APW_RESTORE_DATA860__" hidden="1">#REF!,#REF!,#REF!,#REF!,#REF!,#REF!,#REF!,#REF!,#REF!,#REF!,#REF!,#REF!,#REF!,#REF!,#REF!,#REF!</definedName>
    <definedName name="__APW_RESTORE_DATA861__" localSheetId="6" hidden="1">#REF!,#REF!,#REF!,#REF!,#REF!,#REF!,#REF!,#REF!,#REF!,#REF!,#REF!,#REF!,#REF!,#REF!,#REF!</definedName>
    <definedName name="__APW_RESTORE_DATA861__" localSheetId="9" hidden="1">#REF!,#REF!,#REF!,#REF!,#REF!,#REF!,#REF!,#REF!,#REF!,#REF!,#REF!,#REF!,#REF!,#REF!,#REF!</definedName>
    <definedName name="__APW_RESTORE_DATA861__" localSheetId="2" hidden="1">#REF!,#REF!,#REF!,#REF!,#REF!,#REF!,#REF!,#REF!,#REF!,#REF!,#REF!,#REF!,#REF!,#REF!,#REF!</definedName>
    <definedName name="__APW_RESTORE_DATA861__" hidden="1">#REF!,#REF!,#REF!,#REF!,#REF!,#REF!,#REF!,#REF!,#REF!,#REF!,#REF!,#REF!,#REF!,#REF!,#REF!</definedName>
    <definedName name="__APW_RESTORE_DATA862__" localSheetId="6" hidden="1">#REF!,#REF!,#REF!,#REF!,#REF!,#REF!,#REF!,#REF!,#REF!,#REF!,#REF!,#REF!,#REF!,#REF!,#REF!</definedName>
    <definedName name="__APW_RESTORE_DATA862__" localSheetId="9" hidden="1">#REF!,#REF!,#REF!,#REF!,#REF!,#REF!,#REF!,#REF!,#REF!,#REF!,#REF!,#REF!,#REF!,#REF!,#REF!</definedName>
    <definedName name="__APW_RESTORE_DATA862__" localSheetId="2" hidden="1">#REF!,#REF!,#REF!,#REF!,#REF!,#REF!,#REF!,#REF!,#REF!,#REF!,#REF!,#REF!,#REF!,#REF!,#REF!</definedName>
    <definedName name="__APW_RESTORE_DATA862__" hidden="1">#REF!,#REF!,#REF!,#REF!,#REF!,#REF!,#REF!,#REF!,#REF!,#REF!,#REF!,#REF!,#REF!,#REF!,#REF!</definedName>
    <definedName name="__APW_RESTORE_DATA863__" localSheetId="6" hidden="1">#REF!,#REF!,#REF!,#REF!,#REF!,#REF!,#REF!,#REF!,#REF!,#REF!,#REF!,#REF!,#REF!,#REF!,#REF!</definedName>
    <definedName name="__APW_RESTORE_DATA863__" localSheetId="9" hidden="1">#REF!,#REF!,#REF!,#REF!,#REF!,#REF!,#REF!,#REF!,#REF!,#REF!,#REF!,#REF!,#REF!,#REF!,#REF!</definedName>
    <definedName name="__APW_RESTORE_DATA863__" localSheetId="2" hidden="1">#REF!,#REF!,#REF!,#REF!,#REF!,#REF!,#REF!,#REF!,#REF!,#REF!,#REF!,#REF!,#REF!,#REF!,#REF!</definedName>
    <definedName name="__APW_RESTORE_DATA863__" hidden="1">#REF!,#REF!,#REF!,#REF!,#REF!,#REF!,#REF!,#REF!,#REF!,#REF!,#REF!,#REF!,#REF!,#REF!,#REF!</definedName>
    <definedName name="__APW_RESTORE_DATA864__" localSheetId="2" hidden="1">#REF!,#REF!,#REF!,#REF!,#REF!,#REF!,#REF!,#REF!,#REF!,#REF!,#REF!,#REF!,#REF!,#REF!,#REF!</definedName>
    <definedName name="__APW_RESTORE_DATA864__" hidden="1">#REF!,#REF!,#REF!,#REF!,#REF!,#REF!,#REF!,#REF!,#REF!,#REF!,#REF!,#REF!,#REF!,#REF!,#REF!</definedName>
    <definedName name="__APW_RESTORE_DATA865__" localSheetId="2" hidden="1">#REF!,#REF!,#REF!,#REF!,#REF!,#REF!,#REF!,#REF!,#REF!,#REF!,#REF!,#REF!,#REF!,#REF!,#REF!</definedName>
    <definedName name="__APW_RESTORE_DATA865__" hidden="1">#REF!,#REF!,#REF!,#REF!,#REF!,#REF!,#REF!,#REF!,#REF!,#REF!,#REF!,#REF!,#REF!,#REF!,#REF!</definedName>
    <definedName name="__APW_RESTORE_DATA866__" localSheetId="2" hidden="1">#REF!,#REF!,#REF!,#REF!,#REF!,#REF!,#REF!,#REF!,#REF!,#REF!,#REF!,#REF!,#REF!,#REF!,#REF!</definedName>
    <definedName name="__APW_RESTORE_DATA866__" hidden="1">#REF!,#REF!,#REF!,#REF!,#REF!,#REF!,#REF!,#REF!,#REF!,#REF!,#REF!,#REF!,#REF!,#REF!,#REF!</definedName>
    <definedName name="__APW_RESTORE_DATA867__" localSheetId="2" hidden="1">#REF!,#REF!,#REF!,#REF!,#REF!,#REF!,#REF!,#REF!,#REF!,#REF!,#REF!,#REF!,#REF!,#REF!,#REF!</definedName>
    <definedName name="__APW_RESTORE_DATA867__" hidden="1">#REF!,#REF!,#REF!,#REF!,#REF!,#REF!,#REF!,#REF!,#REF!,#REF!,#REF!,#REF!,#REF!,#REF!,#REF!</definedName>
    <definedName name="__APW_RESTORE_DATA868__" localSheetId="2" hidden="1">#REF!,#REF!,#REF!,#REF!,#REF!,#REF!,#REF!,#REF!,#REF!,#REF!,#REF!,#REF!,#REF!,#REF!,#REF!</definedName>
    <definedName name="__APW_RESTORE_DATA868__" hidden="1">#REF!,#REF!,#REF!,#REF!,#REF!,#REF!,#REF!,#REF!,#REF!,#REF!,#REF!,#REF!,#REF!,#REF!,#REF!</definedName>
    <definedName name="__APW_RESTORE_DATA869__" localSheetId="6" hidden="1">#REF!,#REF!,#REF!,#REF!,#REF!,#REF!,#REF!,#REF!,#REF!</definedName>
    <definedName name="__APW_RESTORE_DATA869__" localSheetId="9" hidden="1">#REF!,#REF!,#REF!,#REF!,#REF!,#REF!,#REF!,#REF!,#REF!</definedName>
    <definedName name="__APW_RESTORE_DATA869__" localSheetId="2" hidden="1">#REF!,#REF!,#REF!,#REF!,#REF!,#REF!,#REF!,#REF!,#REF!</definedName>
    <definedName name="__APW_RESTORE_DATA869__" hidden="1">#REF!,#REF!,#REF!,#REF!,#REF!,#REF!,#REF!,#REF!,#REF!</definedName>
    <definedName name="__APW_RESTORE_DATA87__" localSheetId="6" hidden="1">#REF!,#REF!,#REF!,#REF!,#REF!,#REF!,#REF!,#REF!,#REF!,#REF!,#REF!,#REF!,#REF!,#REF!,#REF!,#REF!</definedName>
    <definedName name="__APW_RESTORE_DATA87__" localSheetId="9" hidden="1">#REF!,#REF!,#REF!,#REF!,#REF!,#REF!,#REF!,#REF!,#REF!,#REF!,#REF!,#REF!,#REF!,#REF!,#REF!,#REF!</definedName>
    <definedName name="__APW_RESTORE_DATA87__" localSheetId="2" hidden="1">#REF!,#REF!,#REF!,#REF!,#REF!,#REF!,#REF!,#REF!,#REF!,#REF!,#REF!,#REF!,#REF!,#REF!,#REF!,#REF!</definedName>
    <definedName name="__APW_RESTORE_DATA87__" hidden="1">#REF!,#REF!,#REF!,#REF!,#REF!,#REF!,#REF!,#REF!,#REF!,#REF!,#REF!,#REF!,#REF!,#REF!,#REF!,#REF!</definedName>
    <definedName name="__APW_RESTORE_DATA870__" localSheetId="6" hidden="1">#REF!,#REF!,#REF!,#REF!,#REF!,#REF!,#REF!,#REF!,#REF!,#REF!,#REF!,#REF!,#REF!,#REF!,#REF!,#REF!,#REF!</definedName>
    <definedName name="__APW_RESTORE_DATA870__" localSheetId="9" hidden="1">#REF!,#REF!,#REF!,#REF!,#REF!,#REF!,#REF!,#REF!,#REF!,#REF!,#REF!,#REF!,#REF!,#REF!,#REF!,#REF!,#REF!</definedName>
    <definedName name="__APW_RESTORE_DATA870__" localSheetId="2" hidden="1">#REF!,#REF!,#REF!,#REF!,#REF!,#REF!,#REF!,#REF!,#REF!,#REF!,#REF!,#REF!,#REF!,#REF!,#REF!,#REF!,#REF!</definedName>
    <definedName name="__APW_RESTORE_DATA870__" hidden="1">#REF!,#REF!,#REF!,#REF!,#REF!,#REF!,#REF!,#REF!,#REF!,#REF!,#REF!,#REF!,#REF!,#REF!,#REF!,#REF!,#REF!</definedName>
    <definedName name="__APW_RESTORE_DATA871__" localSheetId="6" hidden="1">#REF!,#REF!,#REF!,#REF!,#REF!,#REF!,#REF!,#REF!,#REF!,#REF!,#REF!,#REF!,#REF!,#REF!,#REF!,#REF!</definedName>
    <definedName name="__APW_RESTORE_DATA871__" localSheetId="9" hidden="1">#REF!,#REF!,#REF!,#REF!,#REF!,#REF!,#REF!,#REF!,#REF!,#REF!,#REF!,#REF!,#REF!,#REF!,#REF!,#REF!</definedName>
    <definedName name="__APW_RESTORE_DATA871__" localSheetId="2" hidden="1">#REF!,#REF!,#REF!,#REF!,#REF!,#REF!,#REF!,#REF!,#REF!,#REF!,#REF!,#REF!,#REF!,#REF!,#REF!,#REF!</definedName>
    <definedName name="__APW_RESTORE_DATA871__" hidden="1">#REF!,#REF!,#REF!,#REF!,#REF!,#REF!,#REF!,#REF!,#REF!,#REF!,#REF!,#REF!,#REF!,#REF!,#REF!,#REF!</definedName>
    <definedName name="__APW_RESTORE_DATA872__" localSheetId="6" hidden="1">#REF!,#REF!,#REF!,#REF!,#REF!,#REF!,#REF!,#REF!,#REF!,#REF!,#REF!,#REF!,#REF!,#REF!,#REF!,#REF!</definedName>
    <definedName name="__APW_RESTORE_DATA872__" localSheetId="9" hidden="1">#REF!,#REF!,#REF!,#REF!,#REF!,#REF!,#REF!,#REF!,#REF!,#REF!,#REF!,#REF!,#REF!,#REF!,#REF!,#REF!</definedName>
    <definedName name="__APW_RESTORE_DATA872__" localSheetId="2" hidden="1">#REF!,#REF!,#REF!,#REF!,#REF!,#REF!,#REF!,#REF!,#REF!,#REF!,#REF!,#REF!,#REF!,#REF!,#REF!,#REF!</definedName>
    <definedName name="__APW_RESTORE_DATA872__" hidden="1">#REF!,#REF!,#REF!,#REF!,#REF!,#REF!,#REF!,#REF!,#REF!,#REF!,#REF!,#REF!,#REF!,#REF!,#REF!,#REF!</definedName>
    <definedName name="__APW_RESTORE_DATA873__" localSheetId="6" hidden="1">#REF!,#REF!,#REF!,#REF!,#REF!,#REF!,#REF!,#REF!,#REF!,#REF!,#REF!,#REF!,#REF!,#REF!,#REF!,#REF!</definedName>
    <definedName name="__APW_RESTORE_DATA873__" localSheetId="9" hidden="1">#REF!,#REF!,#REF!,#REF!,#REF!,#REF!,#REF!,#REF!,#REF!,#REF!,#REF!,#REF!,#REF!,#REF!,#REF!,#REF!</definedName>
    <definedName name="__APW_RESTORE_DATA873__" localSheetId="2" hidden="1">#REF!,#REF!,#REF!,#REF!,#REF!,#REF!,#REF!,#REF!,#REF!,#REF!,#REF!,#REF!,#REF!,#REF!,#REF!,#REF!</definedName>
    <definedName name="__APW_RESTORE_DATA873__" hidden="1">#REF!,#REF!,#REF!,#REF!,#REF!,#REF!,#REF!,#REF!,#REF!,#REF!,#REF!,#REF!,#REF!,#REF!,#REF!,#REF!</definedName>
    <definedName name="__APW_RESTORE_DATA874__" localSheetId="2" hidden="1">#REF!,#REF!,#REF!,#REF!,#REF!,#REF!,#REF!,#REF!,#REF!,#REF!,#REF!,#REF!,#REF!,#REF!,#REF!,#REF!</definedName>
    <definedName name="__APW_RESTORE_DATA874__" hidden="1">#REF!,#REF!,#REF!,#REF!,#REF!,#REF!,#REF!,#REF!,#REF!,#REF!,#REF!,#REF!,#REF!,#REF!,#REF!,#REF!</definedName>
    <definedName name="__APW_RESTORE_DATA875__" localSheetId="2" hidden="1">#REF!,#REF!,#REF!,#REF!,#REF!,#REF!,#REF!,#REF!,#REF!,#REF!,#REF!,#REF!,#REF!,#REF!,#REF!,#REF!</definedName>
    <definedName name="__APW_RESTORE_DATA875__" hidden="1">#REF!,#REF!,#REF!,#REF!,#REF!,#REF!,#REF!,#REF!,#REF!,#REF!,#REF!,#REF!,#REF!,#REF!,#REF!,#REF!</definedName>
    <definedName name="__APW_RESTORE_DATA876__" localSheetId="6" hidden="1">#REF!,#REF!,#REF!,#REF!,#REF!,#REF!,#REF!,#REF!,#REF!,#REF!,#REF!,#REF!,#REF!,#REF!,#REF!</definedName>
    <definedName name="__APW_RESTORE_DATA876__" localSheetId="9" hidden="1">#REF!,#REF!,#REF!,#REF!,#REF!,#REF!,#REF!,#REF!,#REF!,#REF!,#REF!,#REF!,#REF!,#REF!,#REF!</definedName>
    <definedName name="__APW_RESTORE_DATA876__" localSheetId="2" hidden="1">#REF!,#REF!,#REF!,#REF!,#REF!,#REF!,#REF!,#REF!,#REF!,#REF!,#REF!,#REF!,#REF!,#REF!,#REF!</definedName>
    <definedName name="__APW_RESTORE_DATA876__" hidden="1">#REF!,#REF!,#REF!,#REF!,#REF!,#REF!,#REF!,#REF!,#REF!,#REF!,#REF!,#REF!,#REF!,#REF!,#REF!</definedName>
    <definedName name="__APW_RESTORE_DATA877__" localSheetId="6" hidden="1">#REF!,#REF!,#REF!,#REF!,#REF!,#REF!,#REF!,#REF!,#REF!,#REF!,#REF!,#REF!,#REF!,#REF!,#REF!</definedName>
    <definedName name="__APW_RESTORE_DATA877__" localSheetId="9" hidden="1">#REF!,#REF!,#REF!,#REF!,#REF!,#REF!,#REF!,#REF!,#REF!,#REF!,#REF!,#REF!,#REF!,#REF!,#REF!</definedName>
    <definedName name="__APW_RESTORE_DATA877__" localSheetId="2" hidden="1">#REF!,#REF!,#REF!,#REF!,#REF!,#REF!,#REF!,#REF!,#REF!,#REF!,#REF!,#REF!,#REF!,#REF!,#REF!</definedName>
    <definedName name="__APW_RESTORE_DATA877__" hidden="1">#REF!,#REF!,#REF!,#REF!,#REF!,#REF!,#REF!,#REF!,#REF!,#REF!,#REF!,#REF!,#REF!,#REF!,#REF!</definedName>
    <definedName name="__APW_RESTORE_DATA878__" localSheetId="6" hidden="1">#REF!,#REF!,#REF!,#REF!,#REF!,#REF!,#REF!,#REF!,#REF!,#REF!,#REF!,#REF!,#REF!,#REF!,#REF!</definedName>
    <definedName name="__APW_RESTORE_DATA878__" localSheetId="9" hidden="1">#REF!,#REF!,#REF!,#REF!,#REF!,#REF!,#REF!,#REF!,#REF!,#REF!,#REF!,#REF!,#REF!,#REF!,#REF!</definedName>
    <definedName name="__APW_RESTORE_DATA878__" localSheetId="2" hidden="1">#REF!,#REF!,#REF!,#REF!,#REF!,#REF!,#REF!,#REF!,#REF!,#REF!,#REF!,#REF!,#REF!,#REF!,#REF!</definedName>
    <definedName name="__APW_RESTORE_DATA878__" hidden="1">#REF!,#REF!,#REF!,#REF!,#REF!,#REF!,#REF!,#REF!,#REF!,#REF!,#REF!,#REF!,#REF!,#REF!,#REF!</definedName>
    <definedName name="__APW_RESTORE_DATA879__" localSheetId="2" hidden="1">#REF!,#REF!,#REF!,#REF!,#REF!,#REF!,#REF!,#REF!,#REF!,#REF!,#REF!,#REF!,#REF!,#REF!,#REF!</definedName>
    <definedName name="__APW_RESTORE_DATA879__" hidden="1">#REF!,#REF!,#REF!,#REF!,#REF!,#REF!,#REF!,#REF!,#REF!,#REF!,#REF!,#REF!,#REF!,#REF!,#REF!</definedName>
    <definedName name="__APW_RESTORE_DATA88__" localSheetId="6" hidden="1">#REF!,#REF!,#REF!,#REF!,#REF!,#REF!,#REF!,#REF!,#REF!,#REF!,#REF!,#REF!,#REF!,#REF!,#REF!,#REF!</definedName>
    <definedName name="__APW_RESTORE_DATA88__" localSheetId="9" hidden="1">#REF!,#REF!,#REF!,#REF!,#REF!,#REF!,#REF!,#REF!,#REF!,#REF!,#REF!,#REF!,#REF!,#REF!,#REF!,#REF!</definedName>
    <definedName name="__APW_RESTORE_DATA88__" localSheetId="2" hidden="1">#REF!,#REF!,#REF!,#REF!,#REF!,#REF!,#REF!,#REF!,#REF!,#REF!,#REF!,#REF!,#REF!,#REF!,#REF!,#REF!</definedName>
    <definedName name="__APW_RESTORE_DATA88__" hidden="1">#REF!,#REF!,#REF!,#REF!,#REF!,#REF!,#REF!,#REF!,#REF!,#REF!,#REF!,#REF!,#REF!,#REF!,#REF!,#REF!</definedName>
    <definedName name="__APW_RESTORE_DATA880__" localSheetId="6" hidden="1">#REF!,#REF!,#REF!,#REF!,#REF!,#REF!,#REF!,#REF!,#REF!,#REF!,#REF!,#REF!,#REF!,#REF!,#REF!</definedName>
    <definedName name="__APW_RESTORE_DATA880__" localSheetId="9" hidden="1">#REF!,#REF!,#REF!,#REF!,#REF!,#REF!,#REF!,#REF!,#REF!,#REF!,#REF!,#REF!,#REF!,#REF!,#REF!</definedName>
    <definedName name="__APW_RESTORE_DATA880__" localSheetId="2" hidden="1">#REF!,#REF!,#REF!,#REF!,#REF!,#REF!,#REF!,#REF!,#REF!,#REF!,#REF!,#REF!,#REF!,#REF!,#REF!</definedName>
    <definedName name="__APW_RESTORE_DATA880__" hidden="1">#REF!,#REF!,#REF!,#REF!,#REF!,#REF!,#REF!,#REF!,#REF!,#REF!,#REF!,#REF!,#REF!,#REF!,#REF!</definedName>
    <definedName name="__APW_RESTORE_DATA881__" localSheetId="6" hidden="1">#REF!,#REF!,#REF!,#REF!,#REF!,#REF!,#REF!,#REF!,#REF!,#REF!,#REF!,#REF!,#REF!,#REF!,#REF!</definedName>
    <definedName name="__APW_RESTORE_DATA881__" localSheetId="9" hidden="1">#REF!,#REF!,#REF!,#REF!,#REF!,#REF!,#REF!,#REF!,#REF!,#REF!,#REF!,#REF!,#REF!,#REF!,#REF!</definedName>
    <definedName name="__APW_RESTORE_DATA881__" localSheetId="2" hidden="1">#REF!,#REF!,#REF!,#REF!,#REF!,#REF!,#REF!,#REF!,#REF!,#REF!,#REF!,#REF!,#REF!,#REF!,#REF!</definedName>
    <definedName name="__APW_RESTORE_DATA881__" hidden="1">#REF!,#REF!,#REF!,#REF!,#REF!,#REF!,#REF!,#REF!,#REF!,#REF!,#REF!,#REF!,#REF!,#REF!,#REF!</definedName>
    <definedName name="__APW_RESTORE_DATA882__" localSheetId="6" hidden="1">#REF!,#REF!,#REF!,#REF!,#REF!,#REF!,#REF!,#REF!,#REF!,#REF!,#REF!,#REF!,#REF!,#REF!,#REF!</definedName>
    <definedName name="__APW_RESTORE_DATA882__" localSheetId="9" hidden="1">#REF!,#REF!,#REF!,#REF!,#REF!,#REF!,#REF!,#REF!,#REF!,#REF!,#REF!,#REF!,#REF!,#REF!,#REF!</definedName>
    <definedName name="__APW_RESTORE_DATA882__" localSheetId="2" hidden="1">#REF!,#REF!,#REF!,#REF!,#REF!,#REF!,#REF!,#REF!,#REF!,#REF!,#REF!,#REF!,#REF!,#REF!,#REF!</definedName>
    <definedName name="__APW_RESTORE_DATA882__" hidden="1">#REF!,#REF!,#REF!,#REF!,#REF!,#REF!,#REF!,#REF!,#REF!,#REF!,#REF!,#REF!,#REF!,#REF!,#REF!</definedName>
    <definedName name="__APW_RESTORE_DATA883__" localSheetId="2" hidden="1">#REF!,#REF!,#REF!,#REF!,#REF!,#REF!,#REF!,#REF!,#REF!,#REF!,#REF!,#REF!,#REF!,#REF!,#REF!</definedName>
    <definedName name="__APW_RESTORE_DATA883__" hidden="1">#REF!,#REF!,#REF!,#REF!,#REF!,#REF!,#REF!,#REF!,#REF!,#REF!,#REF!,#REF!,#REF!,#REF!,#REF!</definedName>
    <definedName name="__APW_RESTORE_DATA884__" localSheetId="6" hidden="1">#REF!,#REF!,#REF!,#REF!,#REF!,#REF!,#REF!,#REF!,#REF!</definedName>
    <definedName name="__APW_RESTORE_DATA884__" localSheetId="9" hidden="1">#REF!,#REF!,#REF!,#REF!,#REF!,#REF!,#REF!,#REF!,#REF!</definedName>
    <definedName name="__APW_RESTORE_DATA884__" localSheetId="2" hidden="1">#REF!,#REF!,#REF!,#REF!,#REF!,#REF!,#REF!,#REF!,#REF!</definedName>
    <definedName name="__APW_RESTORE_DATA884__" hidden="1">#REF!,#REF!,#REF!,#REF!,#REF!,#REF!,#REF!,#REF!,#REF!</definedName>
    <definedName name="__APW_RESTORE_DATA885__" localSheetId="6" hidden="1">#REF!,#REF!,#REF!,#REF!,#REF!,#REF!,#REF!,#REF!,#REF!,#REF!,#REF!,#REF!,#REF!,#REF!,#REF!,#REF!,#REF!</definedName>
    <definedName name="__APW_RESTORE_DATA885__" localSheetId="9" hidden="1">#REF!,#REF!,#REF!,#REF!,#REF!,#REF!,#REF!,#REF!,#REF!,#REF!,#REF!,#REF!,#REF!,#REF!,#REF!,#REF!,#REF!</definedName>
    <definedName name="__APW_RESTORE_DATA885__" localSheetId="2" hidden="1">#REF!,#REF!,#REF!,#REF!,#REF!,#REF!,#REF!,#REF!,#REF!,#REF!,#REF!,#REF!,#REF!,#REF!,#REF!,#REF!,#REF!</definedName>
    <definedName name="__APW_RESTORE_DATA885__" hidden="1">#REF!,#REF!,#REF!,#REF!,#REF!,#REF!,#REF!,#REF!,#REF!,#REF!,#REF!,#REF!,#REF!,#REF!,#REF!,#REF!,#REF!</definedName>
    <definedName name="__APW_RESTORE_DATA886__" localSheetId="6" hidden="1">#REF!,#REF!,#REF!,#REF!,#REF!,#REF!,#REF!,#REF!,#REF!,#REF!,#REF!,#REF!,#REF!,#REF!,#REF!,#REF!</definedName>
    <definedName name="__APW_RESTORE_DATA886__" localSheetId="9" hidden="1">#REF!,#REF!,#REF!,#REF!,#REF!,#REF!,#REF!,#REF!,#REF!,#REF!,#REF!,#REF!,#REF!,#REF!,#REF!,#REF!</definedName>
    <definedName name="__APW_RESTORE_DATA886__" localSheetId="2" hidden="1">#REF!,#REF!,#REF!,#REF!,#REF!,#REF!,#REF!,#REF!,#REF!,#REF!,#REF!,#REF!,#REF!,#REF!,#REF!,#REF!</definedName>
    <definedName name="__APW_RESTORE_DATA886__" hidden="1">#REF!,#REF!,#REF!,#REF!,#REF!,#REF!,#REF!,#REF!,#REF!,#REF!,#REF!,#REF!,#REF!,#REF!,#REF!,#REF!</definedName>
    <definedName name="__APW_RESTORE_DATA887__" localSheetId="6" hidden="1">#REF!,#REF!,#REF!,#REF!,#REF!,#REF!,#REF!,#REF!,#REF!,#REF!,#REF!,#REF!,#REF!,#REF!,#REF!,#REF!</definedName>
    <definedName name="__APW_RESTORE_DATA887__" localSheetId="9" hidden="1">#REF!,#REF!,#REF!,#REF!,#REF!,#REF!,#REF!,#REF!,#REF!,#REF!,#REF!,#REF!,#REF!,#REF!,#REF!,#REF!</definedName>
    <definedName name="__APW_RESTORE_DATA887__" localSheetId="2" hidden="1">#REF!,#REF!,#REF!,#REF!,#REF!,#REF!,#REF!,#REF!,#REF!,#REF!,#REF!,#REF!,#REF!,#REF!,#REF!,#REF!</definedName>
    <definedName name="__APW_RESTORE_DATA887__" hidden="1">#REF!,#REF!,#REF!,#REF!,#REF!,#REF!,#REF!,#REF!,#REF!,#REF!,#REF!,#REF!,#REF!,#REF!,#REF!,#REF!</definedName>
    <definedName name="__APW_RESTORE_DATA888__" localSheetId="6" hidden="1">#REF!,#REF!,#REF!,#REF!,#REF!,#REF!,#REF!,#REF!,#REF!,#REF!,#REF!,#REF!,#REF!,#REF!,#REF!,#REF!</definedName>
    <definedName name="__APW_RESTORE_DATA888__" localSheetId="9" hidden="1">#REF!,#REF!,#REF!,#REF!,#REF!,#REF!,#REF!,#REF!,#REF!,#REF!,#REF!,#REF!,#REF!,#REF!,#REF!,#REF!</definedName>
    <definedName name="__APW_RESTORE_DATA888__" localSheetId="2" hidden="1">#REF!,#REF!,#REF!,#REF!,#REF!,#REF!,#REF!,#REF!,#REF!,#REF!,#REF!,#REF!,#REF!,#REF!,#REF!,#REF!</definedName>
    <definedName name="__APW_RESTORE_DATA888__" hidden="1">#REF!,#REF!,#REF!,#REF!,#REF!,#REF!,#REF!,#REF!,#REF!,#REF!,#REF!,#REF!,#REF!,#REF!,#REF!,#REF!</definedName>
    <definedName name="__APW_RESTORE_DATA889__" localSheetId="2" hidden="1">#REF!,#REF!,#REF!,#REF!,#REF!,#REF!,#REF!,#REF!,#REF!,#REF!,#REF!,#REF!,#REF!,#REF!,#REF!,#REF!</definedName>
    <definedName name="__APW_RESTORE_DATA889__" hidden="1">#REF!,#REF!,#REF!,#REF!,#REF!,#REF!,#REF!,#REF!,#REF!,#REF!,#REF!,#REF!,#REF!,#REF!,#REF!,#REF!</definedName>
    <definedName name="__APW_RESTORE_DATA89__" localSheetId="2" hidden="1">#REF!,#REF!,#REF!,#REF!,#REF!,#REF!,#REF!,#REF!,#REF!,#REF!,#REF!,#REF!,#REF!,#REF!,#REF!,#REF!</definedName>
    <definedName name="__APW_RESTORE_DATA89__" hidden="1">#REF!,#REF!,#REF!,#REF!,#REF!,#REF!,#REF!,#REF!,#REF!,#REF!,#REF!,#REF!,#REF!,#REF!,#REF!,#REF!</definedName>
    <definedName name="__APW_RESTORE_DATA890__" localSheetId="2" hidden="1">#REF!,#REF!,#REF!,#REF!,#REF!,#REF!,#REF!,#REF!,#REF!,#REF!,#REF!,#REF!,#REF!,#REF!,#REF!,#REF!</definedName>
    <definedName name="__APW_RESTORE_DATA890__" hidden="1">#REF!,#REF!,#REF!,#REF!,#REF!,#REF!,#REF!,#REF!,#REF!,#REF!,#REF!,#REF!,#REF!,#REF!,#REF!,#REF!</definedName>
    <definedName name="__APW_RESTORE_DATA891__" localSheetId="6" hidden="1">#REF!,#REF!,#REF!,#REF!,#REF!,#REF!,#REF!,#REF!,#REF!,#REF!,#REF!,#REF!,#REF!,#REF!,#REF!</definedName>
    <definedName name="__APW_RESTORE_DATA891__" localSheetId="9" hidden="1">#REF!,#REF!,#REF!,#REF!,#REF!,#REF!,#REF!,#REF!,#REF!,#REF!,#REF!,#REF!,#REF!,#REF!,#REF!</definedName>
    <definedName name="__APW_RESTORE_DATA891__" localSheetId="2" hidden="1">#REF!,#REF!,#REF!,#REF!,#REF!,#REF!,#REF!,#REF!,#REF!,#REF!,#REF!,#REF!,#REF!,#REF!,#REF!</definedName>
    <definedName name="__APW_RESTORE_DATA891__" hidden="1">#REF!,#REF!,#REF!,#REF!,#REF!,#REF!,#REF!,#REF!,#REF!,#REF!,#REF!,#REF!,#REF!,#REF!,#REF!</definedName>
    <definedName name="__APW_RESTORE_DATA892__" localSheetId="6" hidden="1">#REF!,#REF!,#REF!,#REF!,#REF!,#REF!,#REF!,#REF!,#REF!,#REF!,#REF!,#REF!,#REF!,#REF!,#REF!</definedName>
    <definedName name="__APW_RESTORE_DATA892__" localSheetId="9" hidden="1">#REF!,#REF!,#REF!,#REF!,#REF!,#REF!,#REF!,#REF!,#REF!,#REF!,#REF!,#REF!,#REF!,#REF!,#REF!</definedName>
    <definedName name="__APW_RESTORE_DATA892__" localSheetId="2" hidden="1">#REF!,#REF!,#REF!,#REF!,#REF!,#REF!,#REF!,#REF!,#REF!,#REF!,#REF!,#REF!,#REF!,#REF!,#REF!</definedName>
    <definedName name="__APW_RESTORE_DATA892__" hidden="1">#REF!,#REF!,#REF!,#REF!,#REF!,#REF!,#REF!,#REF!,#REF!,#REF!,#REF!,#REF!,#REF!,#REF!,#REF!</definedName>
    <definedName name="__APW_RESTORE_DATA893__" localSheetId="6" hidden="1">#REF!,#REF!,#REF!,#REF!,#REF!,#REF!,#REF!,#REF!,#REF!,#REF!,#REF!,#REF!,#REF!,#REF!,#REF!</definedName>
    <definedName name="__APW_RESTORE_DATA893__" localSheetId="9" hidden="1">#REF!,#REF!,#REF!,#REF!,#REF!,#REF!,#REF!,#REF!,#REF!,#REF!,#REF!,#REF!,#REF!,#REF!,#REF!</definedName>
    <definedName name="__APW_RESTORE_DATA893__" localSheetId="2" hidden="1">#REF!,#REF!,#REF!,#REF!,#REF!,#REF!,#REF!,#REF!,#REF!,#REF!,#REF!,#REF!,#REF!,#REF!,#REF!</definedName>
    <definedName name="__APW_RESTORE_DATA893__" hidden="1">#REF!,#REF!,#REF!,#REF!,#REF!,#REF!,#REF!,#REF!,#REF!,#REF!,#REF!,#REF!,#REF!,#REF!,#REF!</definedName>
    <definedName name="__APW_RESTORE_DATA894__" localSheetId="2" hidden="1">#REF!,#REF!,#REF!,#REF!,#REF!,#REF!,#REF!,#REF!,#REF!,#REF!,#REF!,#REF!,#REF!,#REF!,#REF!</definedName>
    <definedName name="__APW_RESTORE_DATA894__" hidden="1">#REF!,#REF!,#REF!,#REF!,#REF!,#REF!,#REF!,#REF!,#REF!,#REF!,#REF!,#REF!,#REF!,#REF!,#REF!</definedName>
    <definedName name="__APW_RESTORE_DATA895__" localSheetId="2" hidden="1">#REF!,#REF!,#REF!,#REF!,#REF!,#REF!,#REF!,#REF!,#REF!,#REF!,#REF!,#REF!,#REF!,#REF!,#REF!</definedName>
    <definedName name="__APW_RESTORE_DATA895__" hidden="1">#REF!,#REF!,#REF!,#REF!,#REF!,#REF!,#REF!,#REF!,#REF!,#REF!,#REF!,#REF!,#REF!,#REF!,#REF!</definedName>
    <definedName name="__APW_RESTORE_DATA896__" localSheetId="2" hidden="1">#REF!,#REF!,#REF!,#REF!,#REF!,#REF!,#REF!,#REF!,#REF!,#REF!,#REF!,#REF!,#REF!,#REF!,#REF!</definedName>
    <definedName name="__APW_RESTORE_DATA896__" hidden="1">#REF!,#REF!,#REF!,#REF!,#REF!,#REF!,#REF!,#REF!,#REF!,#REF!,#REF!,#REF!,#REF!,#REF!,#REF!</definedName>
    <definedName name="__APW_RESTORE_DATA897__" localSheetId="2" hidden="1">#REF!,#REF!,#REF!,#REF!,#REF!,#REF!,#REF!,#REF!,#REF!,#REF!,#REF!,#REF!,#REF!,#REF!,#REF!</definedName>
    <definedName name="__APW_RESTORE_DATA897__" hidden="1">#REF!,#REF!,#REF!,#REF!,#REF!,#REF!,#REF!,#REF!,#REF!,#REF!,#REF!,#REF!,#REF!,#REF!,#REF!</definedName>
    <definedName name="__APW_RESTORE_DATA898__" localSheetId="2" hidden="1">#REF!,#REF!,#REF!,#REF!,#REF!,#REF!,#REF!,#REF!,#REF!,#REF!,#REF!,#REF!,#REF!,#REF!,#REF!</definedName>
    <definedName name="__APW_RESTORE_DATA898__" hidden="1">#REF!,#REF!,#REF!,#REF!,#REF!,#REF!,#REF!,#REF!,#REF!,#REF!,#REF!,#REF!,#REF!,#REF!,#REF!</definedName>
    <definedName name="__APW_RESTORE_DATA899__" localSheetId="6" hidden="1">#REF!,#REF!,#REF!,#REF!,#REF!,#REF!,#REF!,#REF!,#REF!</definedName>
    <definedName name="__APW_RESTORE_DATA899__" localSheetId="9" hidden="1">#REF!,#REF!,#REF!,#REF!,#REF!,#REF!,#REF!,#REF!,#REF!</definedName>
    <definedName name="__APW_RESTORE_DATA899__" localSheetId="2" hidden="1">#REF!,#REF!,#REF!,#REF!,#REF!,#REF!,#REF!,#REF!,#REF!</definedName>
    <definedName name="__APW_RESTORE_DATA899__" hidden="1">#REF!,#REF!,#REF!,#REF!,#REF!,#REF!,#REF!,#REF!,#REF!</definedName>
    <definedName name="__APW_RESTORE_DATA9__" localSheetId="6" hidden="1">#REF!,#REF!,#REF!,#REF!,#REF!,#REF!,#REF!,#REF!,#REF!,#REF!,#REF!,#REF!,#REF!,#REF!,#REF!</definedName>
    <definedName name="__APW_RESTORE_DATA9__" localSheetId="9" hidden="1">#REF!,#REF!,#REF!,#REF!,#REF!,#REF!,#REF!,#REF!,#REF!,#REF!,#REF!,#REF!,#REF!,#REF!,#REF!</definedName>
    <definedName name="__APW_RESTORE_DATA9__" localSheetId="2" hidden="1">#REF!,#REF!,#REF!,#REF!,#REF!,#REF!,#REF!,#REF!,#REF!,#REF!,#REF!,#REF!,#REF!,#REF!,#REF!</definedName>
    <definedName name="__APW_RESTORE_DATA9__" hidden="1">#REF!,#REF!,#REF!,#REF!,#REF!,#REF!,#REF!,#REF!,#REF!,#REF!,#REF!,#REF!,#REF!,#REF!,#REF!</definedName>
    <definedName name="__APW_RESTORE_DATA90__" localSheetId="6" hidden="1">#REF!,#REF!,#REF!,#REF!,#REF!,#REF!,#REF!,#REF!,#REF!,#REF!,#REF!,#REF!,#REF!,#REF!,#REF!</definedName>
    <definedName name="__APW_RESTORE_DATA90__" localSheetId="9" hidden="1">#REF!,#REF!,#REF!,#REF!,#REF!,#REF!,#REF!,#REF!,#REF!,#REF!,#REF!,#REF!,#REF!,#REF!,#REF!</definedName>
    <definedName name="__APW_RESTORE_DATA90__" localSheetId="2" hidden="1">#REF!,#REF!,#REF!,#REF!,#REF!,#REF!,#REF!,#REF!,#REF!,#REF!,#REF!,#REF!,#REF!,#REF!,#REF!</definedName>
    <definedName name="__APW_RESTORE_DATA90__" hidden="1">#REF!,#REF!,#REF!,#REF!,#REF!,#REF!,#REF!,#REF!,#REF!,#REF!,#REF!,#REF!,#REF!,#REF!,#REF!</definedName>
    <definedName name="__APW_RESTORE_DATA900__" localSheetId="6" hidden="1">#REF!,#REF!,#REF!,#REF!,#REF!,#REF!,#REF!,#REF!,#REF!,#REF!,#REF!,#REF!,#REF!,#REF!,#REF!,#REF!,#REF!</definedName>
    <definedName name="__APW_RESTORE_DATA900__" localSheetId="9" hidden="1">#REF!,#REF!,#REF!,#REF!,#REF!,#REF!,#REF!,#REF!,#REF!,#REF!,#REF!,#REF!,#REF!,#REF!,#REF!,#REF!,#REF!</definedName>
    <definedName name="__APW_RESTORE_DATA900__" localSheetId="2" hidden="1">#REF!,#REF!,#REF!,#REF!,#REF!,#REF!,#REF!,#REF!,#REF!,#REF!,#REF!,#REF!,#REF!,#REF!,#REF!,#REF!,#REF!</definedName>
    <definedName name="__APW_RESTORE_DATA900__" hidden="1">#REF!,#REF!,#REF!,#REF!,#REF!,#REF!,#REF!,#REF!,#REF!,#REF!,#REF!,#REF!,#REF!,#REF!,#REF!,#REF!,#REF!</definedName>
    <definedName name="__APW_RESTORE_DATA901__" localSheetId="6" hidden="1">#REF!,#REF!,#REF!,#REF!,#REF!,#REF!,#REF!,#REF!,#REF!,#REF!,#REF!,#REF!,#REF!,#REF!,#REF!,#REF!</definedName>
    <definedName name="__APW_RESTORE_DATA901__" localSheetId="9" hidden="1">#REF!,#REF!,#REF!,#REF!,#REF!,#REF!,#REF!,#REF!,#REF!,#REF!,#REF!,#REF!,#REF!,#REF!,#REF!,#REF!</definedName>
    <definedName name="__APW_RESTORE_DATA901__" localSheetId="2" hidden="1">#REF!,#REF!,#REF!,#REF!,#REF!,#REF!,#REF!,#REF!,#REF!,#REF!,#REF!,#REF!,#REF!,#REF!,#REF!,#REF!</definedName>
    <definedName name="__APW_RESTORE_DATA901__" hidden="1">#REF!,#REF!,#REF!,#REF!,#REF!,#REF!,#REF!,#REF!,#REF!,#REF!,#REF!,#REF!,#REF!,#REF!,#REF!,#REF!</definedName>
    <definedName name="__APW_RESTORE_DATA902__" localSheetId="6" hidden="1">#REF!,#REF!,#REF!,#REF!,#REF!,#REF!,#REF!,#REF!,#REF!,#REF!,#REF!,#REF!,#REF!,#REF!,#REF!,#REF!</definedName>
    <definedName name="__APW_RESTORE_DATA902__" localSheetId="9" hidden="1">#REF!,#REF!,#REF!,#REF!,#REF!,#REF!,#REF!,#REF!,#REF!,#REF!,#REF!,#REF!,#REF!,#REF!,#REF!,#REF!</definedName>
    <definedName name="__APW_RESTORE_DATA902__" localSheetId="2" hidden="1">#REF!,#REF!,#REF!,#REF!,#REF!,#REF!,#REF!,#REF!,#REF!,#REF!,#REF!,#REF!,#REF!,#REF!,#REF!,#REF!</definedName>
    <definedName name="__APW_RESTORE_DATA902__" hidden="1">#REF!,#REF!,#REF!,#REF!,#REF!,#REF!,#REF!,#REF!,#REF!,#REF!,#REF!,#REF!,#REF!,#REF!,#REF!,#REF!</definedName>
    <definedName name="__APW_RESTORE_DATA903__" localSheetId="6" hidden="1">#REF!,#REF!,#REF!,#REF!,#REF!,#REF!,#REF!,#REF!,#REF!,#REF!,#REF!,#REF!,#REF!,#REF!,#REF!,#REF!</definedName>
    <definedName name="__APW_RESTORE_DATA903__" localSheetId="9" hidden="1">#REF!,#REF!,#REF!,#REF!,#REF!,#REF!,#REF!,#REF!,#REF!,#REF!,#REF!,#REF!,#REF!,#REF!,#REF!,#REF!</definedName>
    <definedName name="__APW_RESTORE_DATA903__" localSheetId="2" hidden="1">#REF!,#REF!,#REF!,#REF!,#REF!,#REF!,#REF!,#REF!,#REF!,#REF!,#REF!,#REF!,#REF!,#REF!,#REF!,#REF!</definedName>
    <definedName name="__APW_RESTORE_DATA903__" hidden="1">#REF!,#REF!,#REF!,#REF!,#REF!,#REF!,#REF!,#REF!,#REF!,#REF!,#REF!,#REF!,#REF!,#REF!,#REF!,#REF!</definedName>
    <definedName name="__APW_RESTORE_DATA904__" localSheetId="2" hidden="1">#REF!,#REF!,#REF!,#REF!,#REF!,#REF!,#REF!,#REF!,#REF!,#REF!,#REF!,#REF!,#REF!,#REF!,#REF!,#REF!</definedName>
    <definedName name="__APW_RESTORE_DATA904__" hidden="1">#REF!,#REF!,#REF!,#REF!,#REF!,#REF!,#REF!,#REF!,#REF!,#REF!,#REF!,#REF!,#REF!,#REF!,#REF!,#REF!</definedName>
    <definedName name="__APW_RESTORE_DATA905__" localSheetId="2" hidden="1">#REF!,#REF!,#REF!,#REF!,#REF!,#REF!,#REF!,#REF!,#REF!,#REF!,#REF!,#REF!,#REF!,#REF!,#REF!,#REF!</definedName>
    <definedName name="__APW_RESTORE_DATA905__" hidden="1">#REF!,#REF!,#REF!,#REF!,#REF!,#REF!,#REF!,#REF!,#REF!,#REF!,#REF!,#REF!,#REF!,#REF!,#REF!,#REF!</definedName>
    <definedName name="__APW_RESTORE_DATA906__" localSheetId="6" hidden="1">#REF!,#REF!,#REF!,#REF!,#REF!,#REF!,#REF!,#REF!,#REF!,#REF!,#REF!,#REF!,#REF!,#REF!,#REF!</definedName>
    <definedName name="__APW_RESTORE_DATA906__" localSheetId="9" hidden="1">#REF!,#REF!,#REF!,#REF!,#REF!,#REF!,#REF!,#REF!,#REF!,#REF!,#REF!,#REF!,#REF!,#REF!,#REF!</definedName>
    <definedName name="__APW_RESTORE_DATA906__" localSheetId="2" hidden="1">#REF!,#REF!,#REF!,#REF!,#REF!,#REF!,#REF!,#REF!,#REF!,#REF!,#REF!,#REF!,#REF!,#REF!,#REF!</definedName>
    <definedName name="__APW_RESTORE_DATA906__" hidden="1">#REF!,#REF!,#REF!,#REF!,#REF!,#REF!,#REF!,#REF!,#REF!,#REF!,#REF!,#REF!,#REF!,#REF!,#REF!</definedName>
    <definedName name="__APW_RESTORE_DATA907__" localSheetId="6" hidden="1">#REF!,#REF!,#REF!,#REF!,#REF!,#REF!,#REF!,#REF!,#REF!,#REF!,#REF!,#REF!,#REF!,#REF!,#REF!</definedName>
    <definedName name="__APW_RESTORE_DATA907__" localSheetId="9" hidden="1">#REF!,#REF!,#REF!,#REF!,#REF!,#REF!,#REF!,#REF!,#REF!,#REF!,#REF!,#REF!,#REF!,#REF!,#REF!</definedName>
    <definedName name="__APW_RESTORE_DATA907__" localSheetId="2" hidden="1">#REF!,#REF!,#REF!,#REF!,#REF!,#REF!,#REF!,#REF!,#REF!,#REF!,#REF!,#REF!,#REF!,#REF!,#REF!</definedName>
    <definedName name="__APW_RESTORE_DATA907__" hidden="1">#REF!,#REF!,#REF!,#REF!,#REF!,#REF!,#REF!,#REF!,#REF!,#REF!,#REF!,#REF!,#REF!,#REF!,#REF!</definedName>
    <definedName name="__APW_RESTORE_DATA908__" localSheetId="6" hidden="1">#REF!,#REF!,#REF!,#REF!,#REF!,#REF!,#REF!,#REF!,#REF!,#REF!,#REF!,#REF!,#REF!,#REF!,#REF!</definedName>
    <definedName name="__APW_RESTORE_DATA908__" localSheetId="9" hidden="1">#REF!,#REF!,#REF!,#REF!,#REF!,#REF!,#REF!,#REF!,#REF!,#REF!,#REF!,#REF!,#REF!,#REF!,#REF!</definedName>
    <definedName name="__APW_RESTORE_DATA908__" localSheetId="2" hidden="1">#REF!,#REF!,#REF!,#REF!,#REF!,#REF!,#REF!,#REF!,#REF!,#REF!,#REF!,#REF!,#REF!,#REF!,#REF!</definedName>
    <definedName name="__APW_RESTORE_DATA908__" hidden="1">#REF!,#REF!,#REF!,#REF!,#REF!,#REF!,#REF!,#REF!,#REF!,#REF!,#REF!,#REF!,#REF!,#REF!,#REF!</definedName>
    <definedName name="__APW_RESTORE_DATA909__" localSheetId="2" hidden="1">#REF!,#REF!,#REF!,#REF!,#REF!,#REF!,#REF!,#REF!,#REF!,#REF!,#REF!,#REF!,#REF!,#REF!,#REF!</definedName>
    <definedName name="__APW_RESTORE_DATA909__" hidden="1">#REF!,#REF!,#REF!,#REF!,#REF!,#REF!,#REF!,#REF!,#REF!,#REF!,#REF!,#REF!,#REF!,#REF!,#REF!</definedName>
    <definedName name="__APW_RESTORE_DATA91__" localSheetId="2" hidden="1">#REF!,#REF!,#REF!,#REF!,#REF!,#REF!,#REF!,#REF!,#REF!,#REF!,#REF!,#REF!,#REF!,#REF!,#REF!</definedName>
    <definedName name="__APW_RESTORE_DATA91__" hidden="1">#REF!,#REF!,#REF!,#REF!,#REF!,#REF!,#REF!,#REF!,#REF!,#REF!,#REF!,#REF!,#REF!,#REF!,#REF!</definedName>
    <definedName name="__APW_RESTORE_DATA910__" localSheetId="2" hidden="1">#REF!,#REF!,#REF!,#REF!,#REF!,#REF!,#REF!,#REF!,#REF!,#REF!,#REF!,#REF!,#REF!,#REF!,#REF!</definedName>
    <definedName name="__APW_RESTORE_DATA910__" hidden="1">#REF!,#REF!,#REF!,#REF!,#REF!,#REF!,#REF!,#REF!,#REF!,#REF!,#REF!,#REF!,#REF!,#REF!,#REF!</definedName>
    <definedName name="__APW_RESTORE_DATA911__" localSheetId="2" hidden="1">#REF!,#REF!,#REF!,#REF!,#REF!,#REF!,#REF!,#REF!,#REF!,#REF!,#REF!,#REF!,#REF!,#REF!,#REF!</definedName>
    <definedName name="__APW_RESTORE_DATA911__" hidden="1">#REF!,#REF!,#REF!,#REF!,#REF!,#REF!,#REF!,#REF!,#REF!,#REF!,#REF!,#REF!,#REF!,#REF!,#REF!</definedName>
    <definedName name="__APW_RESTORE_DATA912__" localSheetId="2" hidden="1">#REF!,#REF!,#REF!,#REF!,#REF!,#REF!,#REF!,#REF!,#REF!,#REF!,#REF!,#REF!,#REF!,#REF!,#REF!</definedName>
    <definedName name="__APW_RESTORE_DATA912__" hidden="1">#REF!,#REF!,#REF!,#REF!,#REF!,#REF!,#REF!,#REF!,#REF!,#REF!,#REF!,#REF!,#REF!,#REF!,#REF!</definedName>
    <definedName name="__APW_RESTORE_DATA913__" localSheetId="2" hidden="1">#REF!,#REF!,#REF!,#REF!,#REF!,#REF!,#REF!,#REF!,#REF!,#REF!,#REF!,#REF!,#REF!,#REF!,#REF!</definedName>
    <definedName name="__APW_RESTORE_DATA913__" hidden="1">#REF!,#REF!,#REF!,#REF!,#REF!,#REF!,#REF!,#REF!,#REF!,#REF!,#REF!,#REF!,#REF!,#REF!,#REF!</definedName>
    <definedName name="__APW_RESTORE_DATA914__" localSheetId="6" hidden="1">#REF!,#REF!,#REF!,#REF!,#REF!,#REF!,#REF!,#REF!,#REF!</definedName>
    <definedName name="__APW_RESTORE_DATA914__" localSheetId="9" hidden="1">#REF!,#REF!,#REF!,#REF!,#REF!,#REF!,#REF!,#REF!,#REF!</definedName>
    <definedName name="__APW_RESTORE_DATA914__" localSheetId="2" hidden="1">#REF!,#REF!,#REF!,#REF!,#REF!,#REF!,#REF!,#REF!,#REF!</definedName>
    <definedName name="__APW_RESTORE_DATA914__" hidden="1">#REF!,#REF!,#REF!,#REF!,#REF!,#REF!,#REF!,#REF!,#REF!</definedName>
    <definedName name="__APW_RESTORE_DATA915__" localSheetId="6" hidden="1">#REF!,#REF!,#REF!,#REF!,#REF!,#REF!,#REF!,#REF!,#REF!,#REF!,#REF!,#REF!,#REF!,#REF!,#REF!,#REF!,#REF!</definedName>
    <definedName name="__APW_RESTORE_DATA915__" localSheetId="9" hidden="1">#REF!,#REF!,#REF!,#REF!,#REF!,#REF!,#REF!,#REF!,#REF!,#REF!,#REF!,#REF!,#REF!,#REF!,#REF!,#REF!,#REF!</definedName>
    <definedName name="__APW_RESTORE_DATA915__" localSheetId="2" hidden="1">#REF!,#REF!,#REF!,#REF!,#REF!,#REF!,#REF!,#REF!,#REF!,#REF!,#REF!,#REF!,#REF!,#REF!,#REF!,#REF!,#REF!</definedName>
    <definedName name="__APW_RESTORE_DATA915__" hidden="1">#REF!,#REF!,#REF!,#REF!,#REF!,#REF!,#REF!,#REF!,#REF!,#REF!,#REF!,#REF!,#REF!,#REF!,#REF!,#REF!,#REF!</definedName>
    <definedName name="__APW_RESTORE_DATA916__" localSheetId="6" hidden="1">#REF!,#REF!,#REF!,#REF!,#REF!,#REF!,#REF!,#REF!,#REF!,#REF!,#REF!,#REF!,#REF!,#REF!,#REF!,#REF!</definedName>
    <definedName name="__APW_RESTORE_DATA916__" localSheetId="9" hidden="1">#REF!,#REF!,#REF!,#REF!,#REF!,#REF!,#REF!,#REF!,#REF!,#REF!,#REF!,#REF!,#REF!,#REF!,#REF!,#REF!</definedName>
    <definedName name="__APW_RESTORE_DATA916__" localSheetId="2" hidden="1">#REF!,#REF!,#REF!,#REF!,#REF!,#REF!,#REF!,#REF!,#REF!,#REF!,#REF!,#REF!,#REF!,#REF!,#REF!,#REF!</definedName>
    <definedName name="__APW_RESTORE_DATA916__" hidden="1">#REF!,#REF!,#REF!,#REF!,#REF!,#REF!,#REF!,#REF!,#REF!,#REF!,#REF!,#REF!,#REF!,#REF!,#REF!,#REF!</definedName>
    <definedName name="__APW_RESTORE_DATA917__" localSheetId="6" hidden="1">#REF!,#REF!,#REF!,#REF!,#REF!,#REF!,#REF!,#REF!,#REF!,#REF!,#REF!,#REF!,#REF!,#REF!,#REF!,#REF!</definedName>
    <definedName name="__APW_RESTORE_DATA917__" localSheetId="9" hidden="1">#REF!,#REF!,#REF!,#REF!,#REF!,#REF!,#REF!,#REF!,#REF!,#REF!,#REF!,#REF!,#REF!,#REF!,#REF!,#REF!</definedName>
    <definedName name="__APW_RESTORE_DATA917__" localSheetId="2" hidden="1">#REF!,#REF!,#REF!,#REF!,#REF!,#REF!,#REF!,#REF!,#REF!,#REF!,#REF!,#REF!,#REF!,#REF!,#REF!,#REF!</definedName>
    <definedName name="__APW_RESTORE_DATA917__" hidden="1">#REF!,#REF!,#REF!,#REF!,#REF!,#REF!,#REF!,#REF!,#REF!,#REF!,#REF!,#REF!,#REF!,#REF!,#REF!,#REF!</definedName>
    <definedName name="__APW_RESTORE_DATA918__" localSheetId="6" hidden="1">#REF!,#REF!,#REF!,#REF!,#REF!,#REF!,#REF!,#REF!,#REF!,#REF!,#REF!,#REF!,#REF!,#REF!,#REF!,#REF!</definedName>
    <definedName name="__APW_RESTORE_DATA918__" localSheetId="9" hidden="1">#REF!,#REF!,#REF!,#REF!,#REF!,#REF!,#REF!,#REF!,#REF!,#REF!,#REF!,#REF!,#REF!,#REF!,#REF!,#REF!</definedName>
    <definedName name="__APW_RESTORE_DATA918__" localSheetId="2" hidden="1">#REF!,#REF!,#REF!,#REF!,#REF!,#REF!,#REF!,#REF!,#REF!,#REF!,#REF!,#REF!,#REF!,#REF!,#REF!,#REF!</definedName>
    <definedName name="__APW_RESTORE_DATA918__" hidden="1">#REF!,#REF!,#REF!,#REF!,#REF!,#REF!,#REF!,#REF!,#REF!,#REF!,#REF!,#REF!,#REF!,#REF!,#REF!,#REF!</definedName>
    <definedName name="__APW_RESTORE_DATA919__" localSheetId="2" hidden="1">#REF!,#REF!,#REF!,#REF!,#REF!,#REF!,#REF!,#REF!,#REF!,#REF!,#REF!,#REF!,#REF!,#REF!,#REF!,#REF!</definedName>
    <definedName name="__APW_RESTORE_DATA919__" hidden="1">#REF!,#REF!,#REF!,#REF!,#REF!,#REF!,#REF!,#REF!,#REF!,#REF!,#REF!,#REF!,#REF!,#REF!,#REF!,#REF!</definedName>
    <definedName name="__APW_RESTORE_DATA92__" localSheetId="6" hidden="1">#REF!,#REF!,#REF!,#REF!,#REF!,#REF!,#REF!,#REF!,#REF!,#REF!,#REF!,#REF!,#REF!,#REF!,#REF!</definedName>
    <definedName name="__APW_RESTORE_DATA92__" localSheetId="9" hidden="1">#REF!,#REF!,#REF!,#REF!,#REF!,#REF!,#REF!,#REF!,#REF!,#REF!,#REF!,#REF!,#REF!,#REF!,#REF!</definedName>
    <definedName name="__APW_RESTORE_DATA92__" localSheetId="2" hidden="1">#REF!,#REF!,#REF!,#REF!,#REF!,#REF!,#REF!,#REF!,#REF!,#REF!,#REF!,#REF!,#REF!,#REF!,#REF!</definedName>
    <definedName name="__APW_RESTORE_DATA92__" hidden="1">#REF!,#REF!,#REF!,#REF!,#REF!,#REF!,#REF!,#REF!,#REF!,#REF!,#REF!,#REF!,#REF!,#REF!,#REF!</definedName>
    <definedName name="__APW_RESTORE_DATA920__" localSheetId="6" hidden="1">#REF!,#REF!,#REF!,#REF!,#REF!,#REF!,#REF!,#REF!,#REF!,#REF!,#REF!,#REF!,#REF!,#REF!,#REF!,#REF!</definedName>
    <definedName name="__APW_RESTORE_DATA920__" localSheetId="9" hidden="1">#REF!,#REF!,#REF!,#REF!,#REF!,#REF!,#REF!,#REF!,#REF!,#REF!,#REF!,#REF!,#REF!,#REF!,#REF!,#REF!</definedName>
    <definedName name="__APW_RESTORE_DATA920__" localSheetId="2" hidden="1">#REF!,#REF!,#REF!,#REF!,#REF!,#REF!,#REF!,#REF!,#REF!,#REF!,#REF!,#REF!,#REF!,#REF!,#REF!,#REF!</definedName>
    <definedName name="__APW_RESTORE_DATA920__" hidden="1">#REF!,#REF!,#REF!,#REF!,#REF!,#REF!,#REF!,#REF!,#REF!,#REF!,#REF!,#REF!,#REF!,#REF!,#REF!,#REF!</definedName>
    <definedName name="__APW_RESTORE_DATA921__" localSheetId="6" hidden="1">#REF!,#REF!,#REF!,#REF!,#REF!,#REF!,#REF!,#REF!,#REF!,#REF!,#REF!,#REF!,#REF!,#REF!,#REF!</definedName>
    <definedName name="__APW_RESTORE_DATA921__" localSheetId="9" hidden="1">#REF!,#REF!,#REF!,#REF!,#REF!,#REF!,#REF!,#REF!,#REF!,#REF!,#REF!,#REF!,#REF!,#REF!,#REF!</definedName>
    <definedName name="__APW_RESTORE_DATA921__" localSheetId="2" hidden="1">#REF!,#REF!,#REF!,#REF!,#REF!,#REF!,#REF!,#REF!,#REF!,#REF!,#REF!,#REF!,#REF!,#REF!,#REF!</definedName>
    <definedName name="__APW_RESTORE_DATA921__" hidden="1">#REF!,#REF!,#REF!,#REF!,#REF!,#REF!,#REF!,#REF!,#REF!,#REF!,#REF!,#REF!,#REF!,#REF!,#REF!</definedName>
    <definedName name="__APW_RESTORE_DATA922__" localSheetId="6" hidden="1">#REF!,#REF!,#REF!,#REF!,#REF!,#REF!,#REF!,#REF!,#REF!,#REF!,#REF!,#REF!,#REF!,#REF!,#REF!</definedName>
    <definedName name="__APW_RESTORE_DATA922__" localSheetId="9" hidden="1">#REF!,#REF!,#REF!,#REF!,#REF!,#REF!,#REF!,#REF!,#REF!,#REF!,#REF!,#REF!,#REF!,#REF!,#REF!</definedName>
    <definedName name="__APW_RESTORE_DATA922__" localSheetId="2" hidden="1">#REF!,#REF!,#REF!,#REF!,#REF!,#REF!,#REF!,#REF!,#REF!,#REF!,#REF!,#REF!,#REF!,#REF!,#REF!</definedName>
    <definedName name="__APW_RESTORE_DATA922__" hidden="1">#REF!,#REF!,#REF!,#REF!,#REF!,#REF!,#REF!,#REF!,#REF!,#REF!,#REF!,#REF!,#REF!,#REF!,#REF!</definedName>
    <definedName name="__APW_RESTORE_DATA923__" localSheetId="6" hidden="1">#REF!,#REF!,#REF!,#REF!,#REF!,#REF!,#REF!,#REF!,#REF!,#REF!,#REF!,#REF!,#REF!,#REF!,#REF!</definedName>
    <definedName name="__APW_RESTORE_DATA923__" localSheetId="9" hidden="1">#REF!,#REF!,#REF!,#REF!,#REF!,#REF!,#REF!,#REF!,#REF!,#REF!,#REF!,#REF!,#REF!,#REF!,#REF!</definedName>
    <definedName name="__APW_RESTORE_DATA923__" localSheetId="2" hidden="1">#REF!,#REF!,#REF!,#REF!,#REF!,#REF!,#REF!,#REF!,#REF!,#REF!,#REF!,#REF!,#REF!,#REF!,#REF!</definedName>
    <definedName name="__APW_RESTORE_DATA923__" hidden="1">#REF!,#REF!,#REF!,#REF!,#REF!,#REF!,#REF!,#REF!,#REF!,#REF!,#REF!,#REF!,#REF!,#REF!,#REF!</definedName>
    <definedName name="__APW_RESTORE_DATA924__" localSheetId="2" hidden="1">#REF!,#REF!,#REF!,#REF!,#REF!,#REF!,#REF!,#REF!,#REF!,#REF!,#REF!,#REF!,#REF!,#REF!,#REF!</definedName>
    <definedName name="__APW_RESTORE_DATA924__" hidden="1">#REF!,#REF!,#REF!,#REF!,#REF!,#REF!,#REF!,#REF!,#REF!,#REF!,#REF!,#REF!,#REF!,#REF!,#REF!</definedName>
    <definedName name="__APW_RESTORE_DATA925__" localSheetId="2" hidden="1">#REF!,#REF!,#REF!,#REF!,#REF!,#REF!,#REF!,#REF!,#REF!,#REF!,#REF!,#REF!,#REF!,#REF!,#REF!</definedName>
    <definedName name="__APW_RESTORE_DATA925__" hidden="1">#REF!,#REF!,#REF!,#REF!,#REF!,#REF!,#REF!,#REF!,#REF!,#REF!,#REF!,#REF!,#REF!,#REF!,#REF!</definedName>
    <definedName name="__APW_RESTORE_DATA926__" localSheetId="2" hidden="1">#REF!,#REF!,#REF!,#REF!,#REF!,#REF!,#REF!,#REF!,#REF!,#REF!,#REF!,#REF!,#REF!,#REF!,#REF!</definedName>
    <definedName name="__APW_RESTORE_DATA926__" hidden="1">#REF!,#REF!,#REF!,#REF!,#REF!,#REF!,#REF!,#REF!,#REF!,#REF!,#REF!,#REF!,#REF!,#REF!,#REF!</definedName>
    <definedName name="__APW_RESTORE_DATA927__" localSheetId="2" hidden="1">#REF!,#REF!,#REF!,#REF!,#REF!,#REF!,#REF!,#REF!,#REF!,#REF!,#REF!,#REF!,#REF!,#REF!,#REF!</definedName>
    <definedName name="__APW_RESTORE_DATA927__" hidden="1">#REF!,#REF!,#REF!,#REF!,#REF!,#REF!,#REF!,#REF!,#REF!,#REF!,#REF!,#REF!,#REF!,#REF!,#REF!</definedName>
    <definedName name="__APW_RESTORE_DATA928__" localSheetId="2" hidden="1">#REF!,#REF!,#REF!,#REF!,#REF!,#REF!,#REF!,#REF!,#REF!,#REF!,#REF!,#REF!,#REF!,#REF!,#REF!</definedName>
    <definedName name="__APW_RESTORE_DATA928__" hidden="1">#REF!,#REF!,#REF!,#REF!,#REF!,#REF!,#REF!,#REF!,#REF!,#REF!,#REF!,#REF!,#REF!,#REF!,#REF!</definedName>
    <definedName name="__APW_RESTORE_DATA929__" localSheetId="6" hidden="1">#REF!,#REF!,#REF!,#REF!,#REF!,#REF!,#REF!,#REF!,#REF!</definedName>
    <definedName name="__APW_RESTORE_DATA929__" localSheetId="9" hidden="1">#REF!,#REF!,#REF!,#REF!,#REF!,#REF!,#REF!,#REF!,#REF!</definedName>
    <definedName name="__APW_RESTORE_DATA929__" localSheetId="2" hidden="1">#REF!,#REF!,#REF!,#REF!,#REF!,#REF!,#REF!,#REF!,#REF!</definedName>
    <definedName name="__APW_RESTORE_DATA929__" hidden="1">#REF!,#REF!,#REF!,#REF!,#REF!,#REF!,#REF!,#REF!,#REF!</definedName>
    <definedName name="__APW_RESTORE_DATA93__" localSheetId="6" hidden="1">#REF!,#REF!,#REF!,#REF!,#REF!,#REF!,#REF!,#REF!,#REF!,#REF!,#REF!,#REF!,#REF!,#REF!,#REF!</definedName>
    <definedName name="__APW_RESTORE_DATA93__" localSheetId="9" hidden="1">#REF!,#REF!,#REF!,#REF!,#REF!,#REF!,#REF!,#REF!,#REF!,#REF!,#REF!,#REF!,#REF!,#REF!,#REF!</definedName>
    <definedName name="__APW_RESTORE_DATA93__" localSheetId="2" hidden="1">#REF!,#REF!,#REF!,#REF!,#REF!,#REF!,#REF!,#REF!,#REF!,#REF!,#REF!,#REF!,#REF!,#REF!,#REF!</definedName>
    <definedName name="__APW_RESTORE_DATA93__" hidden="1">#REF!,#REF!,#REF!,#REF!,#REF!,#REF!,#REF!,#REF!,#REF!,#REF!,#REF!,#REF!,#REF!,#REF!,#REF!</definedName>
    <definedName name="__APW_RESTORE_DATA930__" localSheetId="6" hidden="1">#REF!,#REF!,#REF!,#REF!,#REF!,#REF!,#REF!,#REF!,#REF!,#REF!,#REF!,#REF!,#REF!,#REF!,#REF!,#REF!,#REF!</definedName>
    <definedName name="__APW_RESTORE_DATA930__" localSheetId="9" hidden="1">#REF!,#REF!,#REF!,#REF!,#REF!,#REF!,#REF!,#REF!,#REF!,#REF!,#REF!,#REF!,#REF!,#REF!,#REF!,#REF!,#REF!</definedName>
    <definedName name="__APW_RESTORE_DATA930__" localSheetId="2" hidden="1">#REF!,#REF!,#REF!,#REF!,#REF!,#REF!,#REF!,#REF!,#REF!,#REF!,#REF!,#REF!,#REF!,#REF!,#REF!,#REF!,#REF!</definedName>
    <definedName name="__APW_RESTORE_DATA930__" hidden="1">#REF!,#REF!,#REF!,#REF!,#REF!,#REF!,#REF!,#REF!,#REF!,#REF!,#REF!,#REF!,#REF!,#REF!,#REF!,#REF!,#REF!</definedName>
    <definedName name="__APW_RESTORE_DATA931__" localSheetId="6" hidden="1">#REF!,#REF!,#REF!,#REF!,#REF!,#REF!,#REF!,#REF!,#REF!,#REF!,#REF!,#REF!,#REF!,#REF!,#REF!,#REF!</definedName>
    <definedName name="__APW_RESTORE_DATA931__" localSheetId="9" hidden="1">#REF!,#REF!,#REF!,#REF!,#REF!,#REF!,#REF!,#REF!,#REF!,#REF!,#REF!,#REF!,#REF!,#REF!,#REF!,#REF!</definedName>
    <definedName name="__APW_RESTORE_DATA931__" localSheetId="2" hidden="1">#REF!,#REF!,#REF!,#REF!,#REF!,#REF!,#REF!,#REF!,#REF!,#REF!,#REF!,#REF!,#REF!,#REF!,#REF!,#REF!</definedName>
    <definedName name="__APW_RESTORE_DATA931__" hidden="1">#REF!,#REF!,#REF!,#REF!,#REF!,#REF!,#REF!,#REF!,#REF!,#REF!,#REF!,#REF!,#REF!,#REF!,#REF!,#REF!</definedName>
    <definedName name="__APW_RESTORE_DATA932__" localSheetId="6" hidden="1">#REF!,#REF!,#REF!,#REF!,#REF!,#REF!,#REF!,#REF!,#REF!,#REF!,#REF!,#REF!,#REF!,#REF!,#REF!,#REF!</definedName>
    <definedName name="__APW_RESTORE_DATA932__" localSheetId="9" hidden="1">#REF!,#REF!,#REF!,#REF!,#REF!,#REF!,#REF!,#REF!,#REF!,#REF!,#REF!,#REF!,#REF!,#REF!,#REF!,#REF!</definedName>
    <definedName name="__APW_RESTORE_DATA932__" localSheetId="2" hidden="1">#REF!,#REF!,#REF!,#REF!,#REF!,#REF!,#REF!,#REF!,#REF!,#REF!,#REF!,#REF!,#REF!,#REF!,#REF!,#REF!</definedName>
    <definedName name="__APW_RESTORE_DATA932__" hidden="1">#REF!,#REF!,#REF!,#REF!,#REF!,#REF!,#REF!,#REF!,#REF!,#REF!,#REF!,#REF!,#REF!,#REF!,#REF!,#REF!</definedName>
    <definedName name="__APW_RESTORE_DATA933__" localSheetId="6" hidden="1">#REF!,#REF!,#REF!,#REF!,#REF!,#REF!,#REF!,#REF!,#REF!,#REF!,#REF!,#REF!,#REF!,#REF!,#REF!,#REF!</definedName>
    <definedName name="__APW_RESTORE_DATA933__" localSheetId="9" hidden="1">#REF!,#REF!,#REF!,#REF!,#REF!,#REF!,#REF!,#REF!,#REF!,#REF!,#REF!,#REF!,#REF!,#REF!,#REF!,#REF!</definedName>
    <definedName name="__APW_RESTORE_DATA933__" localSheetId="2" hidden="1">#REF!,#REF!,#REF!,#REF!,#REF!,#REF!,#REF!,#REF!,#REF!,#REF!,#REF!,#REF!,#REF!,#REF!,#REF!,#REF!</definedName>
    <definedName name="__APW_RESTORE_DATA933__" hidden="1">#REF!,#REF!,#REF!,#REF!,#REF!,#REF!,#REF!,#REF!,#REF!,#REF!,#REF!,#REF!,#REF!,#REF!,#REF!,#REF!</definedName>
    <definedName name="__APW_RESTORE_DATA934__" localSheetId="2" hidden="1">#REF!,#REF!,#REF!,#REF!,#REF!,#REF!,#REF!,#REF!,#REF!,#REF!,#REF!,#REF!,#REF!,#REF!,#REF!,#REF!</definedName>
    <definedName name="__APW_RESTORE_DATA934__" hidden="1">#REF!,#REF!,#REF!,#REF!,#REF!,#REF!,#REF!,#REF!,#REF!,#REF!,#REF!,#REF!,#REF!,#REF!,#REF!,#REF!</definedName>
    <definedName name="__APW_RESTORE_DATA935__" localSheetId="2" hidden="1">#REF!,#REF!,#REF!,#REF!,#REF!,#REF!,#REF!,#REF!,#REF!,#REF!,#REF!,#REF!,#REF!,#REF!,#REF!,#REF!</definedName>
    <definedName name="__APW_RESTORE_DATA935__" hidden="1">#REF!,#REF!,#REF!,#REF!,#REF!,#REF!,#REF!,#REF!,#REF!,#REF!,#REF!,#REF!,#REF!,#REF!,#REF!,#REF!</definedName>
    <definedName name="__APW_RESTORE_DATA936__" localSheetId="6" hidden="1">#REF!,#REF!,#REF!,#REF!,#REF!,#REF!,#REF!,#REF!,#REF!,#REF!,#REF!,#REF!,#REF!,#REF!,#REF!</definedName>
    <definedName name="__APW_RESTORE_DATA936__" localSheetId="9" hidden="1">#REF!,#REF!,#REF!,#REF!,#REF!,#REF!,#REF!,#REF!,#REF!,#REF!,#REF!,#REF!,#REF!,#REF!,#REF!</definedName>
    <definedName name="__APW_RESTORE_DATA936__" localSheetId="2" hidden="1">#REF!,#REF!,#REF!,#REF!,#REF!,#REF!,#REF!,#REF!,#REF!,#REF!,#REF!,#REF!,#REF!,#REF!,#REF!</definedName>
    <definedName name="__APW_RESTORE_DATA936__" hidden="1">#REF!,#REF!,#REF!,#REF!,#REF!,#REF!,#REF!,#REF!,#REF!,#REF!,#REF!,#REF!,#REF!,#REF!,#REF!</definedName>
    <definedName name="__APW_RESTORE_DATA937__" localSheetId="6" hidden="1">#REF!,#REF!,#REF!,#REF!,#REF!,#REF!,#REF!,#REF!,#REF!,#REF!,#REF!,#REF!,#REF!,#REF!,#REF!</definedName>
    <definedName name="__APW_RESTORE_DATA937__" localSheetId="9" hidden="1">#REF!,#REF!,#REF!,#REF!,#REF!,#REF!,#REF!,#REF!,#REF!,#REF!,#REF!,#REF!,#REF!,#REF!,#REF!</definedName>
    <definedName name="__APW_RESTORE_DATA937__" localSheetId="2" hidden="1">#REF!,#REF!,#REF!,#REF!,#REF!,#REF!,#REF!,#REF!,#REF!,#REF!,#REF!,#REF!,#REF!,#REF!,#REF!</definedName>
    <definedName name="__APW_RESTORE_DATA937__" hidden="1">#REF!,#REF!,#REF!,#REF!,#REF!,#REF!,#REF!,#REF!,#REF!,#REF!,#REF!,#REF!,#REF!,#REF!,#REF!</definedName>
    <definedName name="__APW_RESTORE_DATA938__" localSheetId="6" hidden="1">#REF!,#REF!,#REF!,#REF!,#REF!,#REF!,#REF!,#REF!,#REF!,#REF!,#REF!,#REF!,#REF!,#REF!,#REF!</definedName>
    <definedName name="__APW_RESTORE_DATA938__" localSheetId="9" hidden="1">#REF!,#REF!,#REF!,#REF!,#REF!,#REF!,#REF!,#REF!,#REF!,#REF!,#REF!,#REF!,#REF!,#REF!,#REF!</definedName>
    <definedName name="__APW_RESTORE_DATA938__" localSheetId="2" hidden="1">#REF!,#REF!,#REF!,#REF!,#REF!,#REF!,#REF!,#REF!,#REF!,#REF!,#REF!,#REF!,#REF!,#REF!,#REF!</definedName>
    <definedName name="__APW_RESTORE_DATA938__" hidden="1">#REF!,#REF!,#REF!,#REF!,#REF!,#REF!,#REF!,#REF!,#REF!,#REF!,#REF!,#REF!,#REF!,#REF!,#REF!</definedName>
    <definedName name="__APW_RESTORE_DATA939__" localSheetId="2" hidden="1">#REF!,#REF!,#REF!,#REF!,#REF!,#REF!,#REF!,#REF!,#REF!,#REF!,#REF!,#REF!,#REF!,#REF!,#REF!</definedName>
    <definedName name="__APW_RESTORE_DATA939__" hidden="1">#REF!,#REF!,#REF!,#REF!,#REF!,#REF!,#REF!,#REF!,#REF!,#REF!,#REF!,#REF!,#REF!,#REF!,#REF!</definedName>
    <definedName name="__APW_RESTORE_DATA94__" localSheetId="2" hidden="1">#REF!,#REF!,#REF!,#REF!,#REF!,#REF!,#REF!,#REF!,#REF!,#REF!,#REF!,#REF!,#REF!,#REF!,#REF!</definedName>
    <definedName name="__APW_RESTORE_DATA94__" hidden="1">#REF!,#REF!,#REF!,#REF!,#REF!,#REF!,#REF!,#REF!,#REF!,#REF!,#REF!,#REF!,#REF!,#REF!,#REF!</definedName>
    <definedName name="__APW_RESTORE_DATA940__" localSheetId="2" hidden="1">#REF!,#REF!,#REF!,#REF!,#REF!,#REF!,#REF!,#REF!,#REF!,#REF!,#REF!,#REF!,#REF!,#REF!,#REF!</definedName>
    <definedName name="__APW_RESTORE_DATA940__" hidden="1">#REF!,#REF!,#REF!,#REF!,#REF!,#REF!,#REF!,#REF!,#REF!,#REF!,#REF!,#REF!,#REF!,#REF!,#REF!</definedName>
    <definedName name="__APW_RESTORE_DATA941__" localSheetId="2" hidden="1">#REF!,#REF!,#REF!,#REF!,#REF!,#REF!,#REF!,#REF!,#REF!,#REF!,#REF!,#REF!,#REF!,#REF!,#REF!</definedName>
    <definedName name="__APW_RESTORE_DATA941__" hidden="1">#REF!,#REF!,#REF!,#REF!,#REF!,#REF!,#REF!,#REF!,#REF!,#REF!,#REF!,#REF!,#REF!,#REF!,#REF!</definedName>
    <definedName name="__APW_RESTORE_DATA942__" localSheetId="2" hidden="1">#REF!,#REF!,#REF!,#REF!,#REF!,#REF!,#REF!,#REF!,#REF!,#REF!,#REF!,#REF!,#REF!,#REF!,#REF!</definedName>
    <definedName name="__APW_RESTORE_DATA942__" hidden="1">#REF!,#REF!,#REF!,#REF!,#REF!,#REF!,#REF!,#REF!,#REF!,#REF!,#REF!,#REF!,#REF!,#REF!,#REF!</definedName>
    <definedName name="__APW_RESTORE_DATA943__" localSheetId="2" hidden="1">#REF!,#REF!,#REF!,#REF!,#REF!,#REF!,#REF!,#REF!,#REF!,#REF!,#REF!,#REF!,#REF!,#REF!,#REF!</definedName>
    <definedName name="__APW_RESTORE_DATA943__" hidden="1">#REF!,#REF!,#REF!,#REF!,#REF!,#REF!,#REF!,#REF!,#REF!,#REF!,#REF!,#REF!,#REF!,#REF!,#REF!</definedName>
    <definedName name="__APW_RESTORE_DATA944__" localSheetId="6" hidden="1">#REF!,#REF!,#REF!,#REF!,#REF!,#REF!,#REF!,#REF!,#REF!</definedName>
    <definedName name="__APW_RESTORE_DATA944__" localSheetId="9" hidden="1">#REF!,#REF!,#REF!,#REF!,#REF!,#REF!,#REF!,#REF!,#REF!</definedName>
    <definedName name="__APW_RESTORE_DATA944__" localSheetId="2" hidden="1">#REF!,#REF!,#REF!,#REF!,#REF!,#REF!,#REF!,#REF!,#REF!</definedName>
    <definedName name="__APW_RESTORE_DATA944__" hidden="1">#REF!,#REF!,#REF!,#REF!,#REF!,#REF!,#REF!,#REF!,#REF!</definedName>
    <definedName name="__APW_RESTORE_DATA945__" localSheetId="6" hidden="1">#REF!,#REF!,#REF!,#REF!,#REF!,#REF!,#REF!,#REF!,#REF!,#REF!,#REF!,#REF!,#REF!,#REF!,#REF!,#REF!,#REF!</definedName>
    <definedName name="__APW_RESTORE_DATA945__" localSheetId="9" hidden="1">#REF!,#REF!,#REF!,#REF!,#REF!,#REF!,#REF!,#REF!,#REF!,#REF!,#REF!,#REF!,#REF!,#REF!,#REF!,#REF!,#REF!</definedName>
    <definedName name="__APW_RESTORE_DATA945__" localSheetId="2" hidden="1">#REF!,#REF!,#REF!,#REF!,#REF!,#REF!,#REF!,#REF!,#REF!,#REF!,#REF!,#REF!,#REF!,#REF!,#REF!,#REF!,#REF!</definedName>
    <definedName name="__APW_RESTORE_DATA945__" hidden="1">#REF!,#REF!,#REF!,#REF!,#REF!,#REF!,#REF!,#REF!,#REF!,#REF!,#REF!,#REF!,#REF!,#REF!,#REF!,#REF!,#REF!</definedName>
    <definedName name="__APW_RESTORE_DATA946__" localSheetId="6" hidden="1">#REF!,#REF!,#REF!,#REF!,#REF!,#REF!,#REF!,#REF!,#REF!,#REF!,#REF!,#REF!,#REF!,#REF!,#REF!,#REF!</definedName>
    <definedName name="__APW_RESTORE_DATA946__" localSheetId="9" hidden="1">#REF!,#REF!,#REF!,#REF!,#REF!,#REF!,#REF!,#REF!,#REF!,#REF!,#REF!,#REF!,#REF!,#REF!,#REF!,#REF!</definedName>
    <definedName name="__APW_RESTORE_DATA946__" localSheetId="2" hidden="1">#REF!,#REF!,#REF!,#REF!,#REF!,#REF!,#REF!,#REF!,#REF!,#REF!,#REF!,#REF!,#REF!,#REF!,#REF!,#REF!</definedName>
    <definedName name="__APW_RESTORE_DATA946__" hidden="1">#REF!,#REF!,#REF!,#REF!,#REF!,#REF!,#REF!,#REF!,#REF!,#REF!,#REF!,#REF!,#REF!,#REF!,#REF!,#REF!</definedName>
    <definedName name="__APW_RESTORE_DATA947__" localSheetId="6" hidden="1">#REF!,#REF!,#REF!,#REF!,#REF!,#REF!,#REF!,#REF!,#REF!,#REF!,#REF!,#REF!,#REF!,#REF!,#REF!,#REF!</definedName>
    <definedName name="__APW_RESTORE_DATA947__" localSheetId="9" hidden="1">#REF!,#REF!,#REF!,#REF!,#REF!,#REF!,#REF!,#REF!,#REF!,#REF!,#REF!,#REF!,#REF!,#REF!,#REF!,#REF!</definedName>
    <definedName name="__APW_RESTORE_DATA947__" localSheetId="2" hidden="1">#REF!,#REF!,#REF!,#REF!,#REF!,#REF!,#REF!,#REF!,#REF!,#REF!,#REF!,#REF!,#REF!,#REF!,#REF!,#REF!</definedName>
    <definedName name="__APW_RESTORE_DATA947__" hidden="1">#REF!,#REF!,#REF!,#REF!,#REF!,#REF!,#REF!,#REF!,#REF!,#REF!,#REF!,#REF!,#REF!,#REF!,#REF!,#REF!</definedName>
    <definedName name="__APW_RESTORE_DATA948__" localSheetId="6" hidden="1">#REF!,#REF!,#REF!,#REF!,#REF!,#REF!,#REF!,#REF!,#REF!,#REF!,#REF!,#REF!,#REF!,#REF!,#REF!,#REF!</definedName>
    <definedName name="__APW_RESTORE_DATA948__" localSheetId="9" hidden="1">#REF!,#REF!,#REF!,#REF!,#REF!,#REF!,#REF!,#REF!,#REF!,#REF!,#REF!,#REF!,#REF!,#REF!,#REF!,#REF!</definedName>
    <definedName name="__APW_RESTORE_DATA948__" localSheetId="2" hidden="1">#REF!,#REF!,#REF!,#REF!,#REF!,#REF!,#REF!,#REF!,#REF!,#REF!,#REF!,#REF!,#REF!,#REF!,#REF!,#REF!</definedName>
    <definedName name="__APW_RESTORE_DATA948__" hidden="1">#REF!,#REF!,#REF!,#REF!,#REF!,#REF!,#REF!,#REF!,#REF!,#REF!,#REF!,#REF!,#REF!,#REF!,#REF!,#REF!</definedName>
    <definedName name="__APW_RESTORE_DATA949__" localSheetId="2" hidden="1">#REF!,#REF!,#REF!,#REF!,#REF!,#REF!,#REF!,#REF!,#REF!,#REF!,#REF!,#REF!,#REF!,#REF!,#REF!,#REF!</definedName>
    <definedName name="__APW_RESTORE_DATA949__" hidden="1">#REF!,#REF!,#REF!,#REF!,#REF!,#REF!,#REF!,#REF!,#REF!,#REF!,#REF!,#REF!,#REF!,#REF!,#REF!,#REF!</definedName>
    <definedName name="__APW_RESTORE_DATA95__" localSheetId="6" hidden="1">#REF!,#REF!,#REF!,#REF!,#REF!,#REF!</definedName>
    <definedName name="__APW_RESTORE_DATA95__" localSheetId="9" hidden="1">#REF!,#REF!,#REF!,#REF!,#REF!,#REF!</definedName>
    <definedName name="__APW_RESTORE_DATA95__" localSheetId="2" hidden="1">#REF!,#REF!,#REF!,#REF!,#REF!,#REF!</definedName>
    <definedName name="__APW_RESTORE_DATA95__" hidden="1">#REF!,#REF!,#REF!,#REF!,#REF!,#REF!</definedName>
    <definedName name="__APW_RESTORE_DATA950__" localSheetId="6" hidden="1">#REF!,#REF!,#REF!,#REF!,#REF!,#REF!,#REF!,#REF!,#REF!,#REF!,#REF!,#REF!,#REF!,#REF!,#REF!,#REF!</definedName>
    <definedName name="__APW_RESTORE_DATA950__" localSheetId="9" hidden="1">#REF!,#REF!,#REF!,#REF!,#REF!,#REF!,#REF!,#REF!,#REF!,#REF!,#REF!,#REF!,#REF!,#REF!,#REF!,#REF!</definedName>
    <definedName name="__APW_RESTORE_DATA950__" localSheetId="2" hidden="1">#REF!,#REF!,#REF!,#REF!,#REF!,#REF!,#REF!,#REF!,#REF!,#REF!,#REF!,#REF!,#REF!,#REF!,#REF!,#REF!</definedName>
    <definedName name="__APW_RESTORE_DATA950__" hidden="1">#REF!,#REF!,#REF!,#REF!,#REF!,#REF!,#REF!,#REF!,#REF!,#REF!,#REF!,#REF!,#REF!,#REF!,#REF!,#REF!</definedName>
    <definedName name="__APW_RESTORE_DATA951__" localSheetId="6" hidden="1">#REF!,#REF!,#REF!,#REF!,#REF!,#REF!,#REF!,#REF!,#REF!,#REF!,#REF!,#REF!,#REF!,#REF!,#REF!</definedName>
    <definedName name="__APW_RESTORE_DATA951__" localSheetId="9" hidden="1">#REF!,#REF!,#REF!,#REF!,#REF!,#REF!,#REF!,#REF!,#REF!,#REF!,#REF!,#REF!,#REF!,#REF!,#REF!</definedName>
    <definedName name="__APW_RESTORE_DATA951__" localSheetId="2" hidden="1">#REF!,#REF!,#REF!,#REF!,#REF!,#REF!,#REF!,#REF!,#REF!,#REF!,#REF!,#REF!,#REF!,#REF!,#REF!</definedName>
    <definedName name="__APW_RESTORE_DATA951__" hidden="1">#REF!,#REF!,#REF!,#REF!,#REF!,#REF!,#REF!,#REF!,#REF!,#REF!,#REF!,#REF!,#REF!,#REF!,#REF!</definedName>
    <definedName name="__APW_RESTORE_DATA952__" localSheetId="6" hidden="1">#REF!,#REF!,#REF!,#REF!,#REF!,#REF!,#REF!,#REF!,#REF!,#REF!,#REF!,#REF!,#REF!,#REF!,#REF!</definedName>
    <definedName name="__APW_RESTORE_DATA952__" localSheetId="9" hidden="1">#REF!,#REF!,#REF!,#REF!,#REF!,#REF!,#REF!,#REF!,#REF!,#REF!,#REF!,#REF!,#REF!,#REF!,#REF!</definedName>
    <definedName name="__APW_RESTORE_DATA952__" localSheetId="2" hidden="1">#REF!,#REF!,#REF!,#REF!,#REF!,#REF!,#REF!,#REF!,#REF!,#REF!,#REF!,#REF!,#REF!,#REF!,#REF!</definedName>
    <definedName name="__APW_RESTORE_DATA952__" hidden="1">#REF!,#REF!,#REF!,#REF!,#REF!,#REF!,#REF!,#REF!,#REF!,#REF!,#REF!,#REF!,#REF!,#REF!,#REF!</definedName>
    <definedName name="__APW_RESTORE_DATA953__" localSheetId="6" hidden="1">#REF!,#REF!,#REF!,#REF!,#REF!,#REF!,#REF!,#REF!,#REF!,#REF!,#REF!,#REF!,#REF!,#REF!,#REF!</definedName>
    <definedName name="__APW_RESTORE_DATA953__" localSheetId="9" hidden="1">#REF!,#REF!,#REF!,#REF!,#REF!,#REF!,#REF!,#REF!,#REF!,#REF!,#REF!,#REF!,#REF!,#REF!,#REF!</definedName>
    <definedName name="__APW_RESTORE_DATA953__" localSheetId="2" hidden="1">#REF!,#REF!,#REF!,#REF!,#REF!,#REF!,#REF!,#REF!,#REF!,#REF!,#REF!,#REF!,#REF!,#REF!,#REF!</definedName>
    <definedName name="__APW_RESTORE_DATA953__" hidden="1">#REF!,#REF!,#REF!,#REF!,#REF!,#REF!,#REF!,#REF!,#REF!,#REF!,#REF!,#REF!,#REF!,#REF!,#REF!</definedName>
    <definedName name="__APW_RESTORE_DATA954__" localSheetId="2" hidden="1">#REF!,#REF!,#REF!,#REF!,#REF!,#REF!,#REF!,#REF!,#REF!,#REF!,#REF!,#REF!,#REF!,#REF!,#REF!</definedName>
    <definedName name="__APW_RESTORE_DATA954__" hidden="1">#REF!,#REF!,#REF!,#REF!,#REF!,#REF!,#REF!,#REF!,#REF!,#REF!,#REF!,#REF!,#REF!,#REF!,#REF!</definedName>
    <definedName name="__APW_RESTORE_DATA955__" localSheetId="2" hidden="1">#REF!,#REF!,#REF!,#REF!,#REF!,#REF!,#REF!,#REF!,#REF!,#REF!,#REF!,#REF!,#REF!,#REF!,#REF!</definedName>
    <definedName name="__APW_RESTORE_DATA955__" hidden="1">#REF!,#REF!,#REF!,#REF!,#REF!,#REF!,#REF!,#REF!,#REF!,#REF!,#REF!,#REF!,#REF!,#REF!,#REF!</definedName>
    <definedName name="__APW_RESTORE_DATA956__" localSheetId="2" hidden="1">#REF!,#REF!,#REF!,#REF!,#REF!,#REF!,#REF!,#REF!,#REF!,#REF!,#REF!,#REF!,#REF!,#REF!,#REF!</definedName>
    <definedName name="__APW_RESTORE_DATA956__" hidden="1">#REF!,#REF!,#REF!,#REF!,#REF!,#REF!,#REF!,#REF!,#REF!,#REF!,#REF!,#REF!,#REF!,#REF!,#REF!</definedName>
    <definedName name="__APW_RESTORE_DATA957__" localSheetId="2" hidden="1">#REF!,#REF!,#REF!,#REF!,#REF!,#REF!,#REF!,#REF!,#REF!,#REF!,#REF!,#REF!,#REF!,#REF!,#REF!</definedName>
    <definedName name="__APW_RESTORE_DATA957__" hidden="1">#REF!,#REF!,#REF!,#REF!,#REF!,#REF!,#REF!,#REF!,#REF!,#REF!,#REF!,#REF!,#REF!,#REF!,#REF!</definedName>
    <definedName name="__APW_RESTORE_DATA958__" localSheetId="2" hidden="1">#REF!,#REF!,#REF!,#REF!,#REF!,#REF!,#REF!,#REF!,#REF!,#REF!,#REF!,#REF!,#REF!,#REF!,#REF!</definedName>
    <definedName name="__APW_RESTORE_DATA958__" hidden="1">#REF!,#REF!,#REF!,#REF!,#REF!,#REF!,#REF!,#REF!,#REF!,#REF!,#REF!,#REF!,#REF!,#REF!,#REF!</definedName>
    <definedName name="__APW_RESTORE_DATA959__" localSheetId="6" hidden="1">#REF!,#REF!,#REF!,#REF!,#REF!,#REF!,#REF!,#REF!,#REF!</definedName>
    <definedName name="__APW_RESTORE_DATA959__" localSheetId="9" hidden="1">#REF!,#REF!,#REF!,#REF!,#REF!,#REF!,#REF!,#REF!,#REF!</definedName>
    <definedName name="__APW_RESTORE_DATA959__" localSheetId="2" hidden="1">#REF!,#REF!,#REF!,#REF!,#REF!,#REF!,#REF!,#REF!,#REF!</definedName>
    <definedName name="__APW_RESTORE_DATA959__" hidden="1">#REF!,#REF!,#REF!,#REF!,#REF!,#REF!,#REF!,#REF!,#REF!</definedName>
    <definedName name="__APW_RESTORE_DATA96__" localSheetId="6" hidden="1">#REF!,#REF!,#REF!,#REF!,#REF!,#REF!,#REF!,#REF!,#REF!,#REF!,#REF!,#REF!,#REF!,#REF!,#REF!,#REF!,#REF!</definedName>
    <definedName name="__APW_RESTORE_DATA96__" localSheetId="9" hidden="1">#REF!,#REF!,#REF!,#REF!,#REF!,#REF!,#REF!,#REF!,#REF!,#REF!,#REF!,#REF!,#REF!,#REF!,#REF!,#REF!,#REF!</definedName>
    <definedName name="__APW_RESTORE_DATA96__" localSheetId="2" hidden="1">#REF!,#REF!,#REF!,#REF!,#REF!,#REF!,#REF!,#REF!,#REF!,#REF!,#REF!,#REF!,#REF!,#REF!,#REF!,#REF!,#REF!</definedName>
    <definedName name="__APW_RESTORE_DATA96__" hidden="1">#REF!,#REF!,#REF!,#REF!,#REF!,#REF!,#REF!,#REF!,#REF!,#REF!,#REF!,#REF!,#REF!,#REF!,#REF!,#REF!,#REF!</definedName>
    <definedName name="__APW_RESTORE_DATA960__" localSheetId="6" hidden="1">#REF!,#REF!,#REF!,#REF!,#REF!,#REF!,#REF!,#REF!,#REF!,#REF!,#REF!,#REF!,#REF!,#REF!,#REF!,#REF!</definedName>
    <definedName name="__APW_RESTORE_DATA960__" localSheetId="9" hidden="1">#REF!,#REF!,#REF!,#REF!,#REF!,#REF!,#REF!,#REF!,#REF!,#REF!,#REF!,#REF!,#REF!,#REF!,#REF!,#REF!</definedName>
    <definedName name="__APW_RESTORE_DATA960__" localSheetId="2" hidden="1">#REF!,#REF!,#REF!,#REF!,#REF!,#REF!,#REF!,#REF!,#REF!,#REF!,#REF!,#REF!,#REF!,#REF!,#REF!,#REF!</definedName>
    <definedName name="__APW_RESTORE_DATA960__" hidden="1">#REF!,#REF!,#REF!,#REF!,#REF!,#REF!,#REF!,#REF!,#REF!,#REF!,#REF!,#REF!,#REF!,#REF!,#REF!,#REF!</definedName>
    <definedName name="__APW_RESTORE_DATA961__" localSheetId="6" hidden="1">#REF!,#REF!,#REF!,#REF!,#REF!,#REF!,#REF!,#REF!,#REF!,#REF!,#REF!,#REF!,#REF!,#REF!,#REF!</definedName>
    <definedName name="__APW_RESTORE_DATA961__" localSheetId="9" hidden="1">#REF!,#REF!,#REF!,#REF!,#REF!,#REF!,#REF!,#REF!,#REF!,#REF!,#REF!,#REF!,#REF!,#REF!,#REF!</definedName>
    <definedName name="__APW_RESTORE_DATA961__" localSheetId="2" hidden="1">#REF!,#REF!,#REF!,#REF!,#REF!,#REF!,#REF!,#REF!,#REF!,#REF!,#REF!,#REF!,#REF!,#REF!,#REF!</definedName>
    <definedName name="__APW_RESTORE_DATA961__" hidden="1">#REF!,#REF!,#REF!,#REF!,#REF!,#REF!,#REF!,#REF!,#REF!,#REF!,#REF!,#REF!,#REF!,#REF!,#REF!</definedName>
    <definedName name="__APW_RESTORE_DATA962__" localSheetId="6" hidden="1">#REF!,#REF!,#REF!,#REF!,#REF!,#REF!,#REF!,#REF!,#REF!,#REF!,#REF!,#REF!,#REF!,#REF!,#REF!</definedName>
    <definedName name="__APW_RESTORE_DATA962__" localSheetId="9" hidden="1">#REF!,#REF!,#REF!,#REF!,#REF!,#REF!,#REF!,#REF!,#REF!,#REF!,#REF!,#REF!,#REF!,#REF!,#REF!</definedName>
    <definedName name="__APW_RESTORE_DATA962__" localSheetId="2" hidden="1">#REF!,#REF!,#REF!,#REF!,#REF!,#REF!,#REF!,#REF!,#REF!,#REF!,#REF!,#REF!,#REF!,#REF!,#REF!</definedName>
    <definedName name="__APW_RESTORE_DATA962__" hidden="1">#REF!,#REF!,#REF!,#REF!,#REF!,#REF!,#REF!,#REF!,#REF!,#REF!,#REF!,#REF!,#REF!,#REF!,#REF!</definedName>
    <definedName name="__APW_RESTORE_DATA963__" localSheetId="6" hidden="1">#REF!,#REF!,#REF!,#REF!,#REF!,#REF!,#REF!,#REF!,#REF!,#REF!,#REF!,#REF!,#REF!,#REF!,#REF!</definedName>
    <definedName name="__APW_RESTORE_DATA963__" localSheetId="9" hidden="1">#REF!,#REF!,#REF!,#REF!,#REF!,#REF!,#REF!,#REF!,#REF!,#REF!,#REF!,#REF!,#REF!,#REF!,#REF!</definedName>
    <definedName name="__APW_RESTORE_DATA963__" localSheetId="2" hidden="1">#REF!,#REF!,#REF!,#REF!,#REF!,#REF!,#REF!,#REF!,#REF!,#REF!,#REF!,#REF!,#REF!,#REF!,#REF!</definedName>
    <definedName name="__APW_RESTORE_DATA963__" hidden="1">#REF!,#REF!,#REF!,#REF!,#REF!,#REF!,#REF!,#REF!,#REF!,#REF!,#REF!,#REF!,#REF!,#REF!,#REF!</definedName>
    <definedName name="__APW_RESTORE_DATA964__" localSheetId="2" hidden="1">#REF!,#REF!,#REF!,#REF!,#REF!,#REF!,#REF!,#REF!,#REF!,#REF!,#REF!,#REF!,#REF!,#REF!,#REF!</definedName>
    <definedName name="__APW_RESTORE_DATA964__" hidden="1">#REF!,#REF!,#REF!,#REF!,#REF!,#REF!,#REF!,#REF!,#REF!,#REF!,#REF!,#REF!,#REF!,#REF!,#REF!</definedName>
    <definedName name="__APW_RESTORE_DATA965__" localSheetId="2" hidden="1">#REF!,#REF!,#REF!,#REF!,#REF!,#REF!,#REF!,#REF!,#REF!,#REF!,#REF!,#REF!,#REF!,#REF!,#REF!</definedName>
    <definedName name="__APW_RESTORE_DATA965__" hidden="1">#REF!,#REF!,#REF!,#REF!,#REF!,#REF!,#REF!,#REF!,#REF!,#REF!,#REF!,#REF!,#REF!,#REF!,#REF!</definedName>
    <definedName name="__APW_RESTORE_DATA966__" localSheetId="2" hidden="1">#REF!,#REF!,#REF!,#REF!,#REF!,#REF!,#REF!,#REF!,#REF!,#REF!,#REF!,#REF!,#REF!,#REF!,#REF!</definedName>
    <definedName name="__APW_RESTORE_DATA966__" hidden="1">#REF!,#REF!,#REF!,#REF!,#REF!,#REF!,#REF!,#REF!,#REF!,#REF!,#REF!,#REF!,#REF!,#REF!,#REF!</definedName>
    <definedName name="__APW_RESTORE_DATA967__" localSheetId="6" hidden="1">#REF!,#REF!,#REF!,#REF!,#REF!,#REF!,#REF!,#REF!,#REF!,#REF!,#REF!,#REF!,#REF!,#REF!</definedName>
    <definedName name="__APW_RESTORE_DATA967__" localSheetId="9" hidden="1">#REF!,#REF!,#REF!,#REF!,#REF!,#REF!,#REF!,#REF!,#REF!,#REF!,#REF!,#REF!,#REF!,#REF!</definedName>
    <definedName name="__APW_RESTORE_DATA967__" localSheetId="2" hidden="1">#REF!,#REF!,#REF!,#REF!,#REF!,#REF!,#REF!,#REF!,#REF!,#REF!,#REF!,#REF!,#REF!,#REF!</definedName>
    <definedName name="__APW_RESTORE_DATA967__" hidden="1">#REF!,#REF!,#REF!,#REF!,#REF!,#REF!,#REF!,#REF!,#REF!,#REF!,#REF!,#REF!,#REF!,#REF!</definedName>
    <definedName name="__APW_RESTORE_DATA968__" localSheetId="6" hidden="1">#REF!,#REF!,#REF!,#REF!,#REF!,#REF!,#REF!,#REF!,#REF!,#REF!,#REF!,#REF!,#REF!,#REF!</definedName>
    <definedName name="__APW_RESTORE_DATA968__" localSheetId="9" hidden="1">#REF!,#REF!,#REF!,#REF!,#REF!,#REF!,#REF!,#REF!,#REF!,#REF!,#REF!,#REF!,#REF!,#REF!</definedName>
    <definedName name="__APW_RESTORE_DATA968__" localSheetId="2" hidden="1">#REF!,#REF!,#REF!,#REF!,#REF!,#REF!,#REF!,#REF!,#REF!,#REF!,#REF!,#REF!,#REF!,#REF!</definedName>
    <definedName name="__APW_RESTORE_DATA968__" hidden="1">#REF!,#REF!,#REF!,#REF!,#REF!,#REF!,#REF!,#REF!,#REF!,#REF!,#REF!,#REF!,#REF!,#REF!</definedName>
    <definedName name="__APW_RESTORE_DATA969__" localSheetId="6" hidden="1">#REF!,#REF!,#REF!,#REF!,#REF!,#REF!,#REF!,#REF!,#REF!,#REF!,#REF!,#REF!,#REF!,#REF!</definedName>
    <definedName name="__APW_RESTORE_DATA969__" localSheetId="9" hidden="1">#REF!,#REF!,#REF!,#REF!,#REF!,#REF!,#REF!,#REF!,#REF!,#REF!,#REF!,#REF!,#REF!,#REF!</definedName>
    <definedName name="__APW_RESTORE_DATA969__" localSheetId="2" hidden="1">#REF!,#REF!,#REF!,#REF!,#REF!,#REF!,#REF!,#REF!,#REF!,#REF!,#REF!,#REF!,#REF!,#REF!</definedName>
    <definedName name="__APW_RESTORE_DATA969__" hidden="1">#REF!,#REF!,#REF!,#REF!,#REF!,#REF!,#REF!,#REF!,#REF!,#REF!,#REF!,#REF!,#REF!,#REF!</definedName>
    <definedName name="__APW_RESTORE_DATA97__" localSheetId="6" hidden="1">#REF!,#REF!,#REF!,#REF!,#REF!,#REF!,#REF!,#REF!,#REF!,#REF!,#REF!,#REF!,#REF!,#REF!,#REF!,#REF!</definedName>
    <definedName name="__APW_RESTORE_DATA97__" localSheetId="9" hidden="1">#REF!,#REF!,#REF!,#REF!,#REF!,#REF!,#REF!,#REF!,#REF!,#REF!,#REF!,#REF!,#REF!,#REF!,#REF!,#REF!</definedName>
    <definedName name="__APW_RESTORE_DATA97__" localSheetId="2" hidden="1">#REF!,#REF!,#REF!,#REF!,#REF!,#REF!,#REF!,#REF!,#REF!,#REF!,#REF!,#REF!,#REF!,#REF!,#REF!,#REF!</definedName>
    <definedName name="__APW_RESTORE_DATA97__" hidden="1">#REF!,#REF!,#REF!,#REF!,#REF!,#REF!,#REF!,#REF!,#REF!,#REF!,#REF!,#REF!,#REF!,#REF!,#REF!,#REF!</definedName>
    <definedName name="__APW_RESTORE_DATA970__" localSheetId="6" hidden="1">#REF!,#REF!,#REF!,#REF!,#REF!,#REF!,#REF!,#REF!,#REF!,#REF!,#REF!,#REF!,#REF!,#REF!</definedName>
    <definedName name="__APW_RESTORE_DATA970__" localSheetId="9" hidden="1">#REF!,#REF!,#REF!,#REF!,#REF!,#REF!,#REF!,#REF!,#REF!,#REF!,#REF!,#REF!,#REF!,#REF!</definedName>
    <definedName name="__APW_RESTORE_DATA970__" localSheetId="2" hidden="1">#REF!,#REF!,#REF!,#REF!,#REF!,#REF!,#REF!,#REF!,#REF!,#REF!,#REF!,#REF!,#REF!,#REF!</definedName>
    <definedName name="__APW_RESTORE_DATA970__" hidden="1">#REF!,#REF!,#REF!,#REF!,#REF!,#REF!,#REF!,#REF!,#REF!,#REF!,#REF!,#REF!,#REF!,#REF!</definedName>
    <definedName name="__APW_RESTORE_DATA971__" localSheetId="6" hidden="1">#REF!,#REF!,#REF!,#REF!,#REF!,#REF!,#REF!,#REF!,#REF!,#REF!,#REF!,#REF!,#REF!,#REF!</definedName>
    <definedName name="__APW_RESTORE_DATA971__" localSheetId="9" hidden="1">#REF!,#REF!,#REF!,#REF!,#REF!,#REF!,#REF!,#REF!,#REF!,#REF!,#REF!,#REF!,#REF!,#REF!</definedName>
    <definedName name="__APW_RESTORE_DATA971__" localSheetId="2" hidden="1">#REF!,#REF!,#REF!,#REF!,#REF!,#REF!,#REF!,#REF!,#REF!,#REF!,#REF!,#REF!,#REF!,#REF!</definedName>
    <definedName name="__APW_RESTORE_DATA971__" hidden="1">#REF!,#REF!,#REF!,#REF!,#REF!,#REF!,#REF!,#REF!,#REF!,#REF!,#REF!,#REF!,#REF!,#REF!</definedName>
    <definedName name="__APW_RESTORE_DATA972__" localSheetId="6" hidden="1">#REF!,#REF!,#REF!,#REF!,#REF!,#REF!,#REF!,#REF!,#REF!,#REF!,#REF!,#REF!,#REF!,#REF!</definedName>
    <definedName name="__APW_RESTORE_DATA972__" localSheetId="9" hidden="1">#REF!,#REF!,#REF!,#REF!,#REF!,#REF!,#REF!,#REF!,#REF!,#REF!,#REF!,#REF!,#REF!,#REF!</definedName>
    <definedName name="__APW_RESTORE_DATA972__" localSheetId="2" hidden="1">#REF!,#REF!,#REF!,#REF!,#REF!,#REF!,#REF!,#REF!,#REF!,#REF!,#REF!,#REF!,#REF!,#REF!</definedName>
    <definedName name="__APW_RESTORE_DATA972__" hidden="1">#REF!,#REF!,#REF!,#REF!,#REF!,#REF!,#REF!,#REF!,#REF!,#REF!,#REF!,#REF!,#REF!,#REF!</definedName>
    <definedName name="__APW_RESTORE_DATA973__" localSheetId="2" hidden="1">#REF!,#REF!,#REF!,#REF!,#REF!,#REF!,#REF!,#REF!,#REF!,#REF!,#REF!,#REF!,#REF!,#REF!</definedName>
    <definedName name="__APW_RESTORE_DATA973__" hidden="1">#REF!,#REF!,#REF!,#REF!,#REF!,#REF!,#REF!,#REF!,#REF!,#REF!,#REF!,#REF!,#REF!,#REF!</definedName>
    <definedName name="__APW_RESTORE_DATA974__" localSheetId="2" hidden="1">#REF!,#REF!,#REF!,#REF!,#REF!,#REF!,#REF!,#REF!,#REF!,#REF!,#REF!,#REF!,#REF!,#REF!</definedName>
    <definedName name="__APW_RESTORE_DATA974__" hidden="1">#REF!,#REF!,#REF!,#REF!,#REF!,#REF!,#REF!,#REF!,#REF!,#REF!,#REF!,#REF!,#REF!,#REF!</definedName>
    <definedName name="__APW_RESTORE_DATA975__" localSheetId="6" hidden="1">#REF!,#REF!,#REF!,#REF!,#REF!,#REF!,#REF!,#REF!</definedName>
    <definedName name="__APW_RESTORE_DATA975__" localSheetId="9" hidden="1">#REF!,#REF!,#REF!,#REF!,#REF!,#REF!,#REF!,#REF!</definedName>
    <definedName name="__APW_RESTORE_DATA975__" localSheetId="2" hidden="1">#REF!,#REF!,#REF!,#REF!,#REF!,#REF!,#REF!,#REF!</definedName>
    <definedName name="__APW_RESTORE_DATA975__" hidden="1">#REF!,#REF!,#REF!,#REF!,#REF!,#REF!,#REF!,#REF!</definedName>
    <definedName name="__APW_RESTORE_DATA98__" localSheetId="6" hidden="1">#REF!,#REF!,#REF!,#REF!,#REF!,#REF!,#REF!,#REF!,#REF!,#REF!,#REF!,#REF!,#REF!,#REF!,#REF!,#REF!</definedName>
    <definedName name="__APW_RESTORE_DATA98__" localSheetId="9" hidden="1">#REF!,#REF!,#REF!,#REF!,#REF!,#REF!,#REF!,#REF!,#REF!,#REF!,#REF!,#REF!,#REF!,#REF!,#REF!,#REF!</definedName>
    <definedName name="__APW_RESTORE_DATA98__" localSheetId="2" hidden="1">#REF!,#REF!,#REF!,#REF!,#REF!,#REF!,#REF!,#REF!,#REF!,#REF!,#REF!,#REF!,#REF!,#REF!,#REF!,#REF!</definedName>
    <definedName name="__APW_RESTORE_DATA98__" hidden="1">#REF!,#REF!,#REF!,#REF!,#REF!,#REF!,#REF!,#REF!,#REF!,#REF!,#REF!,#REF!,#REF!,#REF!,#REF!,#REF!</definedName>
    <definedName name="__APW_RESTORE_DATA99__" localSheetId="6" hidden="1">#REF!,#REF!,#REF!,#REF!,#REF!,#REF!,#REF!,#REF!,#REF!,#REF!,#REF!,#REF!,#REF!,#REF!,#REF!,#REF!</definedName>
    <definedName name="__APW_RESTORE_DATA99__" localSheetId="9" hidden="1">#REF!,#REF!,#REF!,#REF!,#REF!,#REF!,#REF!,#REF!,#REF!,#REF!,#REF!,#REF!,#REF!,#REF!,#REF!,#REF!</definedName>
    <definedName name="__APW_RESTORE_DATA99__" localSheetId="2" hidden="1">#REF!,#REF!,#REF!,#REF!,#REF!,#REF!,#REF!,#REF!,#REF!,#REF!,#REF!,#REF!,#REF!,#REF!,#REF!,#REF!</definedName>
    <definedName name="__APW_RESTORE_DATA99__" hidden="1">#REF!,#REF!,#REF!,#REF!,#REF!,#REF!,#REF!,#REF!,#REF!,#REF!,#REF!,#REF!,#REF!,#REF!,#REF!,#REF!</definedName>
    <definedName name="__DAT1">'[3]Caracteristicas Productos'!#REF!</definedName>
    <definedName name="__DAT10">#REF!</definedName>
    <definedName name="__DAT11">#REF!</definedName>
    <definedName name="__DAT12">#REF!</definedName>
    <definedName name="__DAT13">#REF!</definedName>
    <definedName name="__DAT16">'[10]Excise on RM'!#REF!</definedName>
    <definedName name="__DAT17">'[10]Excise on RM'!#REF!</definedName>
    <definedName name="__DAT18">'[10]Excise on RM'!#REF!</definedName>
    <definedName name="__DAT2">'[3]Caracteristicas Productos'!#REF!</definedName>
    <definedName name="__DAT21">'[10]Excise on RM'!#REF!</definedName>
    <definedName name="__DAT23">'[10]Excise on RM'!#REF!</definedName>
    <definedName name="__DAT24">'[10]Excise on RM'!#REF!</definedName>
    <definedName name="__DAT27">'[10]Excise on RM'!#REF!</definedName>
    <definedName name="__DAT28">'[10]Excise on RM'!#REF!</definedName>
    <definedName name="__DAT3">'[3]Caracteristicas Productos'!#REF!</definedName>
    <definedName name="__DAT30">'[10]Excise on RM'!#REF!</definedName>
    <definedName name="__DAT31">'[10]Excise on RM'!#REF!</definedName>
    <definedName name="__DAT32">'[10]Excise on RM'!#REF!</definedName>
    <definedName name="__DAT33">'[10]Excise on RM'!#REF!</definedName>
    <definedName name="__DAT4">'[3]Caracteristicas Productos'!#REF!</definedName>
    <definedName name="__DAT5">'[3]Caracteristicas Productos'!#REF!</definedName>
    <definedName name="__DAT6">#REF!</definedName>
    <definedName name="__DAT7">#REF!</definedName>
    <definedName name="__DAT8">#REF!</definedName>
    <definedName name="__DAT9">#REF!</definedName>
    <definedName name="__dev2">[11]BKCSTOCKVAL!#REF!</definedName>
    <definedName name="__dk1" localSheetId="6" hidden="1">{#N/A,#N/A,FALSE,"COVER.XLS";#N/A,#N/A,FALSE,"RACT1.XLS";#N/A,#N/A,FALSE,"RACT2.XLS";#N/A,#N/A,FALSE,"ECCMP";#N/A,#N/A,FALSE,"WELDER.XLS"}</definedName>
    <definedName name="__dk1" localSheetId="9" hidden="1">{#N/A,#N/A,FALSE,"COVER.XLS";#N/A,#N/A,FALSE,"RACT1.XLS";#N/A,#N/A,FALSE,"RACT2.XLS";#N/A,#N/A,FALSE,"ECCMP";#N/A,#N/A,FALSE,"WELDER.XLS"}</definedName>
    <definedName name="__dk1" localSheetId="2" hidden="1">{#N/A,#N/A,FALSE,"COVER.XLS";#N/A,#N/A,FALSE,"RACT1.XLS";#N/A,#N/A,FALSE,"RACT2.XLS";#N/A,#N/A,FALSE,"ECCMP";#N/A,#N/A,FALSE,"WELDER.XLS"}</definedName>
    <definedName name="__dk1" hidden="1">{#N/A,#N/A,FALSE,"COVER.XLS";#N/A,#N/A,FALSE,"RACT1.XLS";#N/A,#N/A,FALSE,"RACT2.XLS";#N/A,#N/A,FALSE,"ECCMP";#N/A,#N/A,FALSE,"WELDER.XLS"}</definedName>
    <definedName name="__FDS_HYPERLINK_TOGGLE_STATE__" hidden="1">"ON"</definedName>
    <definedName name="__IntlFixup" hidden="1">TRUE</definedName>
    <definedName name="__INV1">[12]Inversión!#REF!</definedName>
    <definedName name="__INV2">[12]Inversión!#REF!</definedName>
    <definedName name="__INV3">[12]Inversión!#REF!</definedName>
    <definedName name="__INV4">[12]Inversión!#REF!</definedName>
    <definedName name="__INV5">[12]Inversión!#REF!</definedName>
    <definedName name="__k8" localSheetId="6" hidden="1">{#N/A,#N/A,FALSE,"COVER1.XLS ";#N/A,#N/A,FALSE,"RACT1.XLS";#N/A,#N/A,FALSE,"RACT2.XLS";#N/A,#N/A,FALSE,"ECCMP";#N/A,#N/A,FALSE,"WELDER.XLS"}</definedName>
    <definedName name="__k8" localSheetId="9" hidden="1">{#N/A,#N/A,FALSE,"COVER1.XLS ";#N/A,#N/A,FALSE,"RACT1.XLS";#N/A,#N/A,FALSE,"RACT2.XLS";#N/A,#N/A,FALSE,"ECCMP";#N/A,#N/A,FALSE,"WELDER.XLS"}</definedName>
    <definedName name="__k8" localSheetId="2" hidden="1">{#N/A,#N/A,FALSE,"COVER1.XLS ";#N/A,#N/A,FALSE,"RACT1.XLS";#N/A,#N/A,FALSE,"RACT2.XLS";#N/A,#N/A,FALSE,"ECCMP";#N/A,#N/A,FALSE,"WELDER.XLS"}</definedName>
    <definedName name="__k8" hidden="1">{#N/A,#N/A,FALSE,"COVER1.XLS ";#N/A,#N/A,FALSE,"RACT1.XLS";#N/A,#N/A,FALSE,"RACT2.XLS";#N/A,#N/A,FALSE,"ECCMP";#N/A,#N/A,FALSE,"WELDER.XLS"}</definedName>
    <definedName name="__KEY1" hidden="1">#REF!</definedName>
    <definedName name="__kv2" localSheetId="6" hidden="1">{#N/A,#N/A,FALSE,"COVER1.XLS ";#N/A,#N/A,FALSE,"RACT1.XLS";#N/A,#N/A,FALSE,"RACT2.XLS";#N/A,#N/A,FALSE,"ECCMP";#N/A,#N/A,FALSE,"WELDER.XLS"}</definedName>
    <definedName name="__kv2" localSheetId="9" hidden="1">{#N/A,#N/A,FALSE,"COVER1.XLS ";#N/A,#N/A,FALSE,"RACT1.XLS";#N/A,#N/A,FALSE,"RACT2.XLS";#N/A,#N/A,FALSE,"ECCMP";#N/A,#N/A,FALSE,"WELDER.XLS"}</definedName>
    <definedName name="__kv2" localSheetId="2" hidden="1">{#N/A,#N/A,FALSE,"COVER1.XLS ";#N/A,#N/A,FALSE,"RACT1.XLS";#N/A,#N/A,FALSE,"RACT2.XLS";#N/A,#N/A,FALSE,"ECCMP";#N/A,#N/A,FALSE,"WELDER.XLS"}</definedName>
    <definedName name="__kv2" hidden="1">{#N/A,#N/A,FALSE,"COVER1.XLS ";#N/A,#N/A,FALSE,"RACT1.XLS";#N/A,#N/A,FALSE,"RACT2.XLS";#N/A,#N/A,FALSE,"ECCMP";#N/A,#N/A,FALSE,"WELDER.XLS"}</definedName>
    <definedName name="__kvs1" localSheetId="6" hidden="1">{#N/A,#N/A,FALSE,"COVER1.XLS ";#N/A,#N/A,FALSE,"RACT1.XLS";#N/A,#N/A,FALSE,"RACT2.XLS";#N/A,#N/A,FALSE,"ECCMP";#N/A,#N/A,FALSE,"WELDER.XLS"}</definedName>
    <definedName name="__kvs1" localSheetId="9" hidden="1">{#N/A,#N/A,FALSE,"COVER1.XLS ";#N/A,#N/A,FALSE,"RACT1.XLS";#N/A,#N/A,FALSE,"RACT2.XLS";#N/A,#N/A,FALSE,"ECCMP";#N/A,#N/A,FALSE,"WELDER.XLS"}</definedName>
    <definedName name="__kvs1" localSheetId="2" hidden="1">{#N/A,#N/A,FALSE,"COVER1.XLS ";#N/A,#N/A,FALSE,"RACT1.XLS";#N/A,#N/A,FALSE,"RACT2.XLS";#N/A,#N/A,FALSE,"ECCMP";#N/A,#N/A,FALSE,"WELDER.XLS"}</definedName>
    <definedName name="__kvs1" hidden="1">{#N/A,#N/A,FALSE,"COVER1.XLS ";#N/A,#N/A,FALSE,"RACT1.XLS";#N/A,#N/A,FALSE,"RACT2.XLS";#N/A,#N/A,FALSE,"ECCMP";#N/A,#N/A,FALSE,"WELDER.XLS"}</definedName>
    <definedName name="__kvs2" localSheetId="6" hidden="1">{#N/A,#N/A,FALSE,"COVER1.XLS ";#N/A,#N/A,FALSE,"RACT1.XLS";#N/A,#N/A,FALSE,"RACT2.XLS";#N/A,#N/A,FALSE,"ECCMP";#N/A,#N/A,FALSE,"WELDER.XLS"}</definedName>
    <definedName name="__kvs2" localSheetId="9" hidden="1">{#N/A,#N/A,FALSE,"COVER1.XLS ";#N/A,#N/A,FALSE,"RACT1.XLS";#N/A,#N/A,FALSE,"RACT2.XLS";#N/A,#N/A,FALSE,"ECCMP";#N/A,#N/A,FALSE,"WELDER.XLS"}</definedName>
    <definedName name="__kvs2" localSheetId="2" hidden="1">{#N/A,#N/A,FALSE,"COVER1.XLS ";#N/A,#N/A,FALSE,"RACT1.XLS";#N/A,#N/A,FALSE,"RACT2.XLS";#N/A,#N/A,FALSE,"ECCMP";#N/A,#N/A,FALSE,"WELDER.XLS"}</definedName>
    <definedName name="__kvs2" hidden="1">{#N/A,#N/A,FALSE,"COVER1.XLS ";#N/A,#N/A,FALSE,"RACT1.XLS";#N/A,#N/A,FALSE,"RACT2.XLS";#N/A,#N/A,FALSE,"ECCMP";#N/A,#N/A,FALSE,"WELDER.XLS"}</definedName>
    <definedName name="__kvs5" localSheetId="6" hidden="1">{#N/A,#N/A,FALSE,"COVER.XLS";#N/A,#N/A,FALSE,"RACT1.XLS";#N/A,#N/A,FALSE,"RACT2.XLS";#N/A,#N/A,FALSE,"ECCMP";#N/A,#N/A,FALSE,"WELDER.XLS"}</definedName>
    <definedName name="__kvs5" localSheetId="9" hidden="1">{#N/A,#N/A,FALSE,"COVER.XLS";#N/A,#N/A,FALSE,"RACT1.XLS";#N/A,#N/A,FALSE,"RACT2.XLS";#N/A,#N/A,FALSE,"ECCMP";#N/A,#N/A,FALSE,"WELDER.XLS"}</definedName>
    <definedName name="__kvs5" localSheetId="2" hidden="1">{#N/A,#N/A,FALSE,"COVER.XLS";#N/A,#N/A,FALSE,"RACT1.XLS";#N/A,#N/A,FALSE,"RACT2.XLS";#N/A,#N/A,FALSE,"ECCMP";#N/A,#N/A,FALSE,"WELDER.XLS"}</definedName>
    <definedName name="__kvs5" hidden="1">{#N/A,#N/A,FALSE,"COVER.XLS";#N/A,#N/A,FALSE,"RACT1.XLS";#N/A,#N/A,FALSE,"RACT2.XLS";#N/A,#N/A,FALSE,"ECCMP";#N/A,#N/A,FALSE,"WELDER.XLS"}</definedName>
    <definedName name="__kvs7" localSheetId="6" hidden="1">{#N/A,#N/A,FALSE,"COVER1.XLS ";#N/A,#N/A,FALSE,"RACT1.XLS";#N/A,#N/A,FALSE,"RACT2.XLS";#N/A,#N/A,FALSE,"ECCMP";#N/A,#N/A,FALSE,"WELDER.XLS"}</definedName>
    <definedName name="__kvs7" localSheetId="9" hidden="1">{#N/A,#N/A,FALSE,"COVER1.XLS ";#N/A,#N/A,FALSE,"RACT1.XLS";#N/A,#N/A,FALSE,"RACT2.XLS";#N/A,#N/A,FALSE,"ECCMP";#N/A,#N/A,FALSE,"WELDER.XLS"}</definedName>
    <definedName name="__kvs7" localSheetId="2" hidden="1">{#N/A,#N/A,FALSE,"COVER1.XLS ";#N/A,#N/A,FALSE,"RACT1.XLS";#N/A,#N/A,FALSE,"RACT2.XLS";#N/A,#N/A,FALSE,"ECCMP";#N/A,#N/A,FALSE,"WELDER.XLS"}</definedName>
    <definedName name="__kvs7" hidden="1">{#N/A,#N/A,FALSE,"COVER1.XLS ";#N/A,#N/A,FALSE,"RACT1.XLS";#N/A,#N/A,FALSE,"RACT2.XLS";#N/A,#N/A,FALSE,"ECCMP";#N/A,#N/A,FALSE,"WELDER.XLS"}</definedName>
    <definedName name="__kvs8" localSheetId="6" hidden="1">{#N/A,#N/A,FALSE,"COVER1.XLS ";#N/A,#N/A,FALSE,"RACT1.XLS";#N/A,#N/A,FALSE,"RACT2.XLS";#N/A,#N/A,FALSE,"ECCMP";#N/A,#N/A,FALSE,"WELDER.XLS"}</definedName>
    <definedName name="__kvs8" localSheetId="9" hidden="1">{#N/A,#N/A,FALSE,"COVER1.XLS ";#N/A,#N/A,FALSE,"RACT1.XLS";#N/A,#N/A,FALSE,"RACT2.XLS";#N/A,#N/A,FALSE,"ECCMP";#N/A,#N/A,FALSE,"WELDER.XLS"}</definedName>
    <definedName name="__kvs8" localSheetId="2" hidden="1">{#N/A,#N/A,FALSE,"COVER1.XLS ";#N/A,#N/A,FALSE,"RACT1.XLS";#N/A,#N/A,FALSE,"RACT2.XLS";#N/A,#N/A,FALSE,"ECCMP";#N/A,#N/A,FALSE,"WELDER.XLS"}</definedName>
    <definedName name="__kvs8" hidden="1">{#N/A,#N/A,FALSE,"COVER1.XLS ";#N/A,#N/A,FALSE,"RACT1.XLS";#N/A,#N/A,FALSE,"RACT2.XLS";#N/A,#N/A,FALSE,"ECCMP";#N/A,#N/A,FALSE,"WELDER.XLS"}</definedName>
    <definedName name="__KVS9" localSheetId="6" hidden="1">{#N/A,#N/A,FALSE,"COVER1.XLS ";#N/A,#N/A,FALSE,"RACT1.XLS";#N/A,#N/A,FALSE,"RACT2.XLS";#N/A,#N/A,FALSE,"ECCMP";#N/A,#N/A,FALSE,"WELDER.XLS"}</definedName>
    <definedName name="__KVS9" localSheetId="9" hidden="1">{#N/A,#N/A,FALSE,"COVER1.XLS ";#N/A,#N/A,FALSE,"RACT1.XLS";#N/A,#N/A,FALSE,"RACT2.XLS";#N/A,#N/A,FALSE,"ECCMP";#N/A,#N/A,FALSE,"WELDER.XLS"}</definedName>
    <definedName name="__KVS9" localSheetId="2" hidden="1">{#N/A,#N/A,FALSE,"COVER1.XLS ";#N/A,#N/A,FALSE,"RACT1.XLS";#N/A,#N/A,FALSE,"RACT2.XLS";#N/A,#N/A,FALSE,"ECCMP";#N/A,#N/A,FALSE,"WELDER.XLS"}</definedName>
    <definedName name="__KVS9" hidden="1">{#N/A,#N/A,FALSE,"COVER1.XLS ";#N/A,#N/A,FALSE,"RACT1.XLS";#N/A,#N/A,FALSE,"RACT2.XLS";#N/A,#N/A,FALSE,"ECCMP";#N/A,#N/A,FALSE,"WELDER.XLS"}</definedName>
    <definedName name="__l2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2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2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b1">#REF!</definedName>
    <definedName name="__lb2">#REF!</definedName>
    <definedName name="__lk1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k1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k1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mm1">#REF!</definedName>
    <definedName name="__mm2">#REF!</definedName>
    <definedName name="__mm3">#REF!</definedName>
    <definedName name="__msy1">[13]Assmpns!#REF!</definedName>
    <definedName name="__msy2">[13]Assmpns!#REF!</definedName>
    <definedName name="__msy3">[13]Assmpns!#REF!</definedName>
    <definedName name="__msy4">[13]Assmpns!#REF!</definedName>
    <definedName name="__OV1">#N/A</definedName>
    <definedName name="__PFR1">'[14]CA mag par PFR'!#REF!</definedName>
    <definedName name="__PFR2">'[14]CA mag par PFR'!#REF!</definedName>
    <definedName name="__PFR3">'[14]CA mag par PFR'!#REF!</definedName>
    <definedName name="__PFR4">'[14]CA mag par PFR'!#REF!</definedName>
    <definedName name="__PFR5">'[14]CA mag par PFR'!#REF!</definedName>
    <definedName name="__PFR6">'[14]CA mag par PFR'!#REF!</definedName>
    <definedName name="__PRN1" localSheetId="6" hidden="1">{#N/A,#N/A,FALSE,"COVER.XLS";#N/A,#N/A,FALSE,"RACT1.XLS";#N/A,#N/A,FALSE,"RACT2.XLS";#N/A,#N/A,FALSE,"ECCMP";#N/A,#N/A,FALSE,"WELDER.XLS"}</definedName>
    <definedName name="__PRN1" localSheetId="9" hidden="1">{#N/A,#N/A,FALSE,"COVER.XLS";#N/A,#N/A,FALSE,"RACT1.XLS";#N/A,#N/A,FALSE,"RACT2.XLS";#N/A,#N/A,FALSE,"ECCMP";#N/A,#N/A,FALSE,"WELDER.XLS"}</definedName>
    <definedName name="__PRN1" localSheetId="2" hidden="1">{#N/A,#N/A,FALSE,"COVER.XLS";#N/A,#N/A,FALSE,"RACT1.XLS";#N/A,#N/A,FALSE,"RACT2.XLS";#N/A,#N/A,FALSE,"ECCMP";#N/A,#N/A,FALSE,"WELDER.XLS"}</definedName>
    <definedName name="__PRN1" hidden="1">{#N/A,#N/A,FALSE,"COVER.XLS";#N/A,#N/A,FALSE,"RACT1.XLS";#N/A,#N/A,FALSE,"RACT2.XLS";#N/A,#N/A,FALSE,"ECCMP";#N/A,#N/A,FALSE,"WELDER.XLS"}</definedName>
    <definedName name="__q2" localSheetId="6" hidden="1">{#N/A,#N/A,FALSE,"COVER1.XLS ";#N/A,#N/A,FALSE,"RACT1.XLS";#N/A,#N/A,FALSE,"RACT2.XLS";#N/A,#N/A,FALSE,"ECCMP";#N/A,#N/A,FALSE,"WELDER.XLS"}</definedName>
    <definedName name="__q2" localSheetId="9" hidden="1">{#N/A,#N/A,FALSE,"COVER1.XLS ";#N/A,#N/A,FALSE,"RACT1.XLS";#N/A,#N/A,FALSE,"RACT2.XLS";#N/A,#N/A,FALSE,"ECCMP";#N/A,#N/A,FALSE,"WELDER.XLS"}</definedName>
    <definedName name="__q2" localSheetId="2" hidden="1">{#N/A,#N/A,FALSE,"COVER1.XLS ";#N/A,#N/A,FALSE,"RACT1.XLS";#N/A,#N/A,FALSE,"RACT2.XLS";#N/A,#N/A,FALSE,"ECCMP";#N/A,#N/A,FALSE,"WELDER.XLS"}</definedName>
    <definedName name="__q2" hidden="1">{#N/A,#N/A,FALSE,"COVER1.XLS ";#N/A,#N/A,FALSE,"RACT1.XLS";#N/A,#N/A,FALSE,"RACT2.XLS";#N/A,#N/A,FALSE,"ECCMP";#N/A,#N/A,FALSE,"WELDER.XLS"}</definedName>
    <definedName name="__sch4">[15]BS!#REF!</definedName>
    <definedName name="__SIX6">#REF!</definedName>
    <definedName name="__t1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t1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t1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t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tax2">#REF!</definedName>
    <definedName name="__tax3">#REF!</definedName>
    <definedName name="__tr1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tr1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tr1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UN1">'[12]Cuenta Explotación'!#REF!</definedName>
    <definedName name="__w2" localSheetId="6" hidden="1">{#N/A,#N/A,FALSE,"17MAY";#N/A,#N/A,FALSE,"24MAY"}</definedName>
    <definedName name="__w2" localSheetId="9" hidden="1">{#N/A,#N/A,FALSE,"17MAY";#N/A,#N/A,FALSE,"24MAY"}</definedName>
    <definedName name="__w2" localSheetId="2" hidden="1">{#N/A,#N/A,FALSE,"17MAY";#N/A,#N/A,FALSE,"24MAY"}</definedName>
    <definedName name="__w2" hidden="1">{#N/A,#N/A,FALSE,"17MAY";#N/A,#N/A,FALSE,"24MAY"}</definedName>
    <definedName name="__WRN1" localSheetId="6" hidden="1">{#N/A,#N/A,FALSE,"COVER1.XLS ";#N/A,#N/A,FALSE,"RACT1.XLS";#N/A,#N/A,FALSE,"RACT2.XLS";#N/A,#N/A,FALSE,"ECCMP";#N/A,#N/A,FALSE,"WELDER.XLS"}</definedName>
    <definedName name="__WRN1" localSheetId="9" hidden="1">{#N/A,#N/A,FALSE,"COVER1.XLS ";#N/A,#N/A,FALSE,"RACT1.XLS";#N/A,#N/A,FALSE,"RACT2.XLS";#N/A,#N/A,FALSE,"ECCMP";#N/A,#N/A,FALSE,"WELDER.XLS"}</definedName>
    <definedName name="__WRN1" localSheetId="2" hidden="1">{#N/A,#N/A,FALSE,"COVER1.XLS ";#N/A,#N/A,FALSE,"RACT1.XLS";#N/A,#N/A,FALSE,"RACT2.XLS";#N/A,#N/A,FALSE,"ECCMP";#N/A,#N/A,FALSE,"WELDER.XLS"}</definedName>
    <definedName name="__WRN1" hidden="1">{#N/A,#N/A,FALSE,"COVER1.XLS ";#N/A,#N/A,FALSE,"RACT1.XLS";#N/A,#N/A,FALSE,"RACT2.XLS";#N/A,#N/A,FALSE,"ECCMP";#N/A,#N/A,FALSE,"WELDER.XLS"}</definedName>
    <definedName name="__WRN2" localSheetId="6" hidden="1">{#N/A,#N/A,FALSE,"COVER1.XLS ";#N/A,#N/A,FALSE,"RACT1.XLS";#N/A,#N/A,FALSE,"RACT2.XLS";#N/A,#N/A,FALSE,"ECCMP";#N/A,#N/A,FALSE,"WELDER.XLS"}</definedName>
    <definedName name="__WRN2" localSheetId="9" hidden="1">{#N/A,#N/A,FALSE,"COVER1.XLS ";#N/A,#N/A,FALSE,"RACT1.XLS";#N/A,#N/A,FALSE,"RACT2.XLS";#N/A,#N/A,FALSE,"ECCMP";#N/A,#N/A,FALSE,"WELDER.XLS"}</definedName>
    <definedName name="__WRN2" localSheetId="2" hidden="1">{#N/A,#N/A,FALSE,"COVER1.XLS ";#N/A,#N/A,FALSE,"RACT1.XLS";#N/A,#N/A,FALSE,"RACT2.XLS";#N/A,#N/A,FALSE,"ECCMP";#N/A,#N/A,FALSE,"WELDER.XLS"}</definedName>
    <definedName name="__WRN2" hidden="1">{#N/A,#N/A,FALSE,"COVER1.XLS ";#N/A,#N/A,FALSE,"RACT1.XLS";#N/A,#N/A,FALSE,"RACT2.XLS";#N/A,#N/A,FALSE,"ECCMP";#N/A,#N/A,FALSE,"WELDER.XLS"}</definedName>
    <definedName name="__WRN3" localSheetId="6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WRN3" localSheetId="9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WRN3" localSheetId="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1__123Graph_ACHART_1" localSheetId="6" hidden="1">#REF!</definedName>
    <definedName name="_1__123Graph_ACHART_1" localSheetId="9" hidden="1">#REF!</definedName>
    <definedName name="_1__123Graph_ACHART_1" localSheetId="2" hidden="1">#REF!</definedName>
    <definedName name="_1__123Graph_ACHART_1" hidden="1">#REF!</definedName>
    <definedName name="_10__123Graph_DCHART_10" hidden="1">#N/A</definedName>
    <definedName name="_11__123Graph_ECHART_10" hidden="1">#N/A</definedName>
    <definedName name="_12__123Graph_FCHART_10" hidden="1">#N/A</definedName>
    <definedName name="_13__123Graph_LBL_BCHART_1" localSheetId="6" hidden="1">#REF!</definedName>
    <definedName name="_13__123Graph_LBL_BCHART_1" localSheetId="9" hidden="1">#REF!</definedName>
    <definedName name="_13__123Graph_LBL_BCHART_1" localSheetId="2" hidden="1">#REF!</definedName>
    <definedName name="_13__123Graph_LBL_BCHART_1" hidden="1">#REF!</definedName>
    <definedName name="_14__123Graph_LBL_BCHART_10" hidden="1">#N/A</definedName>
    <definedName name="_15__123Graph_LBL_CCHART_1" localSheetId="6" hidden="1">#REF!</definedName>
    <definedName name="_15__123Graph_LBL_CCHART_1" localSheetId="9" hidden="1">#REF!</definedName>
    <definedName name="_15__123Graph_LBL_CCHART_1" localSheetId="2" hidden="1">#REF!</definedName>
    <definedName name="_15__123Graph_LBL_CCHART_1" hidden="1">#REF!</definedName>
    <definedName name="_16__123Graph_LBL_CCHART_10" hidden="1">#N/A</definedName>
    <definedName name="_17__123Graph_LBL_DCHART_10" hidden="1">#N/A</definedName>
    <definedName name="_18__123Graph_LBL_ECHART_10" hidden="1">#N/A</definedName>
    <definedName name="_19__123Graph_LBL_FCHART_10" hidden="1">#N/A</definedName>
    <definedName name="_2__123Graph_ACHART_10" hidden="1">#N/A</definedName>
    <definedName name="_21_0Schubmaststap">#REF!</definedName>
    <definedName name="_3__123Graph_AGRAFICO_1" localSheetId="6" hidden="1">#REF!</definedName>
    <definedName name="_3__123Graph_AGRAFICO_1" localSheetId="9" hidden="1">#REF!</definedName>
    <definedName name="_3__123Graph_AGRAFICO_1" localSheetId="2" hidden="1">#REF!</definedName>
    <definedName name="_3__123Graph_AGRAFICO_1" hidden="1">#REF!</definedName>
    <definedName name="_4__123Graph_BCHART_1" localSheetId="6" hidden="1">#REF!</definedName>
    <definedName name="_4__123Graph_BCHART_1" localSheetId="9" hidden="1">#REF!</definedName>
    <definedName name="_4__123Graph_BCHART_1" localSheetId="2" hidden="1">#REF!</definedName>
    <definedName name="_4__123Graph_BCHART_1" hidden="1">#REF!</definedName>
    <definedName name="_43B">#REF!</definedName>
    <definedName name="_5__123Graph_BCHART_10" hidden="1">#N/A</definedName>
    <definedName name="_6__123Graph_BGRAFICO_1" localSheetId="6" hidden="1">#REF!</definedName>
    <definedName name="_6__123Graph_BGRAFICO_1" localSheetId="9" hidden="1">#REF!</definedName>
    <definedName name="_6__123Graph_BGRAFICO_1" localSheetId="2" hidden="1">#REF!</definedName>
    <definedName name="_6__123Graph_BGRAFICO_1" hidden="1">#REF!</definedName>
    <definedName name="_66_CITIES">#REF!</definedName>
    <definedName name="_7__123Graph_CCHART_1" localSheetId="6" hidden="1">#REF!</definedName>
    <definedName name="_7__123Graph_CCHART_1" localSheetId="9" hidden="1">#REF!</definedName>
    <definedName name="_7__123Graph_CCHART_1" localSheetId="2" hidden="1">#REF!</definedName>
    <definedName name="_7__123Graph_CCHART_1" hidden="1">#REF!</definedName>
    <definedName name="_8__123Graph_CCHART_10" hidden="1">#N/A</definedName>
    <definedName name="_9__123Graph_CGRAFICO_1" localSheetId="6" hidden="1">#REF!</definedName>
    <definedName name="_9__123Graph_CGRAFICO_1" localSheetId="9" hidden="1">#REF!</definedName>
    <definedName name="_9__123Graph_CGRAFICO_1" localSheetId="2" hidden="1">#REF!</definedName>
    <definedName name="_9__123Graph_CGRAFICO_1" hidden="1">#REF!</definedName>
    <definedName name="_96.12.30">'[16]Fee Rate Summary'!#REF!</definedName>
    <definedName name="_a65554">#REF!</definedName>
    <definedName name="_a65600">#REF!</definedName>
    <definedName name="_a65700">#REF!</definedName>
    <definedName name="_a65800">#REF!</definedName>
    <definedName name="_a66000">#REF!</definedName>
    <definedName name="_adh10">#REF!</definedName>
    <definedName name="_adh26">#REF!</definedName>
    <definedName name="_ads10">#REF!</definedName>
    <definedName name="_ads26">#REF!</definedName>
    <definedName name="_ALL">#REF!</definedName>
    <definedName name="_ASSUME">#REF!</definedName>
    <definedName name="_BENEFITS">#REF!</definedName>
    <definedName name="_bol1">#REF!</definedName>
    <definedName name="_BUDGET">#REF!</definedName>
    <definedName name="_C">'[17]Power&amp;Fuel'!#REF!</definedName>
    <definedName name="_can430">40.73</definedName>
    <definedName name="_can435">43.3</definedName>
    <definedName name="_CAPITAL">#REF!</definedName>
    <definedName name="_COVER">#REF!</definedName>
    <definedName name="_DAT1">#REF!</definedName>
    <definedName name="_DAT10">#REF!</definedName>
    <definedName name="_DAT11">#REF!</definedName>
    <definedName name="_DAT12">[18]Volume!#REF!</definedName>
    <definedName name="_DAT13">[18]Volume!#REF!</definedName>
    <definedName name="_DAT14">#REF!</definedName>
    <definedName name="_DAT15">#REF!</definedName>
    <definedName name="_DAT16">[18]Volume!#REF!</definedName>
    <definedName name="_DAT17">[18]Volume!#REF!</definedName>
    <definedName name="_DAT18">[18]Volume!#REF!</definedName>
    <definedName name="_DAT19">[18]Volume!#REF!</definedName>
    <definedName name="_DAT2">#REF!</definedName>
    <definedName name="_DAT20">[18]Volume!#REF!</definedName>
    <definedName name="_DAT21">[18]Volume!#REF!</definedName>
    <definedName name="_DAT22">[18]Volume!#REF!</definedName>
    <definedName name="_DAT23">[18]Volume!#REF!</definedName>
    <definedName name="_DAT24">[18]Volume!#REF!</definedName>
    <definedName name="_DAT25">[18]Volume!#REF!</definedName>
    <definedName name="_DAT26">[18]Volume!#REF!</definedName>
    <definedName name="_DAT27">[18]Volume!#REF!</definedName>
    <definedName name="_DAT28">[18]Volume!#REF!</definedName>
    <definedName name="_DAT29">[18]Volume!#REF!</definedName>
    <definedName name="_DAT3">#REF!</definedName>
    <definedName name="_DAT30">[18]Volume!#REF!</definedName>
    <definedName name="_DAT31">[18]Volume!#REF!</definedName>
    <definedName name="_DAT32">[18]Volume!#REF!</definedName>
    <definedName name="_DAT33">[18]Volume!#REF!</definedName>
    <definedName name="_DAT34">[18]Volume!#REF!</definedName>
    <definedName name="_DAT35">[18]Volume!#REF!</definedName>
    <definedName name="_DAT36">[18]Volume!#REF!</definedName>
    <definedName name="_DAT37">[18]Volume!#REF!</definedName>
    <definedName name="_DAT38">[18]Volume!#REF!</definedName>
    <definedName name="_DAT39">[18]Volume!#REF!</definedName>
    <definedName name="_DAT4">#REF!</definedName>
    <definedName name="_DAT40">[18]Volume!#REF!</definedName>
    <definedName name="_DAT41">[18]Volume!#REF!</definedName>
    <definedName name="_DAT42">[18]Volume!#REF!</definedName>
    <definedName name="_DAT43">[18]Volume!#REF!</definedName>
    <definedName name="_DAT44">[18]Volume!#REF!</definedName>
    <definedName name="_DAT45">[18]Volume!#REF!</definedName>
    <definedName name="_DAT46">[18]Volume!#REF!</definedName>
    <definedName name="_DAT5">#REF!</definedName>
    <definedName name="_DAT6">#REF!</definedName>
    <definedName name="_DAT7">[18]Volume!#REF!</definedName>
    <definedName name="_DAT8">[18]Volume!#REF!</definedName>
    <definedName name="_DAT9">#REF!</definedName>
    <definedName name="_DCF">#REF!</definedName>
    <definedName name="_dev2">[19]BKCSTOCKVAL!#REF!</definedName>
    <definedName name="_Dist_Bin" localSheetId="6" hidden="1">#REF!</definedName>
    <definedName name="_Dist_Bin" localSheetId="9" hidden="1">#REF!</definedName>
    <definedName name="_Dist_Bin" localSheetId="2" hidden="1">#REF!</definedName>
    <definedName name="_Dist_Bin" hidden="1">#REF!</definedName>
    <definedName name="_Dist_Values" localSheetId="6" hidden="1">#REF!</definedName>
    <definedName name="_Dist_Values" localSheetId="9" hidden="1">#REF!</definedName>
    <definedName name="_Dist_Values" localSheetId="2" hidden="1">#REF!</definedName>
    <definedName name="_Dist_Values" hidden="1">#REF!</definedName>
    <definedName name="_dk1" localSheetId="6" hidden="1">{#N/A,#N/A,FALSE,"COVER.XLS";#N/A,#N/A,FALSE,"RACT1.XLS";#N/A,#N/A,FALSE,"RACT2.XLS";#N/A,#N/A,FALSE,"ECCMP";#N/A,#N/A,FALSE,"WELDER.XLS"}</definedName>
    <definedName name="_dk1" localSheetId="9" hidden="1">{#N/A,#N/A,FALSE,"COVER.XLS";#N/A,#N/A,FALSE,"RACT1.XLS";#N/A,#N/A,FALSE,"RACT2.XLS";#N/A,#N/A,FALSE,"ECCMP";#N/A,#N/A,FALSE,"WELDER.XLS"}</definedName>
    <definedName name="_dk1" localSheetId="2" hidden="1">{#N/A,#N/A,FALSE,"COVER.XLS";#N/A,#N/A,FALSE,"RACT1.XLS";#N/A,#N/A,FALSE,"RACT2.XLS";#N/A,#N/A,FALSE,"ECCMP";#N/A,#N/A,FALSE,"WELDER.XLS"}</definedName>
    <definedName name="_dk1" hidden="1">{#N/A,#N/A,FALSE,"COVER.XLS";#N/A,#N/A,FALSE,"RACT1.XLS";#N/A,#N/A,FALSE,"RACT2.XLS";#N/A,#N/A,FALSE,"ECCMP";#N/A,#N/A,FALSE,"WELDER.XLS"}</definedName>
    <definedName name="_f1">#REF!</definedName>
    <definedName name="_Fill" localSheetId="6" hidden="1">#REF!</definedName>
    <definedName name="_Fill" localSheetId="9" hidden="1">#REF!</definedName>
    <definedName name="_Fill" localSheetId="2" hidden="1">#REF!</definedName>
    <definedName name="_Fill" hidden="1">#REF!</definedName>
    <definedName name="_fill1" localSheetId="6" hidden="1">#REF!</definedName>
    <definedName name="_fill1" localSheetId="9" hidden="1">#REF!</definedName>
    <definedName name="_fill1" localSheetId="2" hidden="1">#REF!</definedName>
    <definedName name="_fill1" hidden="1">#REF!</definedName>
    <definedName name="_FillIT" localSheetId="2" hidden="1">#REF!</definedName>
    <definedName name="_FillIT" hidden="1">#REF!</definedName>
    <definedName name="_xlnm._FilterDatabase" localSheetId="8" hidden="1">ARM!$A$6:$N$41</definedName>
    <definedName name="_xlnm._FilterDatabase" localSheetId="6" hidden="1">Capex!$A$9:$BV$92</definedName>
    <definedName name="_xlnm._FilterDatabase" localSheetId="9" hidden="1">'Capex (2)'!$A$9:$BV$92</definedName>
    <definedName name="_xlnm._FilterDatabase" localSheetId="14" hidden="1">'CB Box'!$A$1:$W$268</definedName>
    <definedName name="_xlnm._FilterDatabase" localSheetId="15" hidden="1">'CB SKU Wise Data'!$A$2:$AX$150</definedName>
    <definedName name="_xlnm._FilterDatabase" localSheetId="13" hidden="1">'CB SKU Wise Data (2)'!$A$2:$AE$150</definedName>
    <definedName name="_xlnm._FilterDatabase" localSheetId="5" hidden="1">Opex!$A$3:$K$39</definedName>
    <definedName name="_xlnm._FilterDatabase" localSheetId="18" hidden="1">'PP Plant'!$A$2:$AE$19</definedName>
    <definedName name="_xlnm._FilterDatabase" localSheetId="2" hidden="1">'Scope of Work'!$B$2:$G$25</definedName>
    <definedName name="_xlnm._FilterDatabase" localSheetId="19" hidden="1">'Wooden box'!$A$2:$AO$20</definedName>
    <definedName name="_INV1">#N/A</definedName>
    <definedName name="_INV2">#N/A</definedName>
    <definedName name="_INV3">#N/A</definedName>
    <definedName name="_INV4">#N/A</definedName>
    <definedName name="_INV5">#N/A</definedName>
    <definedName name="_k8" localSheetId="6" hidden="1">{#N/A,#N/A,FALSE,"COVER1.XLS ";#N/A,#N/A,FALSE,"RACT1.XLS";#N/A,#N/A,FALSE,"RACT2.XLS";#N/A,#N/A,FALSE,"ECCMP";#N/A,#N/A,FALSE,"WELDER.XLS"}</definedName>
    <definedName name="_k8" localSheetId="9" hidden="1">{#N/A,#N/A,FALSE,"COVER1.XLS ";#N/A,#N/A,FALSE,"RACT1.XLS";#N/A,#N/A,FALSE,"RACT2.XLS";#N/A,#N/A,FALSE,"ECCMP";#N/A,#N/A,FALSE,"WELDER.XLS"}</definedName>
    <definedName name="_k8" localSheetId="2" hidden="1">{#N/A,#N/A,FALSE,"COVER1.XLS ";#N/A,#N/A,FALSE,"RACT1.XLS";#N/A,#N/A,FALSE,"RACT2.XLS";#N/A,#N/A,FALSE,"ECCMP";#N/A,#N/A,FALSE,"WELDER.XLS"}</definedName>
    <definedName name="_k8" hidden="1">{#N/A,#N/A,FALSE,"COVER1.XLS ";#N/A,#N/A,FALSE,"RACT1.XLS";#N/A,#N/A,FALSE,"RACT2.XLS";#N/A,#N/A,FALSE,"ECCMP";#N/A,#N/A,FALSE,"WELDER.XLS"}</definedName>
    <definedName name="_Key1" localSheetId="6" hidden="1">#REF!</definedName>
    <definedName name="_Key1" localSheetId="9" hidden="1">#REF!</definedName>
    <definedName name="_Key1" localSheetId="2" hidden="1">#REF!</definedName>
    <definedName name="_Key1" hidden="1">#REF!</definedName>
    <definedName name="_Key2" localSheetId="6" hidden="1">#REF!</definedName>
    <definedName name="_Key2" localSheetId="9" hidden="1">#REF!</definedName>
    <definedName name="_Key2" localSheetId="2" hidden="1">#REF!</definedName>
    <definedName name="_Key2" hidden="1">#REF!</definedName>
    <definedName name="_kv2" localSheetId="6" hidden="1">{#N/A,#N/A,FALSE,"COVER1.XLS ";#N/A,#N/A,FALSE,"RACT1.XLS";#N/A,#N/A,FALSE,"RACT2.XLS";#N/A,#N/A,FALSE,"ECCMP";#N/A,#N/A,FALSE,"WELDER.XLS"}</definedName>
    <definedName name="_kv2" localSheetId="9" hidden="1">{#N/A,#N/A,FALSE,"COVER1.XLS ";#N/A,#N/A,FALSE,"RACT1.XLS";#N/A,#N/A,FALSE,"RACT2.XLS";#N/A,#N/A,FALSE,"ECCMP";#N/A,#N/A,FALSE,"WELDER.XLS"}</definedName>
    <definedName name="_kv2" localSheetId="2" hidden="1">{#N/A,#N/A,FALSE,"COVER1.XLS ";#N/A,#N/A,FALSE,"RACT1.XLS";#N/A,#N/A,FALSE,"RACT2.XLS";#N/A,#N/A,FALSE,"ECCMP";#N/A,#N/A,FALSE,"WELDER.XLS"}</definedName>
    <definedName name="_kv2" hidden="1">{#N/A,#N/A,FALSE,"COVER1.XLS ";#N/A,#N/A,FALSE,"RACT1.XLS";#N/A,#N/A,FALSE,"RACT2.XLS";#N/A,#N/A,FALSE,"ECCMP";#N/A,#N/A,FALSE,"WELDER.XLS"}</definedName>
    <definedName name="_kvs1" localSheetId="6" hidden="1">{#N/A,#N/A,FALSE,"COVER1.XLS ";#N/A,#N/A,FALSE,"RACT1.XLS";#N/A,#N/A,FALSE,"RACT2.XLS";#N/A,#N/A,FALSE,"ECCMP";#N/A,#N/A,FALSE,"WELDER.XLS"}</definedName>
    <definedName name="_kvs1" localSheetId="9" hidden="1">{#N/A,#N/A,FALSE,"COVER1.XLS ";#N/A,#N/A,FALSE,"RACT1.XLS";#N/A,#N/A,FALSE,"RACT2.XLS";#N/A,#N/A,FALSE,"ECCMP";#N/A,#N/A,FALSE,"WELDER.XLS"}</definedName>
    <definedName name="_kvs1" localSheetId="2" hidden="1">{#N/A,#N/A,FALSE,"COVER1.XLS ";#N/A,#N/A,FALSE,"RACT1.XLS";#N/A,#N/A,FALSE,"RACT2.XLS";#N/A,#N/A,FALSE,"ECCMP";#N/A,#N/A,FALSE,"WELDER.XLS"}</definedName>
    <definedName name="_kvs1" hidden="1">{#N/A,#N/A,FALSE,"COVER1.XLS ";#N/A,#N/A,FALSE,"RACT1.XLS";#N/A,#N/A,FALSE,"RACT2.XLS";#N/A,#N/A,FALSE,"ECCMP";#N/A,#N/A,FALSE,"WELDER.XLS"}</definedName>
    <definedName name="_kvs2" localSheetId="6" hidden="1">{#N/A,#N/A,FALSE,"COVER1.XLS ";#N/A,#N/A,FALSE,"RACT1.XLS";#N/A,#N/A,FALSE,"RACT2.XLS";#N/A,#N/A,FALSE,"ECCMP";#N/A,#N/A,FALSE,"WELDER.XLS"}</definedName>
    <definedName name="_kvs2" localSheetId="9" hidden="1">{#N/A,#N/A,FALSE,"COVER1.XLS ";#N/A,#N/A,FALSE,"RACT1.XLS";#N/A,#N/A,FALSE,"RACT2.XLS";#N/A,#N/A,FALSE,"ECCMP";#N/A,#N/A,FALSE,"WELDER.XLS"}</definedName>
    <definedName name="_kvs2" localSheetId="2" hidden="1">{#N/A,#N/A,FALSE,"COVER1.XLS ";#N/A,#N/A,FALSE,"RACT1.XLS";#N/A,#N/A,FALSE,"RACT2.XLS";#N/A,#N/A,FALSE,"ECCMP";#N/A,#N/A,FALSE,"WELDER.XLS"}</definedName>
    <definedName name="_kvs2" hidden="1">{#N/A,#N/A,FALSE,"COVER1.XLS ";#N/A,#N/A,FALSE,"RACT1.XLS";#N/A,#N/A,FALSE,"RACT2.XLS";#N/A,#N/A,FALSE,"ECCMP";#N/A,#N/A,FALSE,"WELDER.XLS"}</definedName>
    <definedName name="_kvs5" localSheetId="6" hidden="1">{#N/A,#N/A,FALSE,"COVER.XLS";#N/A,#N/A,FALSE,"RACT1.XLS";#N/A,#N/A,FALSE,"RACT2.XLS";#N/A,#N/A,FALSE,"ECCMP";#N/A,#N/A,FALSE,"WELDER.XLS"}</definedName>
    <definedName name="_kvs5" localSheetId="9" hidden="1">{#N/A,#N/A,FALSE,"COVER.XLS";#N/A,#N/A,FALSE,"RACT1.XLS";#N/A,#N/A,FALSE,"RACT2.XLS";#N/A,#N/A,FALSE,"ECCMP";#N/A,#N/A,FALSE,"WELDER.XLS"}</definedName>
    <definedName name="_kvs5" localSheetId="2" hidden="1">{#N/A,#N/A,FALSE,"COVER.XLS";#N/A,#N/A,FALSE,"RACT1.XLS";#N/A,#N/A,FALSE,"RACT2.XLS";#N/A,#N/A,FALSE,"ECCMP";#N/A,#N/A,FALSE,"WELDER.XLS"}</definedName>
    <definedName name="_kvs5" hidden="1">{#N/A,#N/A,FALSE,"COVER.XLS";#N/A,#N/A,FALSE,"RACT1.XLS";#N/A,#N/A,FALSE,"RACT2.XLS";#N/A,#N/A,FALSE,"ECCMP";#N/A,#N/A,FALSE,"WELDER.XLS"}</definedName>
    <definedName name="_kvs7" localSheetId="6" hidden="1">{#N/A,#N/A,FALSE,"COVER1.XLS ";#N/A,#N/A,FALSE,"RACT1.XLS";#N/A,#N/A,FALSE,"RACT2.XLS";#N/A,#N/A,FALSE,"ECCMP";#N/A,#N/A,FALSE,"WELDER.XLS"}</definedName>
    <definedName name="_kvs7" localSheetId="9" hidden="1">{#N/A,#N/A,FALSE,"COVER1.XLS ";#N/A,#N/A,FALSE,"RACT1.XLS";#N/A,#N/A,FALSE,"RACT2.XLS";#N/A,#N/A,FALSE,"ECCMP";#N/A,#N/A,FALSE,"WELDER.XLS"}</definedName>
    <definedName name="_kvs7" localSheetId="2" hidden="1">{#N/A,#N/A,FALSE,"COVER1.XLS ";#N/A,#N/A,FALSE,"RACT1.XLS";#N/A,#N/A,FALSE,"RACT2.XLS";#N/A,#N/A,FALSE,"ECCMP";#N/A,#N/A,FALSE,"WELDER.XLS"}</definedName>
    <definedName name="_kvs7" hidden="1">{#N/A,#N/A,FALSE,"COVER1.XLS ";#N/A,#N/A,FALSE,"RACT1.XLS";#N/A,#N/A,FALSE,"RACT2.XLS";#N/A,#N/A,FALSE,"ECCMP";#N/A,#N/A,FALSE,"WELDER.XLS"}</definedName>
    <definedName name="_kvs8" localSheetId="6" hidden="1">{#N/A,#N/A,FALSE,"COVER1.XLS ";#N/A,#N/A,FALSE,"RACT1.XLS";#N/A,#N/A,FALSE,"RACT2.XLS";#N/A,#N/A,FALSE,"ECCMP";#N/A,#N/A,FALSE,"WELDER.XLS"}</definedName>
    <definedName name="_kvs8" localSheetId="9" hidden="1">{#N/A,#N/A,FALSE,"COVER1.XLS ";#N/A,#N/A,FALSE,"RACT1.XLS";#N/A,#N/A,FALSE,"RACT2.XLS";#N/A,#N/A,FALSE,"ECCMP";#N/A,#N/A,FALSE,"WELDER.XLS"}</definedName>
    <definedName name="_kvs8" localSheetId="2" hidden="1">{#N/A,#N/A,FALSE,"COVER1.XLS ";#N/A,#N/A,FALSE,"RACT1.XLS";#N/A,#N/A,FALSE,"RACT2.XLS";#N/A,#N/A,FALSE,"ECCMP";#N/A,#N/A,FALSE,"WELDER.XLS"}</definedName>
    <definedName name="_kvs8" hidden="1">{#N/A,#N/A,FALSE,"COVER1.XLS ";#N/A,#N/A,FALSE,"RACT1.XLS";#N/A,#N/A,FALSE,"RACT2.XLS";#N/A,#N/A,FALSE,"ECCMP";#N/A,#N/A,FALSE,"WELDER.XLS"}</definedName>
    <definedName name="_KVS9" localSheetId="6" hidden="1">{#N/A,#N/A,FALSE,"COVER1.XLS ";#N/A,#N/A,FALSE,"RACT1.XLS";#N/A,#N/A,FALSE,"RACT2.XLS";#N/A,#N/A,FALSE,"ECCMP";#N/A,#N/A,FALSE,"WELDER.XLS"}</definedName>
    <definedName name="_KVS9" localSheetId="9" hidden="1">{#N/A,#N/A,FALSE,"COVER1.XLS ";#N/A,#N/A,FALSE,"RACT1.XLS";#N/A,#N/A,FALSE,"RACT2.XLS";#N/A,#N/A,FALSE,"ECCMP";#N/A,#N/A,FALSE,"WELDER.XLS"}</definedName>
    <definedName name="_KVS9" localSheetId="2" hidden="1">{#N/A,#N/A,FALSE,"COVER1.XLS ";#N/A,#N/A,FALSE,"RACT1.XLS";#N/A,#N/A,FALSE,"RACT2.XLS";#N/A,#N/A,FALSE,"ECCMP";#N/A,#N/A,FALSE,"WELDER.XLS"}</definedName>
    <definedName name="_KVS9" hidden="1">{#N/A,#N/A,FALSE,"COVER1.XLS ";#N/A,#N/A,FALSE,"RACT1.XLS";#N/A,#N/A,FALSE,"RACT2.XLS";#N/A,#N/A,FALSE,"ECCMP";#N/A,#N/A,FALSE,"WELDER.XLS"}</definedName>
    <definedName name="_l2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2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2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ABOR">#REF!</definedName>
    <definedName name="_lb1">#REF!</definedName>
    <definedName name="_lb2">#REF!</definedName>
    <definedName name="_lk1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k1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k1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Max1" hidden="1">[20]dAssumption!$AO$32</definedName>
    <definedName name="_Max2" hidden="1">[20]dAssumption!$AO$33</definedName>
    <definedName name="_Min1" hidden="1">[20]dAssumption!$AP$32</definedName>
    <definedName name="_Min2" hidden="1">[20]dAssumption!$AP$33</definedName>
    <definedName name="_MISDET">#REF!</definedName>
    <definedName name="_MISSUM">#REF!</definedName>
    <definedName name="_mm1">#REF!</definedName>
    <definedName name="_mm2">#REF!</definedName>
    <definedName name="_mm3">#REF!</definedName>
    <definedName name="_ms1">'[21]#REF'!$A$70:$S$102</definedName>
    <definedName name="_ms2">'[21]#REF'!$A$104:$S$136</definedName>
    <definedName name="_msy1">[22]Assmpns!#REF!</definedName>
    <definedName name="_msy2">[22]Assmpns!#REF!</definedName>
    <definedName name="_msy3">[22]Assmpns!#REF!</definedName>
    <definedName name="_msy4">[22]Assmpns!#REF!</definedName>
    <definedName name="_Order1" hidden="1">0</definedName>
    <definedName name="_Order2" hidden="1">255</definedName>
    <definedName name="_OV1">#N/A</definedName>
    <definedName name="_PAG6">#REF!</definedName>
    <definedName name="_PFR1">#N/A</definedName>
    <definedName name="_PFR2">#N/A</definedName>
    <definedName name="_PFR3">#N/A</definedName>
    <definedName name="_PFR4">#N/A</definedName>
    <definedName name="_PFR5">#N/A</definedName>
    <definedName name="_PFR6">#N/A</definedName>
    <definedName name="_PG2">#REF!</definedName>
    <definedName name="_PG3">#REF!</definedName>
    <definedName name="_pg4">#REF!</definedName>
    <definedName name="_pg5">#REF!</definedName>
    <definedName name="_PG6">#REF!</definedName>
    <definedName name="_PG7">#REF!</definedName>
    <definedName name="_PL1">[23]INFO!$B$13</definedName>
    <definedName name="_PRICELIST">#REF!</definedName>
    <definedName name="_prn01">#REF!</definedName>
    <definedName name="_PRN1" localSheetId="6" hidden="1">{#N/A,#N/A,FALSE,"COVER.XLS";#N/A,#N/A,FALSE,"RACT1.XLS";#N/A,#N/A,FALSE,"RACT2.XLS";#N/A,#N/A,FALSE,"ECCMP";#N/A,#N/A,FALSE,"WELDER.XLS"}</definedName>
    <definedName name="_PRN1" localSheetId="9" hidden="1">{#N/A,#N/A,FALSE,"COVER.XLS";#N/A,#N/A,FALSE,"RACT1.XLS";#N/A,#N/A,FALSE,"RACT2.XLS";#N/A,#N/A,FALSE,"ECCMP";#N/A,#N/A,FALSE,"WELDER.XLS"}</definedName>
    <definedName name="_PRN1" localSheetId="2" hidden="1">{#N/A,#N/A,FALSE,"COVER.XLS";#N/A,#N/A,FALSE,"RACT1.XLS";#N/A,#N/A,FALSE,"RACT2.XLS";#N/A,#N/A,FALSE,"ECCMP";#N/A,#N/A,FALSE,"WELDER.XLS"}</definedName>
    <definedName name="_PRN1" hidden="1">{#N/A,#N/A,FALSE,"COVER.XLS";#N/A,#N/A,FALSE,"RACT1.XLS";#N/A,#N/A,FALSE,"RACT2.XLS";#N/A,#N/A,FALSE,"ECCMP";#N/A,#N/A,FALSE,"WELDER.XLS"}</definedName>
    <definedName name="_q2" localSheetId="6" hidden="1">{#N/A,#N/A,FALSE,"COVER1.XLS ";#N/A,#N/A,FALSE,"RACT1.XLS";#N/A,#N/A,FALSE,"RACT2.XLS";#N/A,#N/A,FALSE,"ECCMP";#N/A,#N/A,FALSE,"WELDER.XLS"}</definedName>
    <definedName name="_q2" localSheetId="9" hidden="1">{#N/A,#N/A,FALSE,"COVER1.XLS ";#N/A,#N/A,FALSE,"RACT1.XLS";#N/A,#N/A,FALSE,"RACT2.XLS";#N/A,#N/A,FALSE,"ECCMP";#N/A,#N/A,FALSE,"WELDER.XLS"}</definedName>
    <definedName name="_q2" localSheetId="2" hidden="1">{#N/A,#N/A,FALSE,"COVER1.XLS ";#N/A,#N/A,FALSE,"RACT1.XLS";#N/A,#N/A,FALSE,"RACT2.XLS";#N/A,#N/A,FALSE,"ECCMP";#N/A,#N/A,FALSE,"WELDER.XLS"}</definedName>
    <definedName name="_q2" hidden="1">{#N/A,#N/A,FALSE,"COVER1.XLS ";#N/A,#N/A,FALSE,"RACT1.XLS";#N/A,#N/A,FALSE,"RACT2.XLS";#N/A,#N/A,FALSE,"ECCMP";#N/A,#N/A,FALSE,"WELDER.XLS"}</definedName>
    <definedName name="_S">'[17]Power&amp;Fuel'!#REF!</definedName>
    <definedName name="_SALESTAX">#REF!</definedName>
    <definedName name="_sch4">[24]BS!#REF!</definedName>
    <definedName name="_SETUP">#REF!</definedName>
    <definedName name="_SETUPIT">#REF!</definedName>
    <definedName name="_SIX6">#N/A</definedName>
    <definedName name="_Sort" localSheetId="6" hidden="1">#REF!</definedName>
    <definedName name="_Sort" localSheetId="9" hidden="1">#REF!</definedName>
    <definedName name="_Sort" localSheetId="2" hidden="1">#REF!</definedName>
    <definedName name="_Sort" hidden="1">#REF!</definedName>
    <definedName name="_SPACE">#REF!</definedName>
    <definedName name="_STARTUP">#REF!</definedName>
    <definedName name="_t1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t1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t1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t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tax2">#REF!</definedName>
    <definedName name="_tax3">#REF!</definedName>
    <definedName name="_TB2">'[25]SPT vs PHI'!$B$2:$C$65</definedName>
    <definedName name="_TOTAL">#REF!</definedName>
    <definedName name="_tr1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tr1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tr1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UN1">#N/A</definedName>
    <definedName name="_VERSION_NOTES">#REF!</definedName>
    <definedName name="_w2" localSheetId="6" hidden="1">{#N/A,#N/A,FALSE,"17MAY";#N/A,#N/A,FALSE,"24MAY"}</definedName>
    <definedName name="_w2" localSheetId="9" hidden="1">{#N/A,#N/A,FALSE,"17MAY";#N/A,#N/A,FALSE,"24MAY"}</definedName>
    <definedName name="_w2" localSheetId="2" hidden="1">{#N/A,#N/A,FALSE,"17MAY";#N/A,#N/A,FALSE,"24MAY"}</definedName>
    <definedName name="_w2" hidden="1">{#N/A,#N/A,FALSE,"17MAY";#N/A,#N/A,FALSE,"24MAY"}</definedName>
    <definedName name="_WRN1" localSheetId="6" hidden="1">{#N/A,#N/A,FALSE,"COVER1.XLS ";#N/A,#N/A,FALSE,"RACT1.XLS";#N/A,#N/A,FALSE,"RACT2.XLS";#N/A,#N/A,FALSE,"ECCMP";#N/A,#N/A,FALSE,"WELDER.XLS"}</definedName>
    <definedName name="_WRN1" localSheetId="9" hidden="1">{#N/A,#N/A,FALSE,"COVER1.XLS ";#N/A,#N/A,FALSE,"RACT1.XLS";#N/A,#N/A,FALSE,"RACT2.XLS";#N/A,#N/A,FALSE,"ECCMP";#N/A,#N/A,FALSE,"WELDER.XLS"}</definedName>
    <definedName name="_WRN1" localSheetId="2" hidden="1">{#N/A,#N/A,FALSE,"COVER1.XLS ";#N/A,#N/A,FALSE,"RACT1.XLS";#N/A,#N/A,FALSE,"RACT2.XLS";#N/A,#N/A,FALSE,"ECCMP";#N/A,#N/A,FALSE,"WELDER.XLS"}</definedName>
    <definedName name="_WRN1" hidden="1">{#N/A,#N/A,FALSE,"COVER1.XLS ";#N/A,#N/A,FALSE,"RACT1.XLS";#N/A,#N/A,FALSE,"RACT2.XLS";#N/A,#N/A,FALSE,"ECCMP";#N/A,#N/A,FALSE,"WELDER.XLS"}</definedName>
    <definedName name="_WRN2" localSheetId="6" hidden="1">{#N/A,#N/A,FALSE,"COVER1.XLS ";#N/A,#N/A,FALSE,"RACT1.XLS";#N/A,#N/A,FALSE,"RACT2.XLS";#N/A,#N/A,FALSE,"ECCMP";#N/A,#N/A,FALSE,"WELDER.XLS"}</definedName>
    <definedName name="_WRN2" localSheetId="9" hidden="1">{#N/A,#N/A,FALSE,"COVER1.XLS ";#N/A,#N/A,FALSE,"RACT1.XLS";#N/A,#N/A,FALSE,"RACT2.XLS";#N/A,#N/A,FALSE,"ECCMP";#N/A,#N/A,FALSE,"WELDER.XLS"}</definedName>
    <definedName name="_WRN2" localSheetId="2" hidden="1">{#N/A,#N/A,FALSE,"COVER1.XLS ";#N/A,#N/A,FALSE,"RACT1.XLS";#N/A,#N/A,FALSE,"RACT2.XLS";#N/A,#N/A,FALSE,"ECCMP";#N/A,#N/A,FALSE,"WELDER.XLS"}</definedName>
    <definedName name="_WRN2" hidden="1">{#N/A,#N/A,FALSE,"COVER1.XLS ";#N/A,#N/A,FALSE,"RACT1.XLS";#N/A,#N/A,FALSE,"RACT2.XLS";#N/A,#N/A,FALSE,"ECCMP";#N/A,#N/A,FALSE,"WELDER.XLS"}</definedName>
    <definedName name="_WRN3" localSheetId="6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WRN3" localSheetId="9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WRN3" localSheetId="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a">'[26]RCIL-P&amp;L'!$D$55,'[26]RCIL-P&amp;L'!$E$55</definedName>
    <definedName name="A1_">#REF!</definedName>
    <definedName name="A10_">#REF!</definedName>
    <definedName name="A13_">#REF!</definedName>
    <definedName name="A2_">#REF!</definedName>
    <definedName name="A3_">#REF!</definedName>
    <definedName name="A4_">#REF!</definedName>
    <definedName name="A5_">#REF!</definedName>
    <definedName name="A6_">#REF!</definedName>
    <definedName name="A7_">#REF!</definedName>
    <definedName name="A8_">#REF!</definedName>
    <definedName name="A9_">#REF!</definedName>
    <definedName name="aa">[27]oresreqsum!#REF!</definedName>
    <definedName name="AAa" localSheetId="6" hidden="1">{#N/A,#N/A,FALSE,"COVER1.XLS ";#N/A,#N/A,FALSE,"RACT1.XLS";#N/A,#N/A,FALSE,"RACT2.XLS";#N/A,#N/A,FALSE,"ECCMP";#N/A,#N/A,FALSE,"WELDER.XLS"}</definedName>
    <definedName name="AAa" localSheetId="9" hidden="1">{#N/A,#N/A,FALSE,"COVER1.XLS ";#N/A,#N/A,FALSE,"RACT1.XLS";#N/A,#N/A,FALSE,"RACT2.XLS";#N/A,#N/A,FALSE,"ECCMP";#N/A,#N/A,FALSE,"WELDER.XLS"}</definedName>
    <definedName name="AAa" localSheetId="2" hidden="1">{#N/A,#N/A,FALSE,"COVER1.XLS ";#N/A,#N/A,FALSE,"RACT1.XLS";#N/A,#N/A,FALSE,"RACT2.XLS";#N/A,#N/A,FALSE,"ECCMP";#N/A,#N/A,FALSE,"WELDER.XLS"}</definedName>
    <definedName name="AAa" hidden="1">{#N/A,#N/A,FALSE,"COVER1.XLS ";#N/A,#N/A,FALSE,"RACT1.XLS";#N/A,#N/A,FALSE,"RACT2.XLS";#N/A,#N/A,FALSE,"ECCMP";#N/A,#N/A,FALSE,"WELDER.XLS"}</definedName>
    <definedName name="AAAA">#REF!</definedName>
    <definedName name="aaaaa">#REF!</definedName>
    <definedName name="aaaaaaaaa">#REF!</definedName>
    <definedName name="aaaaaaaaaa">'[28]Program Support'!$B$142</definedName>
    <definedName name="ab">[29]Summary!#REF!</definedName>
    <definedName name="abba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bba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bba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bb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bc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bc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bc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bc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bcd" localSheetId="6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bcd" localSheetId="9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bcd" localSheetId="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bcd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bce">#REF!</definedName>
    <definedName name="aberdeen">#REF!</definedName>
    <definedName name="abs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bs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bs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bs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C">#REF!</definedName>
    <definedName name="ACCIONES">#REF!</definedName>
    <definedName name="accruedc">'[23]NOTES '!#REF!</definedName>
    <definedName name="accruedp">'[23]NOTES '!#REF!</definedName>
    <definedName name="ACHART" hidden="1">#REF!</definedName>
    <definedName name="Actual" localSheetId="6" hidden="1">{#N/A,#N/A,TRUE,"Historicals";#N/A,#N/A,TRUE,"Charts";#N/A,#N/A,TRUE,"Forecasts"}</definedName>
    <definedName name="Actual" localSheetId="9" hidden="1">{#N/A,#N/A,TRUE,"Historicals";#N/A,#N/A,TRUE,"Charts";#N/A,#N/A,TRUE,"Forecasts"}</definedName>
    <definedName name="Actual" localSheetId="2" hidden="1">{#N/A,#N/A,TRUE,"Historicals";#N/A,#N/A,TRUE,"Charts";#N/A,#N/A,TRUE,"Forecasts"}</definedName>
    <definedName name="Actual" hidden="1">{#N/A,#N/A,TRUE,"Historicals";#N/A,#N/A,TRUE,"Charts";#N/A,#N/A,TRUE,"Forecasts"}</definedName>
    <definedName name="acum">#REF!</definedName>
    <definedName name="adf" localSheetId="6" hidden="1">{#N/A,#N/A,FALSE,"COVER1.XLS ";#N/A,#N/A,FALSE,"RACT1.XLS";#N/A,#N/A,FALSE,"RACT2.XLS";#N/A,#N/A,FALSE,"ECCMP";#N/A,#N/A,FALSE,"WELDER.XLS"}</definedName>
    <definedName name="adf" localSheetId="9" hidden="1">{#N/A,#N/A,FALSE,"COVER1.XLS ";#N/A,#N/A,FALSE,"RACT1.XLS";#N/A,#N/A,FALSE,"RACT2.XLS";#N/A,#N/A,FALSE,"ECCMP";#N/A,#N/A,FALSE,"WELDER.XLS"}</definedName>
    <definedName name="adf" localSheetId="2" hidden="1">{#N/A,#N/A,FALSE,"COVER1.XLS ";#N/A,#N/A,FALSE,"RACT1.XLS";#N/A,#N/A,FALSE,"RACT2.XLS";#N/A,#N/A,FALSE,"ECCMP";#N/A,#N/A,FALSE,"WELDER.XLS"}</definedName>
    <definedName name="adf" hidden="1">{#N/A,#N/A,FALSE,"COVER1.XLS ";#N/A,#N/A,FALSE,"RACT1.XLS";#N/A,#N/A,FALSE,"RACT2.XLS";#N/A,#N/A,FALSE,"ECCMP";#N/A,#N/A,FALSE,"WELDER.XLS"}</definedName>
    <definedName name="adfrs" localSheetId="6" hidden="1">{#N/A,#N/A,FALSE,"COVER.XLS";#N/A,#N/A,FALSE,"RACT1.XLS";#N/A,#N/A,FALSE,"RACT2.XLS";#N/A,#N/A,FALSE,"ECCMP";#N/A,#N/A,FALSE,"WELDER.XLS"}</definedName>
    <definedName name="adfrs" localSheetId="9" hidden="1">{#N/A,#N/A,FALSE,"COVER.XLS";#N/A,#N/A,FALSE,"RACT1.XLS";#N/A,#N/A,FALSE,"RACT2.XLS";#N/A,#N/A,FALSE,"ECCMP";#N/A,#N/A,FALSE,"WELDER.XLS"}</definedName>
    <definedName name="adfrs" localSheetId="2" hidden="1">{#N/A,#N/A,FALSE,"COVER.XLS";#N/A,#N/A,FALSE,"RACT1.XLS";#N/A,#N/A,FALSE,"RACT2.XLS";#N/A,#N/A,FALSE,"ECCMP";#N/A,#N/A,FALSE,"WELDER.XLS"}</definedName>
    <definedName name="adfrs" hidden="1">{#N/A,#N/A,FALSE,"COVER.XLS";#N/A,#N/A,FALSE,"RACT1.XLS";#N/A,#N/A,FALSE,"RACT2.XLS";#N/A,#N/A,FALSE,"ECCMP";#N/A,#N/A,FALSE,"WELDER.XLS"}</definedName>
    <definedName name="AdHocChart_Look" hidden="1">OFFSET([20]AdHocChartData!$A$27,0,0,[20]AdHocChartData!$G$12,[20]AdHocChartData!$G$13)</definedName>
    <definedName name="adjhw">#REF!</definedName>
    <definedName name="adjsw">#REF!</definedName>
    <definedName name="ADMIN">#N/A</definedName>
    <definedName name="Administration_Cost">#REF!</definedName>
    <definedName name="adv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dv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dv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dv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DVS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DVS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DVS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DVS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dvtgcost">#REF!</definedName>
    <definedName name="Ag">[30]Design!#REF!</definedName>
    <definedName name="al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l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l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l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LICANTE">#REF!</definedName>
    <definedName name="ALMA">#N/A</definedName>
    <definedName name="alpuussss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lpuussss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lpuussss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lpuussss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MC">#REF!</definedName>
    <definedName name="Amortisationperiod">#REF!</definedName>
    <definedName name="anagha" hidden="1">[5]A!$I$6:$I$105</definedName>
    <definedName name="anal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nal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nal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na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nbe">[31]EPS!$A$1:$D$27</definedName>
    <definedName name="anil">'[32]P &amp; L SCH'!#REF!</definedName>
    <definedName name="Anlauf6">#REF!</definedName>
    <definedName name="ann">#REF!</definedName>
    <definedName name="anne">#REF!</definedName>
    <definedName name="annealing">#REF!</definedName>
    <definedName name="annealing1">#REF!</definedName>
    <definedName name="Annual">#REF!</definedName>
    <definedName name="Annuité">#N/A</definedName>
    <definedName name="Annuité2">#N/A</definedName>
    <definedName name="ant_duty">#REF!</definedName>
    <definedName name="ANU" hidden="1">'[8]1999-00'!#REF!</definedName>
    <definedName name="Apples" localSheetId="6">#REF!</definedName>
    <definedName name="Apples" localSheetId="9">#REF!</definedName>
    <definedName name="Apples">#REF!</definedName>
    <definedName name="arac">#REF!</definedName>
    <definedName name="Arbeitstage_pro_Monat">#REF!</definedName>
    <definedName name="ARCHITECTURAL">#REF!</definedName>
    <definedName name="area">[33]Workings!$A$39:$D$58</definedName>
    <definedName name="AREA2">#REF!</definedName>
    <definedName name="areais">[34]Assmpns!#REF!</definedName>
    <definedName name="areamcn">[34]Assmpns!#REF!</definedName>
    <definedName name="areaotherpoi">[34]Assmpns!#REF!</definedName>
    <definedName name="as" localSheetId="6" hidden="1">{#N/A,#N/A,FALSE,"COVER.XLS";#N/A,#N/A,FALSE,"RACT1.XLS";#N/A,#N/A,FALSE,"RACT2.XLS";#N/A,#N/A,FALSE,"ECCMP";#N/A,#N/A,FALSE,"WELDER.XLS"}</definedName>
    <definedName name="as" localSheetId="9" hidden="1">{#N/A,#N/A,FALSE,"COVER.XLS";#N/A,#N/A,FALSE,"RACT1.XLS";#N/A,#N/A,FALSE,"RACT2.XLS";#N/A,#N/A,FALSE,"ECCMP";#N/A,#N/A,FALSE,"WELDER.XLS"}</definedName>
    <definedName name="as" localSheetId="2" hidden="1">{#N/A,#N/A,FALSE,"COVER.XLS";#N/A,#N/A,FALSE,"RACT1.XLS";#N/A,#N/A,FALSE,"RACT2.XLS";#N/A,#N/A,FALSE,"ECCMP";#N/A,#N/A,FALSE,"WELDER.XLS"}</definedName>
    <definedName name="as" hidden="1">{#N/A,#N/A,FALSE,"COVER.XLS";#N/A,#N/A,FALSE,"RACT1.XLS";#N/A,#N/A,FALSE,"RACT2.XLS";#N/A,#N/A,FALSE,"ECCMP";#N/A,#N/A,FALSE,"WELDER.XLS"}</definedName>
    <definedName name="AS_B1">[35]Database!$B$32</definedName>
    <definedName name="AS_B2">[35]Database!$B$33</definedName>
    <definedName name="AS_B3">[35]Database!$B$34</definedName>
    <definedName name="AS_B4">[35]Database!$B$35</definedName>
    <definedName name="AS_M1">[35]Database!$D$32</definedName>
    <definedName name="AS_M2">[35]Database!$D$33</definedName>
    <definedName name="AS_M3">[35]Database!$D$34</definedName>
    <definedName name="AS_M4">[35]Database!$D$35</definedName>
    <definedName name="AS_U1">[35]Database!$C$32</definedName>
    <definedName name="AS_U2">[35]Database!$C$33</definedName>
    <definedName name="AS_U3">[35]Database!$C$34</definedName>
    <definedName name="AS_U4">[35]Database!$C$35</definedName>
    <definedName name="AS_U5">[35]Database!$C$36</definedName>
    <definedName name="AS2DocOpenMode" hidden="1">"AS2DocumentEdit"</definedName>
    <definedName name="asad" localSheetId="6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sad" localSheetId="9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sad" localSheetId="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sad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SDASF" hidden="1">'[8]1999-00'!#REF!</definedName>
    <definedName name="asdf">'[36]Front Page'!$A$86</definedName>
    <definedName name="ASP_Look" hidden="1">[20]dAssumption!$C$46:$P$51</definedName>
    <definedName name="ass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1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1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1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1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T" localSheetId="6" hidden="1">{#N/A,#N/A,FALSE,"COVER.XLS";#N/A,#N/A,FALSE,"RACT1.XLS";#N/A,#N/A,FALSE,"RACT2.XLS";#N/A,#N/A,FALSE,"ECCMP";#N/A,#N/A,FALSE,"WELDER.XLS"}</definedName>
    <definedName name="AST" localSheetId="9" hidden="1">{#N/A,#N/A,FALSE,"COVER.XLS";#N/A,#N/A,FALSE,"RACT1.XLS";#N/A,#N/A,FALSE,"RACT2.XLS";#N/A,#N/A,FALSE,"ECCMP";#N/A,#N/A,FALSE,"WELDER.XLS"}</definedName>
    <definedName name="AST" localSheetId="2" hidden="1">{#N/A,#N/A,FALSE,"COVER.XLS";#N/A,#N/A,FALSE,"RACT1.XLS";#N/A,#N/A,FALSE,"RACT2.XLS";#N/A,#N/A,FALSE,"ECCMP";#N/A,#N/A,FALSE,"WELDER.XLS"}</definedName>
    <definedName name="AST" hidden="1">{#N/A,#N/A,FALSE,"COVER.XLS";#N/A,#N/A,FALSE,"RACT1.XLS";#N/A,#N/A,FALSE,"RACT2.XLS";#N/A,#N/A,FALSE,"ECCMP";#N/A,#N/A,FALSE,"WELDER.XLS"}</definedName>
    <definedName name="ASTURIAS">#REF!</definedName>
    <definedName name="ATTEND">#REF!</definedName>
    <definedName name="AUN">#REF!</definedName>
    <definedName name="Ausschuß">#REF!</definedName>
    <definedName name="AUTO">#REF!</definedName>
    <definedName name="Availability">#REF!</definedName>
    <definedName name="avg">#REF!</definedName>
    <definedName name="ax" hidden="1">#N/A</definedName>
    <definedName name="b">'[37]RCIL-Conso-details'!#REF!</definedName>
    <definedName name="ba_diat">#REF!</definedName>
    <definedName name="Bad_Debts">[38]assumptions!$D$44</definedName>
    <definedName name="BAILEN">#REF!</definedName>
    <definedName name="BALANCE">[23]INFO!$B$11</definedName>
    <definedName name="Bananas" localSheetId="6">#REF!</definedName>
    <definedName name="Bananas" localSheetId="9">#REF!</definedName>
    <definedName name="Bananas">#REF!</definedName>
    <definedName name="bankfinance">#REF!</definedName>
    <definedName name="BARCELONA">#REF!</definedName>
    <definedName name="Baremos">#REF!</definedName>
    <definedName name="base_graph">#REF!</definedName>
    <definedName name="Basepopulation">[13]Assmpns!#REF!</definedName>
    <definedName name="BASES">#REF!</definedName>
    <definedName name="bbb">#REF!</definedName>
    <definedName name="BBData">#REF!</definedName>
    <definedName name="BBRAS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BBRAS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BBRAS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BBRAS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BCHART" hidden="1">#REF!</definedName>
    <definedName name="BeginBorder">#REF!</definedName>
    <definedName name="BENAVENTE">#REF!</definedName>
    <definedName name="BENEFITS">#REF!</definedName>
    <definedName name="bgcharge">'[39]NLD - Assum'!#REF!</definedName>
    <definedName name="bhjvjcg">'[39]Capex-fixed'!#REF!</definedName>
    <definedName name="Bi_Week01">[40]Bi_Week_20_02_11!$A$3:$J$7</definedName>
    <definedName name="Bi_Weekly">[41]Bi_Weekly!$A$2:$D$126</definedName>
    <definedName name="bih">'[39]Capex-fixed'!#REF!</definedName>
    <definedName name="BILBAO">#REF!</definedName>
    <definedName name="billingcollectionexpense">[34]Assmpns!#REF!</definedName>
    <definedName name="BLAH" hidden="1">{"Cash Flow Statement",#N/A,FALSE,"DCF"}</definedName>
    <definedName name="bldgaqscharge">'[39]Capex-fixed'!#REF!</definedName>
    <definedName name="BLDS">#REF!</definedName>
    <definedName name="blinds">#REF!</definedName>
    <definedName name="BLTable">'[42]BL-Bud'!$A$11:$Y$133</definedName>
    <definedName name="bol">#REF!</definedName>
    <definedName name="boml">#REF!</definedName>
    <definedName name="boml1">#REF!</definedName>
    <definedName name="bookdepr">#REF!</definedName>
    <definedName name="Boolean">'[43]Cust Info'!$F$2:$F$2</definedName>
    <definedName name="botl">#REF!</definedName>
    <definedName name="botl1">#REF!</definedName>
    <definedName name="botn">#REF!</definedName>
    <definedName name="Bouton7_QuandClic">#N/A</definedName>
    <definedName name="BR_Resou">[44]ecc_res!#REF!</definedName>
    <definedName name="Breaks">#REF!</definedName>
    <definedName name="BRS">'[45]ALL-IBANK-BRS'!$A$1:$B$453</definedName>
    <definedName name="bs">#REF!</definedName>
    <definedName name="BSFULL">#REF!</definedName>
    <definedName name="BSTable">'[42]BS-Bud'!$A$11:$Y$133</definedName>
    <definedName name="bua">#REF!</definedName>
    <definedName name="budget_2007_2008__volumen_de_ventas">"Volumen ventas"</definedName>
    <definedName name="budget_year">'[46]Lookup Sheet'!$E$2</definedName>
    <definedName name="budgetary">#REF!</definedName>
    <definedName name="BUN">#REF!</definedName>
    <definedName name="button_area_1">#REF!</definedName>
    <definedName name="BV">[47]INFO!$B$4</definedName>
    <definedName name="bvc">'[39]Capex-fixed'!#REF!</definedName>
    <definedName name="C_">#N/A</definedName>
    <definedName name="CABLE">#REF!</definedName>
    <definedName name="cablelomif">'[39]Capex-fixed'!#REF!</definedName>
    <definedName name="cacl">#REF!</definedName>
    <definedName name="can1_240fixed">'[39]Capex-fixed'!#REF!</definedName>
    <definedName name="can1_240var">'[39]Capex-fixed'!#REF!</definedName>
    <definedName name="can1_480fixed">'[39]Capex-fixed'!#REF!</definedName>
    <definedName name="can1_480var">'[39]Capex-fixed'!#REF!</definedName>
    <definedName name="can1_960fixed">'[39]Capex-fixed'!#REF!</definedName>
    <definedName name="can1_960var">'[39]Capex-fixed'!#REF!</definedName>
    <definedName name="can1fixed">'[39]Capex-fixed'!#REF!</definedName>
    <definedName name="can1fixed_960">'[39]Capex-fixed'!#REF!</definedName>
    <definedName name="can1fixed960">'[39]Capex-fixed'!#REF!</definedName>
    <definedName name="can1mediacost">#REF!</definedName>
    <definedName name="can1var">'[39]Capex-fixed'!#REF!</definedName>
    <definedName name="can2_240fixed">'[39]Capex-fixed'!#REF!</definedName>
    <definedName name="can2_240var">'[39]Capex-fixed'!#REF!</definedName>
    <definedName name="can2_480fixed">'[39]Capex-fixed'!#REF!</definedName>
    <definedName name="can2_480var">'[39]Capex-fixed'!#REF!</definedName>
    <definedName name="can2_960fixed">'[39]Capex-fixed'!#REF!</definedName>
    <definedName name="can2_960var">'[39]Capex-fixed'!#REF!</definedName>
    <definedName name="can4_240">'[39]Capex-fixed'!#REF!</definedName>
    <definedName name="can4_240fixed">'[39]Capex-fixed'!#REF!</definedName>
    <definedName name="can4_240var">'[39]Capex-fixed'!#REF!</definedName>
    <definedName name="can4_480">'[39]Capex-fixed'!#REF!</definedName>
    <definedName name="can4_480fixed">'[39]Capex-fixed'!#REF!</definedName>
    <definedName name="can4_480var">'[39]Capex-fixed'!#REF!</definedName>
    <definedName name="can4_960">'[39]Capex-fixed'!#REF!</definedName>
    <definedName name="can4_960fixed">'[39]Capex-fixed'!#REF!</definedName>
    <definedName name="can4_960var">'[39]Capex-fixed'!#REF!</definedName>
    <definedName name="can4_power">'[39]Capex-fixed'!#REF!</definedName>
    <definedName name="can8_240fixed">'[39]Capex-fixed'!#REF!</definedName>
    <definedName name="can8_240var">'[39]Capex-fixed'!#REF!</definedName>
    <definedName name="can8_480fixed">'[39]Capex-fixed'!#REF!</definedName>
    <definedName name="can8_480var">'[39]Capex-fixed'!#REF!</definedName>
    <definedName name="can8_960fixed">'[39]Capex-fixed'!#REF!</definedName>
    <definedName name="can8_960var">'[39]Capex-fixed'!#REF!</definedName>
    <definedName name="can8_power">'[39]Capex-fixed'!#REF!</definedName>
    <definedName name="can8media">#REF!</definedName>
    <definedName name="canfourmediacost">'[39]Capex-fixed'!#REF!</definedName>
    <definedName name="cantwomediacost">#REF!</definedName>
    <definedName name="CAP">[48]Summary!$C$9</definedName>
    <definedName name="capex_working">'[49]Main workings'!$A$156:$DS$192</definedName>
    <definedName name="capex1a">#REF!</definedName>
    <definedName name="capex1b">#REF!</definedName>
    <definedName name="capex2">[34]Assmpns!#REF!</definedName>
    <definedName name="capital.costs">#REF!</definedName>
    <definedName name="capitalc">'[23]NOTES '!$H$61</definedName>
    <definedName name="capitalp">'[47]NOTES '!$D$61</definedName>
    <definedName name="CAPWIP">[50]tb!$G$46:$P$56</definedName>
    <definedName name="carga_pgc">'[51]Front Page'!#REF!</definedName>
    <definedName name="CASH">[52]capg!#REF!</definedName>
    <definedName name="Cashflow">#REF!</definedName>
    <definedName name="cbu" localSheetId="6" hidden="1">{#N/A,#N/A,FALSE,"COVER.XLS";#N/A,#N/A,FALSE,"RACT1.XLS";#N/A,#N/A,FALSE,"RACT2.XLS";#N/A,#N/A,FALSE,"ECCMP";#N/A,#N/A,FALSE,"WELDER.XLS"}</definedName>
    <definedName name="cbu" localSheetId="9" hidden="1">{#N/A,#N/A,FALSE,"COVER.XLS";#N/A,#N/A,FALSE,"RACT1.XLS";#N/A,#N/A,FALSE,"RACT2.XLS";#N/A,#N/A,FALSE,"ECCMP";#N/A,#N/A,FALSE,"WELDER.XLS"}</definedName>
    <definedName name="cbu" localSheetId="2" hidden="1">{#N/A,#N/A,FALSE,"COVER.XLS";#N/A,#N/A,FALSE,"RACT1.XLS";#N/A,#N/A,FALSE,"RACT2.XLS";#N/A,#N/A,FALSE,"ECCMP";#N/A,#N/A,FALSE,"WELDER.XLS"}</definedName>
    <definedName name="cbu" hidden="1">{#N/A,#N/A,FALSE,"COVER.XLS";#N/A,#N/A,FALSE,"RACT1.XLS";#N/A,#N/A,FALSE,"RACT2.XLS";#N/A,#N/A,FALSE,"ECCMP";#N/A,#N/A,FALSE,"WELDER.XLS"}</definedName>
    <definedName name="CC">'[53]Customize Your Invoice'!$G$22:$G$25</definedName>
    <definedName name="CCC100prcost">'[39]Capex-fixed'!#REF!</definedName>
    <definedName name="CCHART" hidden="1">#REF!</definedName>
    <definedName name="CCT">#REF!</definedName>
    <definedName name="cd" localSheetId="6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d" localSheetId="9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d" localSheetId="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d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du" localSheetId="6" hidden="1">{#N/A,#N/A,FALSE,"COVER.XLS";#N/A,#N/A,FALSE,"RACT1.XLS";#N/A,#N/A,FALSE,"RACT2.XLS";#N/A,#N/A,FALSE,"ECCMP";#N/A,#N/A,FALSE,"WELDER.XLS"}</definedName>
    <definedName name="cdu" localSheetId="9" hidden="1">{#N/A,#N/A,FALSE,"COVER.XLS";#N/A,#N/A,FALSE,"RACT1.XLS";#N/A,#N/A,FALSE,"RACT2.XLS";#N/A,#N/A,FALSE,"ECCMP";#N/A,#N/A,FALSE,"WELDER.XLS"}</definedName>
    <definedName name="cdu" localSheetId="2" hidden="1">{#N/A,#N/A,FALSE,"COVER.XLS";#N/A,#N/A,FALSE,"RACT1.XLS";#N/A,#N/A,FALSE,"RACT2.XLS";#N/A,#N/A,FALSE,"ECCMP";#N/A,#N/A,FALSE,"WELDER.XLS"}</definedName>
    <definedName name="cdu" hidden="1">{#N/A,#N/A,FALSE,"COVER.XLS";#N/A,#N/A,FALSE,"RACT1.XLS";#N/A,#N/A,FALSE,"RACT2.XLS";#N/A,#N/A,FALSE,"ECCMP";#N/A,#N/A,FALSE,"WELDER.XLS"}</definedName>
    <definedName name="celltips_area">#REF!</definedName>
    <definedName name="Cellulargrowthrate">[13]Assmpns!#REF!</definedName>
    <definedName name="CellularsubscriberperE1">[13]Assmpns!#REF!</definedName>
    <definedName name="cellularsubscribers">[13]Assmpns!#REF!</definedName>
    <definedName name="cf">#REF!</definedName>
    <definedName name="cgfcf">'[39]Capex-fixed'!#REF!</definedName>
    <definedName name="chairs">#REF!</definedName>
    <definedName name="CHAIRSSOFA">#REF!</definedName>
    <definedName name="Channel_Sales_Commission_on_Revenue">[38]assumptions!$D$42</definedName>
    <definedName name="Chargeurs">'[54]Front Page'!#REF!</definedName>
    <definedName name="ChartVar_Look" hidden="1">OFFSET([20]AdHocChartData!$J$60,0,0,[20]AdHocChartData!$J$57,1)</definedName>
    <definedName name="checked">#REF!</definedName>
    <definedName name="Chiffre_montécharge_annuel">#REF!</definedName>
    <definedName name="chiffre_montécharge_mensuel">#REF!</definedName>
    <definedName name="CIF">#REF!</definedName>
    <definedName name="CINQ">#N/A</definedName>
    <definedName name="CINQ5">#N/A</definedName>
    <definedName name="cisco_dscnt">#REF!</definedName>
    <definedName name="city_bal_127">#REF!</definedName>
    <definedName name="city_next_57">#REF!</definedName>
    <definedName name="city_top_10">#REF!</definedName>
    <definedName name="CityData">#REF!</definedName>
    <definedName name="CityName">[55]Assumptions!$M$2</definedName>
    <definedName name="CIVIL">#REF!</definedName>
    <definedName name="cl_debt">'[56]debt schedule'!#REF!</definedName>
    <definedName name="clubhouse">#REF!</definedName>
    <definedName name="CLUBS">#REF!</definedName>
    <definedName name="clusters">[57]Sheet2!$A$3:$C$596</definedName>
    <definedName name="cn1_240">'[39]Capex-fixed'!#REF!</definedName>
    <definedName name="cn1_480">'[39]Capex-fixed'!#REF!</definedName>
    <definedName name="cn1_960">'[39]Capex-fixed'!#REF!</definedName>
    <definedName name="cn1_power">'[39]Capex-fixed'!#REF!</definedName>
    <definedName name="cn1fixed960">'[39]Capex-fixed'!#REF!</definedName>
    <definedName name="cn2_240">'[39]Capex-fixed'!#REF!</definedName>
    <definedName name="cn2_480">'[39]Capex-fixed'!#REF!</definedName>
    <definedName name="cn2_960">'[39]Capex-fixed'!#REF!</definedName>
    <definedName name="cn2_power">'[39]Capex-fixed'!#REF!</definedName>
    <definedName name="cn3_960">'[39]Capex-fixed'!#REF!</definedName>
    <definedName name="cn4_960">'[39]Capex-fixed'!#REF!</definedName>
    <definedName name="Code2Month_Look" hidden="1">[20]dAssumption!$AG$12:$AH$179</definedName>
    <definedName name="cogs" hidden="1">[5]A!$G$6:$G$105</definedName>
    <definedName name="Columns">#REF!</definedName>
    <definedName name="comminfracost">'[39]Capex-fixed'!#REF!</definedName>
    <definedName name="COMMN">#REF!</definedName>
    <definedName name="company">[34]Assmpns!$C$135</definedName>
    <definedName name="Complex">[58]Input!$A$119:$B$129</definedName>
    <definedName name="Complexity_Costs">#REF!</definedName>
    <definedName name="Comput">#REF!</definedName>
    <definedName name="Computation">#REF!</definedName>
    <definedName name="coni" localSheetId="2" hidden="1">#REF!</definedName>
    <definedName name="coni" hidden="1">#REF!</definedName>
    <definedName name="Constant1" hidden="1">[20]dAssumption!$AQ$32</definedName>
    <definedName name="Constant2" hidden="1">[20]dAssumption!$AQ$33</definedName>
    <definedName name="CONSTR">#REF!</definedName>
    <definedName name="Content_Applications">#REF!</definedName>
    <definedName name="Controleurs">'[54]Front Page'!#REF!</definedName>
    <definedName name="conv">[59]factors!$C$12</definedName>
    <definedName name="conv_usd">[59]factors!$C$13</definedName>
    <definedName name="CORPORATE">#REF!</definedName>
    <definedName name="corptax">#REF!</definedName>
    <definedName name="CorrFactor_Look" hidden="1">[20]ActHistory!$C$119:$P$124</definedName>
    <definedName name="CostData_OptionBuy">'[60]Cost Data'!$C$385</definedName>
    <definedName name="CostData_OptionLeaseRent">'[60]Cost Data'!$C$384</definedName>
    <definedName name="CostData_PLAllocation">'[61]Cost Data'!$I$343</definedName>
    <definedName name="CostData_UtilisationFactorIT">'[61]Cost Data'!$F$175</definedName>
    <definedName name="CostData_UtilisationFactorMHE">'[61]Cost Data'!$F$102</definedName>
    <definedName name="CostData_UtilisationFactorTrucks">'[61]Cost Data'!$F$79</definedName>
    <definedName name="costlabel">#REF!</definedName>
    <definedName name="COSTPERUNITLOOK" hidden="1">[62]Assumptions!$D$15:$T$20</definedName>
    <definedName name="Country">[43]Database!$A$4:$A$21</definedName>
    <definedName name="CP">#REF!</definedName>
    <definedName name="Cr">10^7</definedName>
    <definedName name="Creditors">#REF!</definedName>
    <definedName name="CRIT" localSheetId="6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" localSheetId="9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" localSheetId="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ICAL" localSheetId="6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ICAL" localSheetId="9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ICAL" localSheetId="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ICAL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USHER">#REF!</definedName>
    <definedName name="CRUSHERPRODUCTION">#REF!</definedName>
    <definedName name="cspm">#REF!</definedName>
    <definedName name="cst">#REF!</definedName>
    <definedName name="cst_Batt">#REF!</definedName>
    <definedName name="cst_DG">#REF!</definedName>
    <definedName name="CUN">#REF!</definedName>
    <definedName name="curliabc">'[23]NOTES '!#REF!</definedName>
    <definedName name="curliabp">'[23]NOTES '!#REF!</definedName>
    <definedName name="Curr1" hidden="1">[20]dAssumption!$AF$5</definedName>
    <definedName name="Curr2" hidden="1">[20]dAssumption!$AF$6</definedName>
    <definedName name="CURRENCY">[23]INFO!#REF!</definedName>
    <definedName name="currencyLotInformation">[63]validationInfo!$A$1:$B$1</definedName>
    <definedName name="current_year">'[46]Lookup Sheet'!$E$1</definedName>
    <definedName name="Currentplugcost">'[39]Capex-fixed'!#REF!</definedName>
    <definedName name="currmnth">#REF!</definedName>
    <definedName name="CURVE" localSheetId="6" hidden="1">{#N/A,#N/A,FALSE,"COVER1.XLS ";#N/A,#N/A,FALSE,"RACT1.XLS";#N/A,#N/A,FALSE,"RACT2.XLS";#N/A,#N/A,FALSE,"ECCMP";#N/A,#N/A,FALSE,"WELDER.XLS"}</definedName>
    <definedName name="CURVE" localSheetId="9" hidden="1">{#N/A,#N/A,FALSE,"COVER1.XLS ";#N/A,#N/A,FALSE,"RACT1.XLS";#N/A,#N/A,FALSE,"RACT2.XLS";#N/A,#N/A,FALSE,"ECCMP";#N/A,#N/A,FALSE,"WELDER.XLS"}</definedName>
    <definedName name="CURVE" localSheetId="2" hidden="1">{#N/A,#N/A,FALSE,"COVER1.XLS ";#N/A,#N/A,FALSE,"RACT1.XLS";#N/A,#N/A,FALSE,"RACT2.XLS";#N/A,#N/A,FALSE,"ECCMP";#N/A,#N/A,FALSE,"WELDER.XLS"}</definedName>
    <definedName name="CURVE" hidden="1">{#N/A,#N/A,FALSE,"COVER1.XLS ";#N/A,#N/A,FALSE,"RACT1.XLS";#N/A,#N/A,FALSE,"RACT2.XLS";#N/A,#N/A,FALSE,"ECCMP";#N/A,#N/A,FALSE,"WELDER.XLS"}</definedName>
    <definedName name="CUSTOMER">#REF!</definedName>
    <definedName name="d">#N/A</definedName>
    <definedName name="dark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dark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dark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dark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5">#REF!</definedName>
    <definedName name="DATA6">#REF!</definedName>
    <definedName name="data63">#REF!</definedName>
    <definedName name="data64">#REF!</definedName>
    <definedName name="data65">#REF!</definedName>
    <definedName name="data66">#REF!</definedName>
    <definedName name="data67">#REF!</definedName>
    <definedName name="data68">#REF!</definedName>
    <definedName name="data69">#REF!</definedName>
    <definedName name="DATA7">#REF!</definedName>
    <definedName name="data70">#REF!</definedName>
    <definedName name="DATA8">#REF!</definedName>
    <definedName name="DATA9">#REF!</definedName>
    <definedName name="dataarea">#REF!</definedName>
    <definedName name="DataAssumptions_OpeningDaysWH">'[61]Data Assumptions'!$G$27</definedName>
    <definedName name="DataAssumptions_OpeningDaysWH_pm">'[61]Data Assumptions'!$G$28</definedName>
    <definedName name="DataAssumptions_QuantityUnit">'[61]Data Assumptions'!$C$308</definedName>
    <definedName name="DataAssumptions_Scenario">'[61]Data Assumptions'!$C$304</definedName>
    <definedName name="DataAssumptions_Scenarios">'[61]Data Assumptions'!$Q$4</definedName>
    <definedName name="DataAssumptions_User">'[61]Data Assumptions'!$B$287</definedName>
    <definedName name="_xlnm.Database">#REF!</definedName>
    <definedName name="datagrowth">[13]Assmpns!#REF!</definedName>
    <definedName name="DATOS0">#REF!</definedName>
    <definedName name="DATOS1">#REF!</definedName>
    <definedName name="DATOS2">#REF!</definedName>
    <definedName name="DATOS3">#REF!</definedName>
    <definedName name="days">#REF!</definedName>
    <definedName name="dc">#REF!</definedName>
    <definedName name="DCF">#REF!</definedName>
    <definedName name="DCHART" hidden="1">#REF!</definedName>
    <definedName name="dd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dd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dd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dd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debt_repay">'[56]debt schedule'!#REF!</definedName>
    <definedName name="Debtors">#REF!</definedName>
    <definedName name="debtrepay">#REF!</definedName>
    <definedName name="debtsch">#REF!</definedName>
    <definedName name="depr">[64]Financials!#REF!</definedName>
    <definedName name="depreciation">#REF!</definedName>
    <definedName name="DEPRN">#REF!</definedName>
    <definedName name="der">#REF!</definedName>
    <definedName name="designed">#REF!</definedName>
    <definedName name="Destinataires">#REF!</definedName>
    <definedName name="DEUX">#N/A</definedName>
    <definedName name="DEUX2">#N/A</definedName>
    <definedName name="dev">#REF!</definedName>
    <definedName name="DEVA">[65]WORKINGS!#REF!</definedName>
    <definedName name="DEVA1">[65]WORKINGS!#REF!</definedName>
    <definedName name="DEVA2">[65]WORKINGS!#REF!</definedName>
    <definedName name="df">#REF!</definedName>
    <definedName name="dfg">'[39]Capex-fixed'!#REF!</definedName>
    <definedName name="dflt1">'[53]Customize Your Invoice'!$E$22</definedName>
    <definedName name="dflt2">'[53]Customize Your Invoice'!$E$23</definedName>
    <definedName name="dflt3">'[53]Customize Your Invoice'!$D$24</definedName>
    <definedName name="dflt4">'[53]Customize Your Invoice'!$E$26</definedName>
    <definedName name="dflt5">'[53]Customize Your Invoice'!$E$27</definedName>
    <definedName name="dflt6">'[53]Customize Your Invoice'!$D$28</definedName>
    <definedName name="dflt7">'[53]Customize Your Invoice'!$G$27</definedName>
    <definedName name="dg">#REF!</definedName>
    <definedName name="dgfgfd" localSheetId="6" hidden="1">{#N/A,#N/A,FALSE,"COVER.XLS";#N/A,#N/A,FALSE,"RACT1.XLS";#N/A,#N/A,FALSE,"RACT2.XLS";#N/A,#N/A,FALSE,"ECCMP";#N/A,#N/A,FALSE,"WELDER.XLS"}</definedName>
    <definedName name="dgfgfd" localSheetId="9" hidden="1">{#N/A,#N/A,FALSE,"COVER.XLS";#N/A,#N/A,FALSE,"RACT1.XLS";#N/A,#N/A,FALSE,"RACT2.XLS";#N/A,#N/A,FALSE,"ECCMP";#N/A,#N/A,FALSE,"WELDER.XLS"}</definedName>
    <definedName name="dgfgfd" localSheetId="2" hidden="1">{#N/A,#N/A,FALSE,"COVER.XLS";#N/A,#N/A,FALSE,"RACT1.XLS";#N/A,#N/A,FALSE,"RACT2.XLS";#N/A,#N/A,FALSE,"ECCMP";#N/A,#N/A,FALSE,"WELDER.XLS"}</definedName>
    <definedName name="dgfgfd" hidden="1">{#N/A,#N/A,FALSE,"COVER.XLS";#N/A,#N/A,FALSE,"RACT1.XLS";#N/A,#N/A,FALSE,"RACT2.XLS";#N/A,#N/A,FALSE,"ECCMP";#N/A,#N/A,FALSE,"WELDER.XLS"}</definedName>
    <definedName name="Diary">#REF!</definedName>
    <definedName name="Direct_Cool">[66]Lists!#REF!</definedName>
    <definedName name="disc">#REF!</definedName>
    <definedName name="disc1">#REF!</definedName>
    <definedName name="disc2">#REF!</definedName>
    <definedName name="disc3">#REF!</definedName>
    <definedName name="Distancia_descarga_camión">[67]Tiempos!#REF!</definedName>
    <definedName name="Distancia_playa_de_vacío">[67]Tiempos!#REF!</definedName>
    <definedName name="Distancia_recepción_oficina">[67]Tiempos!#REF!</definedName>
    <definedName name="Distancia_trasvases_vacío">[67]Tiempos!#REF!</definedName>
    <definedName name="Distancia_ubicación_carros">[67]Tiempos!#REF!</definedName>
    <definedName name="Distancia_ubicación_trasvases">[67]Tiempos!#REF!</definedName>
    <definedName name="DL">#REF!</definedName>
    <definedName name="docu">#REF!</definedName>
    <definedName name="Documentationcharges">'[39]Capex-fixed'!#REF!</definedName>
    <definedName name="DOW_CORNING_789_SILICONE_SEALANT">#REF!</definedName>
    <definedName name="dp10prcost">'[39]Capex-fixed'!#REF!</definedName>
    <definedName name="DPW">#REF!</definedName>
    <definedName name="dq">#REF!</definedName>
    <definedName name="Drops">#REF!</definedName>
    <definedName name="dsD" localSheetId="6" hidden="1">{#N/A,#N/A,FALSE,"COVER1.XLS ";#N/A,#N/A,FALSE,"RACT1.XLS";#N/A,#N/A,FALSE,"RACT2.XLS";#N/A,#N/A,FALSE,"ECCMP";#N/A,#N/A,FALSE,"WELDER.XLS"}</definedName>
    <definedName name="dsD" localSheetId="9" hidden="1">{#N/A,#N/A,FALSE,"COVER1.XLS ";#N/A,#N/A,FALSE,"RACT1.XLS";#N/A,#N/A,FALSE,"RACT2.XLS";#N/A,#N/A,FALSE,"ECCMP";#N/A,#N/A,FALSE,"WELDER.XLS"}</definedName>
    <definedName name="dsD" localSheetId="2" hidden="1">{#N/A,#N/A,FALSE,"COVER1.XLS ";#N/A,#N/A,FALSE,"RACT1.XLS";#N/A,#N/A,FALSE,"RACT2.XLS";#N/A,#N/A,FALSE,"ECCMP";#N/A,#N/A,FALSE,"WELDER.XLS"}</definedName>
    <definedName name="dsD" hidden="1">{#N/A,#N/A,FALSE,"COVER1.XLS ";#N/A,#N/A,FALSE,"RACT1.XLS";#N/A,#N/A,FALSE,"RACT2.XLS";#N/A,#N/A,FALSE,"ECCMP";#N/A,#N/A,FALSE,"WELDER.XLS"}</definedName>
    <definedName name="dss" hidden="1">#N/A</definedName>
    <definedName name="Dta">'[10]Excise on RM'!#REF!</definedName>
    <definedName name="ductlabourcost">'[39]Capex-fixed'!#REF!</definedName>
    <definedName name="DUN">#REF!</definedName>
    <definedName name="Durée_prêt">#REF!</definedName>
    <definedName name="duty">'[39]Capex-fixed'!#REF!</definedName>
    <definedName name="E">#N/A</definedName>
    <definedName name="e_u">'[68]Factor -local'!$D$55</definedName>
    <definedName name="eastpoint">#REF!</definedName>
    <definedName name="ec">'[21]#REF'!$A$138:$S$170</definedName>
    <definedName name="Ecapturedmarket">#REF!</definedName>
    <definedName name="ECHART" hidden="1">#REF!</definedName>
    <definedName name="Economic_val_Pre">#REF!</definedName>
    <definedName name="Economic_value">#REF!</definedName>
    <definedName name="Economic_value_base">#REF!</definedName>
    <definedName name="Economic_value_Pre">#REF!</definedName>
    <definedName name="ED">#REF!</definedName>
    <definedName name="EDCDMA">#REF!</definedName>
    <definedName name="EDFTTB">#REF!</definedName>
    <definedName name="EDHFC">#REF!</definedName>
    <definedName name="EDIT__END__LEFT__DEL___DOWN">#REF!</definedName>
    <definedName name="edpcas">#REF!</definedName>
    <definedName name="ee" localSheetId="6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ee" localSheetId="9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ee" localSheetId="2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ee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eeeeccc" hidden="1">#REF!</definedName>
    <definedName name="efgh">#REF!</definedName>
    <definedName name="eg" localSheetId="6" hidden="1">{#N/A,#N/A,FALSE,"COVER.XLS";#N/A,#N/A,FALSE,"RACT1.XLS";#N/A,#N/A,FALSE,"RACT2.XLS";#N/A,#N/A,FALSE,"ECCMP";#N/A,#N/A,FALSE,"WELDER.XLS"}</definedName>
    <definedName name="eg" localSheetId="9" hidden="1">{#N/A,#N/A,FALSE,"COVER.XLS";#N/A,#N/A,FALSE,"RACT1.XLS";#N/A,#N/A,FALSE,"RACT2.XLS";#N/A,#N/A,FALSE,"ECCMP";#N/A,#N/A,FALSE,"WELDER.XLS"}</definedName>
    <definedName name="eg" localSheetId="2" hidden="1">{#N/A,#N/A,FALSE,"COVER.XLS";#N/A,#N/A,FALSE,"RACT1.XLS";#N/A,#N/A,FALSE,"RACT2.XLS";#N/A,#N/A,FALSE,"ECCMP";#N/A,#N/A,FALSE,"WELDER.XLS"}</definedName>
    <definedName name="eg" hidden="1">{#N/A,#N/A,FALSE,"COVER.XLS";#N/A,#N/A,FALSE,"RACT1.XLS";#N/A,#N/A,FALSE,"RACT2.XLS";#N/A,#N/A,FALSE,"ECCMP";#N/A,#N/A,FALSE,"WELDER.XLS"}</definedName>
    <definedName name="elasticity">#REF!</definedName>
    <definedName name="elasticity_ild">#REF!</definedName>
    <definedName name="ELECTRICAL">#REF!</definedName>
    <definedName name="ELECTRICALFITTINGS">#REF!</definedName>
    <definedName name="ELECTRICALWIRING">#REF!</definedName>
    <definedName name="elektr_bf">#REF!</definedName>
    <definedName name="elektr_fa">#REF!</definedName>
    <definedName name="elektr_fd">#REF!</definedName>
    <definedName name="emc">'[69]summary m3'!$Q$51</definedName>
    <definedName name="EndBorder">#REF!</definedName>
    <definedName name="EndHistCode" hidden="1">[20]dAssumption!$AJ$5</definedName>
    <definedName name="EndHistDate" hidden="1">[20]dAssumption!$AK$5</definedName>
    <definedName name="EndHistImport" hidden="1">[20]dAssumption!$AJ$7</definedName>
    <definedName name="EndHistMaster" hidden="1">[20]dAssumption!$AJ$6</definedName>
    <definedName name="entrencegate">#REF!</definedName>
    <definedName name="EPCG">#REF!</definedName>
    <definedName name="Epenrate">#REF!</definedName>
    <definedName name="eps">[31]EPS!$A$1:$D$27</definedName>
    <definedName name="equityupfront">[34]Assmpns!#REF!</definedName>
    <definedName name="ER">#REF!</definedName>
    <definedName name="ert">'[39]Capex-fixed'!#REF!</definedName>
    <definedName name="ESTRUCT">#REF!</definedName>
    <definedName name="etiketten">#REF!</definedName>
    <definedName name="ETRAS">#REF!</definedName>
    <definedName name="EUN">#REF!</definedName>
    <definedName name="EURO">#REF!</definedName>
    <definedName name="EV__LASTREFTIME__" hidden="1">41198.3776736111</definedName>
    <definedName name="EX">'[70]tata daily wages'!#REF!</definedName>
    <definedName name="ex_rate">#REF!</definedName>
    <definedName name="Excel_BuiltIn__FilterDatabase_1">#REF!</definedName>
    <definedName name="Excel_BuiltIn__FilterDatabase_1_1">#REF!</definedName>
    <definedName name="Excel_BuiltIn_Print_Area_4">'[70]tata daily wages'!#REF!</definedName>
    <definedName name="Excel_BuiltIn_Print_Area_4_1">'[70]tata daily wages'!#REF!</definedName>
    <definedName name="Excel_BuiltIn_Print_Area_4_2">'[70]tata daily wages'!#REF!</definedName>
    <definedName name="Excel_BuiltIn_Print_Area_4_3">'[70]tata daily wages'!#REF!</definedName>
    <definedName name="Excel_BuiltIn_Print_Area_5">'[70]Trading - Madha'!#REF!</definedName>
    <definedName name="Excel_BuiltIn_Print_Area_5_1">'[70]Trading - Madha'!#REF!</definedName>
    <definedName name="Excel_BuiltIn_Print_Area_5_2">'[70]Trading - Madha'!#REF!</definedName>
    <definedName name="Excel_BuiltIn_Print_Area_5_3">'[70]Trading - Madha'!#REF!</definedName>
    <definedName name="exch">'[39]Capex-fixed'!#REF!</definedName>
    <definedName name="EXECXEE">'[70]tata daily wages'!#REF!</definedName>
    <definedName name="EXIT">#REF!</definedName>
    <definedName name="ExpectedGrowthbysector">'[71]10-city points'!#REF!</definedName>
    <definedName name="ExpectedMarketSize">'[71]10-city points'!#REF!</definedName>
    <definedName name="expensesc">'[23]NOTES '!#REF!</definedName>
    <definedName name="expensesp">'[23]NOTES '!#REF!</definedName>
    <definedName name="extrckcost">'[39]Capex-fixed'!#REF!</definedName>
    <definedName name="f" hidden="1">"iQShowAnnual"</definedName>
    <definedName name="FA">#REF!</definedName>
    <definedName name="fac_hw">[59]factors!$C$6</definedName>
    <definedName name="fac_loc">[59]factors!$C$8</definedName>
    <definedName name="fac_sw">[59]factors!$C$7</definedName>
    <definedName name="FACT">#N/A</definedName>
    <definedName name="fake">#REF!</definedName>
    <definedName name="Famille">#REF!</definedName>
    <definedName name="FASYSTEM">[72]Estimation!#REF!</definedName>
    <definedName name="fc">#REF!</definedName>
    <definedName name="FCHART" hidden="1">#REF!</definedName>
    <definedName name="fco">[73]fco!$B$1:$AF$1</definedName>
    <definedName name="fdafa" localSheetId="6" hidden="1">{#N/A,#N/A,FALSE,"COVER1.XLS ";#N/A,#N/A,FALSE,"RACT1.XLS";#N/A,#N/A,FALSE,"RACT2.XLS";#N/A,#N/A,FALSE,"ECCMP";#N/A,#N/A,FALSE,"WELDER.XLS"}</definedName>
    <definedName name="fdafa" localSheetId="9" hidden="1">{#N/A,#N/A,FALSE,"COVER1.XLS ";#N/A,#N/A,FALSE,"RACT1.XLS";#N/A,#N/A,FALSE,"RACT2.XLS";#N/A,#N/A,FALSE,"ECCMP";#N/A,#N/A,FALSE,"WELDER.XLS"}</definedName>
    <definedName name="fdafa" localSheetId="2" hidden="1">{#N/A,#N/A,FALSE,"COVER1.XLS ";#N/A,#N/A,FALSE,"RACT1.XLS";#N/A,#N/A,FALSE,"RACT2.XLS";#N/A,#N/A,FALSE,"ECCMP";#N/A,#N/A,FALSE,"WELDER.XLS"}</definedName>
    <definedName name="fdafa" hidden="1">{#N/A,#N/A,FALSE,"COVER1.XLS ";#N/A,#N/A,FALSE,"RACT1.XLS";#N/A,#N/A,FALSE,"RACT2.XLS";#N/A,#N/A,FALSE,"ECCMP";#N/A,#N/A,FALSE,"WELDER.XLS"}</definedName>
    <definedName name="fdfd" localSheetId="6" hidden="1">{#N/A,#N/A,FALSE,"COVER.XLS";#N/A,#N/A,FALSE,"RACT1.XLS";#N/A,#N/A,FALSE,"RACT2.XLS";#N/A,#N/A,FALSE,"ECCMP";#N/A,#N/A,FALSE,"WELDER.XLS"}</definedName>
    <definedName name="fdfd" localSheetId="9" hidden="1">{#N/A,#N/A,FALSE,"COVER.XLS";#N/A,#N/A,FALSE,"RACT1.XLS";#N/A,#N/A,FALSE,"RACT2.XLS";#N/A,#N/A,FALSE,"ECCMP";#N/A,#N/A,FALSE,"WELDER.XLS"}</definedName>
    <definedName name="fdfd" localSheetId="2" hidden="1">{#N/A,#N/A,FALSE,"COVER.XLS";#N/A,#N/A,FALSE,"RACT1.XLS";#N/A,#N/A,FALSE,"RACT2.XLS";#N/A,#N/A,FALSE,"ECCMP";#N/A,#N/A,FALSE,"WELDER.XLS"}</definedName>
    <definedName name="fdfd" hidden="1">{#N/A,#N/A,FALSE,"COVER.XLS";#N/A,#N/A,FALSE,"RACT1.XLS";#N/A,#N/A,FALSE,"RACT2.XLS";#N/A,#N/A,FALSE,"ECCMP";#N/A,#N/A,FALSE,"WELDER.XLS"}</definedName>
    <definedName name="fdwfcw" localSheetId="6" hidden="1">{#N/A,#N/A,FALSE,"COVER.XLS";#N/A,#N/A,FALSE,"RACT1.XLS";#N/A,#N/A,FALSE,"RACT2.XLS";#N/A,#N/A,FALSE,"ECCMP";#N/A,#N/A,FALSE,"WELDER.XLS"}</definedName>
    <definedName name="fdwfcw" localSheetId="9" hidden="1">{#N/A,#N/A,FALSE,"COVER.XLS";#N/A,#N/A,FALSE,"RACT1.XLS";#N/A,#N/A,FALSE,"RACT2.XLS";#N/A,#N/A,FALSE,"ECCMP";#N/A,#N/A,FALSE,"WELDER.XLS"}</definedName>
    <definedName name="fdwfcw" localSheetId="2" hidden="1">{#N/A,#N/A,FALSE,"COVER.XLS";#N/A,#N/A,FALSE,"RACT1.XLS";#N/A,#N/A,FALSE,"RACT2.XLS";#N/A,#N/A,FALSE,"ECCMP";#N/A,#N/A,FALSE,"WELDER.XLS"}</definedName>
    <definedName name="fdwfcw" hidden="1">{#N/A,#N/A,FALSE,"COVER.XLS";#N/A,#N/A,FALSE,"RACT1.XLS";#N/A,#N/A,FALSE,"RACT2.XLS";#N/A,#N/A,FALSE,"ECCMP";#N/A,#N/A,FALSE,"WELDER.XLS"}</definedName>
    <definedName name="feas" localSheetId="6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eas" localSheetId="9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eas" localSheetId="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eas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F">#REF!</definedName>
    <definedName name="fff">#REF!</definedName>
    <definedName name="ffgf">'[39]Capex-fixed'!#REF!</definedName>
    <definedName name="fgff">'[39]Capex-fixed'!#REF!</definedName>
    <definedName name="FILL" hidden="1">#REF!</definedName>
    <definedName name="FIRE">#REF!</definedName>
    <definedName name="FIRST_40">[35]Database!$C$27</definedName>
    <definedName name="flächensatz6">#REF!</definedName>
    <definedName name="flooring">#REF!</definedName>
    <definedName name="FOOTAGE">#REF!</definedName>
    <definedName name="Forecast1_Look" hidden="1">[20]ForecastAdj!$C$84:$FN$148</definedName>
    <definedName name="Forecast2_Look" hidden="1">[20]ForecastAdj!$C$154:$FN$207</definedName>
    <definedName name="Forecast3_Look" hidden="1">[20]ForecastAdj!$C$213:$FN$266</definedName>
    <definedName name="Forecast4_Look" hidden="1">[20]ForecastAdj!$C$272:$FN$325</definedName>
    <definedName name="Forecast5_Look" hidden="1">[20]ForecastAdj!$C$331:$FN$384</definedName>
    <definedName name="Forecast6_Look" hidden="1">[20]ForecastAdj!$C$7:$FN$25</definedName>
    <definedName name="Forecast7_Look" hidden="1">[20]ForecastAdj!$C$31:$FN$51</definedName>
    <definedName name="Forecast8_Look" hidden="1">[20]ForecastAdj!$C$57:$FN$78</definedName>
    <definedName name="Format_1">#REF!</definedName>
    <definedName name="Fracht_el_Antr_BF">#REF!</definedName>
    <definedName name="Fracht_el_Antr_FA">#REF!</definedName>
    <definedName name="Fracht_el_Antr_hi">#REF!</definedName>
    <definedName name="Fracht_el_Kabelb_BF">#REF!</definedName>
    <definedName name="Fracht_el_Kabelb_FA">#REF!</definedName>
    <definedName name="Fracht_el_Kabelb_hi">#REF!</definedName>
    <definedName name="Fracht_el_Schloß_hi">#REF!</definedName>
    <definedName name="Fracht_el_Schloß_vo">#REF!</definedName>
    <definedName name="Fracht_el_sT_hi">#REF!</definedName>
    <definedName name="Fracht_GPFS_BF2">#REF!</definedName>
    <definedName name="Fracht_GPFS_BF4">#REF!</definedName>
    <definedName name="Fracht_GPFS_Fa2">#REF!</definedName>
    <definedName name="Fracht_GPFS_FA4">#REF!</definedName>
    <definedName name="Fracht_Grundteile_hi">#REF!</definedName>
    <definedName name="Fracht_Grundteile_vo">#REF!</definedName>
    <definedName name="Fracht_LAW_2t">#REF!</definedName>
    <definedName name="Fracht_LAW_4t">#REF!</definedName>
    <definedName name="Fracht_ma_Antr_hi">#REF!</definedName>
    <definedName name="Fracht_ma_Antr_vo">#REF!</definedName>
    <definedName name="Fracht_ma_basis_Kabelb_BF">#REF!</definedName>
    <definedName name="Fracht_ma_basis_Kabelb_hi">#REF!</definedName>
    <definedName name="Fracht_ma_Kabelb_BF">#REF!</definedName>
    <definedName name="Fracht_ma_Kabelb_FA">#REF!</definedName>
    <definedName name="Fracht_ma_Schloß_hi">#REF!</definedName>
    <definedName name="Fracht_ma_Schloß_vo">#REF!</definedName>
    <definedName name="Fracht_ma_sT_hi">#REF!</definedName>
    <definedName name="Fracht_mit_LS">#REF!</definedName>
    <definedName name="Fracht_Sidepad">#REF!</definedName>
    <definedName name="Franchisee_Commission">[21]Exp!#REF!</definedName>
    <definedName name="freaetfa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freaetfa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freaetfa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freaetfa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FREIGHT">#REF!</definedName>
    <definedName name="FrontPage_CalcSlidingPrice">'[61]Front Page'!$G$94</definedName>
    <definedName name="FrontPage_Check">'[61]Front Page'!$L$99</definedName>
    <definedName name="FrontPage_Company">'[61]Front Page'!$E$20</definedName>
    <definedName name="FrontPage_ContractDuration">'[61]Front Page'!$L$84</definedName>
    <definedName name="FrontPage_Country">'[61]Front Page'!$J$22</definedName>
    <definedName name="FrontPage_Currency">'[61]Front Page'!$G$62</definedName>
    <definedName name="FrontPage_Currency2">'[61]Front Page'!$L$62</definedName>
    <definedName name="FrontPage_CurrencyDetails">'[61]Front Page'!$B$60</definedName>
    <definedName name="FrontPage_CurrencyOutput">'[61]Front Page'!$L$64</definedName>
    <definedName name="FrontPage_Customer">'[61]Front Page'!$E$4</definedName>
    <definedName name="FrontPage_CustomerLogo">'[61]Front Page'!$M$1</definedName>
    <definedName name="FrontPage_DimDistance">'[61]Front Page'!$L$94</definedName>
    <definedName name="FrontPage_DimSpace">'[61]Front Page'!$L$92</definedName>
    <definedName name="FrontPage_EquipWorkHours">'[61]Front Page'!$L$88</definedName>
    <definedName name="FrontPage_ExchangeRate">'[61]Front Page'!$G$64</definedName>
    <definedName name="FrontPage_IndirMarginCalculation">'[61]Front Page'!$G$90</definedName>
    <definedName name="FrontPage_IntegrStartUp">'[61]Front Page'!$G$92</definedName>
    <definedName name="FrontPage_Interest_Outst_Pay">'[61]Front Page'!$L$80</definedName>
    <definedName name="FrontPage_InterestFA">'[61]Front Page'!$L$74</definedName>
    <definedName name="FrontPage_InterestWC">'[61]Front Page'!$L$76</definedName>
    <definedName name="FrontPage_Location">'[61]Front Page'!$E$22</definedName>
    <definedName name="FrontPage_MainProcess01">'[61]Front Page'!$C$47</definedName>
    <definedName name="FrontPage_MainProcess02">'[61]Front Page'!$C$48</definedName>
    <definedName name="FrontPage_MainProcess03">'[61]Front Page'!$C$49</definedName>
    <definedName name="FrontPage_MainProcess04">'[61]Front Page'!$C$50</definedName>
    <definedName name="FrontPage_MainProcess05">'[61]Front Page'!$C$51</definedName>
    <definedName name="FrontPage_MainProcess06">'[61]Front Page'!$C$52</definedName>
    <definedName name="FrontPage_MainProcess07">'[61]Front Page'!$C$53</definedName>
    <definedName name="FrontPage_MainProcess08">'[61]Front Page'!$C$54</definedName>
    <definedName name="FrontPage_MainProcess09">'[61]Front Page'!$C$55</definedName>
    <definedName name="FrontPage_MainProcess10">'[61]Front Page'!$C$56</definedName>
    <definedName name="FrontPage_Margin">'[61]Front Page'!$G$78</definedName>
    <definedName name="FrontPage_Overhead">'[61]Front Page'!$G$74</definedName>
    <definedName name="FrontPage_OverheadBO">'[61]Front Page'!$G$70</definedName>
    <definedName name="FrontPage_OverheadOther">'[61]Front Page'!$G$72</definedName>
    <definedName name="FrontPage_PaymentTime">'[61]Front Page'!$L$78</definedName>
    <definedName name="FrontPage_ProcessTimeType">'[61]Front Page'!$G$88</definedName>
    <definedName name="FrontPage_Ready">'[61]Front Page'!$M$99</definedName>
    <definedName name="FrontPage_RecalcOverheadPL">#REF!</definedName>
    <definedName name="FrontPage_Unforeseen">'[61]Front Page'!$L$70</definedName>
    <definedName name="FrontPage_UserData">'[61]Front Page'!$A$96</definedName>
    <definedName name="FrontPage_UtilisationMheProcess">'[60]Front Page'!$G$80</definedName>
    <definedName name="frontst">#REF!</definedName>
    <definedName name="fsa" localSheetId="6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sa" localSheetId="9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sa" localSheetId="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sa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spsubscribersperE1">[13]Assmpns!#REF!</definedName>
    <definedName name="FULLCOMPANY">#REF!</definedName>
    <definedName name="fund">#REF!</definedName>
    <definedName name="furn">#REF!</definedName>
    <definedName name="FURNITURE">#REF!</definedName>
    <definedName name="g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g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g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g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gate">#REF!</definedName>
    <definedName name="gbdsg" localSheetId="6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gbdsg" localSheetId="9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gbdsg" localSheetId="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gbdsg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GDTubecost">'[39]Capex-fixed'!#REF!</definedName>
    <definedName name="ge">#N/A</definedName>
    <definedName name="genandadmin">#REF!</definedName>
    <definedName name="General">#REF!</definedName>
    <definedName name="Generalsteel">#REF!</definedName>
    <definedName name="geraete_other">#REF!</definedName>
    <definedName name="Geräte">#REF!</definedName>
    <definedName name="gesamtfläche6">#REF!</definedName>
    <definedName name="gfff">'[74]Factors-overall'!#REF!</definedName>
    <definedName name="gfjh">'[39]Capex-fixed'!#REF!</definedName>
    <definedName name="gg" localSheetId="6" hidden="1">{#N/A,#N/A,FALSE,"COVER1.XLS ";#N/A,#N/A,FALSE,"RACT1.XLS";#N/A,#N/A,FALSE,"RACT2.XLS";#N/A,#N/A,FALSE,"ECCMP";#N/A,#N/A,FALSE,"WELDER.XLS"}</definedName>
    <definedName name="gg" localSheetId="9" hidden="1">{#N/A,#N/A,FALSE,"COVER1.XLS ";#N/A,#N/A,FALSE,"RACT1.XLS";#N/A,#N/A,FALSE,"RACT2.XLS";#N/A,#N/A,FALSE,"ECCMP";#N/A,#N/A,FALSE,"WELDER.XLS"}</definedName>
    <definedName name="gg" localSheetId="2" hidden="1">{#N/A,#N/A,FALSE,"COVER1.XLS ";#N/A,#N/A,FALSE,"RACT1.XLS";#N/A,#N/A,FALSE,"RACT2.XLS";#N/A,#N/A,FALSE,"ECCMP";#N/A,#N/A,FALSE,"WELDER.XLS"}</definedName>
    <definedName name="gg" hidden="1">{#N/A,#N/A,FALSE,"COVER1.XLS ";#N/A,#N/A,FALSE,"RACT1.XLS";#N/A,#N/A,FALSE,"RACT2.XLS";#N/A,#N/A,FALSE,"ECCMP";#N/A,#N/A,FALSE,"WELDER.XLS"}</definedName>
    <definedName name="ggfcgf">'[39]Capex-fixed'!#REF!</definedName>
    <definedName name="GGG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GGG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GGG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GGG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gggggg">#REF!</definedName>
    <definedName name="ghghgh">'[39]Capex-fixed'!#REF!</definedName>
    <definedName name="ghj">#REF!</definedName>
    <definedName name="ghjjkh">'[39]Capex-fixed'!#REF!</definedName>
    <definedName name="GIpipecost">'[39]Capex-fixed'!#REF!</definedName>
    <definedName name="GIpipelength">'[39]Capex-fixed'!#REF!</definedName>
    <definedName name="gopi" localSheetId="6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gopi" localSheetId="9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gopi" localSheetId="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gopi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gr" localSheetId="6" hidden="1">{#N/A,#N/A,FALSE,"COVER.XLS";#N/A,#N/A,FALSE,"RACT1.XLS";#N/A,#N/A,FALSE,"RACT2.XLS";#N/A,#N/A,FALSE,"ECCMP";#N/A,#N/A,FALSE,"WELDER.XLS"}</definedName>
    <definedName name="gr" localSheetId="9" hidden="1">{#N/A,#N/A,FALSE,"COVER.XLS";#N/A,#N/A,FALSE,"RACT1.XLS";#N/A,#N/A,FALSE,"RACT2.XLS";#N/A,#N/A,FALSE,"ECCMP";#N/A,#N/A,FALSE,"WELDER.XLS"}</definedName>
    <definedName name="gr" localSheetId="2" hidden="1">{#N/A,#N/A,FALSE,"COVER.XLS";#N/A,#N/A,FALSE,"RACT1.XLS";#N/A,#N/A,FALSE,"RACT2.XLS";#N/A,#N/A,FALSE,"ECCMP";#N/A,#N/A,FALSE,"WELDER.XLS"}</definedName>
    <definedName name="gr" hidden="1">{#N/A,#N/A,FALSE,"COVER.XLS";#N/A,#N/A,FALSE,"RACT1.XLS";#N/A,#N/A,FALSE,"RACT2.XLS";#N/A,#N/A,FALSE,"ECCMP";#N/A,#N/A,FALSE,"WELDER.XLS"}</definedName>
    <definedName name="GRANADA">#REF!</definedName>
    <definedName name="groupings">#REF!</definedName>
    <definedName name="grp_WalkMeArrows">"shp_ArrowCurved,txt_WalkMeArrows,shp_ArrowStraight"</definedName>
    <definedName name="grp_WalkMeBrace">"shp_BraceBottom,txt_WalkMeBrace,shp_BraceLeft"</definedName>
    <definedName name="gs">#REF!</definedName>
    <definedName name="gsgs" localSheetId="6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gsgs" localSheetId="9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gsgs" localSheetId="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gsgs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gt" localSheetId="6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gt" localSheetId="9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gt" localSheetId="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gt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GWTable">'[42]GW-Bud'!$A$11:$Y$133</definedName>
    <definedName name="H">'[75]Op-Smt'!$A$1:$L$88</definedName>
    <definedName name="hallo" localSheetId="6" hidden="1">{"fixkosten",#N/A,FALSE,"Gesamt"}</definedName>
    <definedName name="hallo" localSheetId="9" hidden="1">{"fixkosten",#N/A,FALSE,"Gesamt"}</definedName>
    <definedName name="hallo" localSheetId="2" hidden="1">{"fixkosten",#N/A,FALSE,"Gesamt"}</definedName>
    <definedName name="hallo" hidden="1">{"fixkosten",#N/A,FALSE,"Gesamt"}</definedName>
    <definedName name="Handling_DimDistance">#REF!</definedName>
    <definedName name="Handling_DimSpace">#REF!</definedName>
    <definedName name="Handling_WorkDays">#REF!</definedName>
    <definedName name="hap" localSheetId="6" hidden="1">{#N/A,#N/A,FALSE,"COVER1.XLS ";#N/A,#N/A,FALSE,"RACT1.XLS";#N/A,#N/A,FALSE,"RACT2.XLS";#N/A,#N/A,FALSE,"ECCMP";#N/A,#N/A,FALSE,"WELDER.XLS"}</definedName>
    <definedName name="hap" localSheetId="9" hidden="1">{#N/A,#N/A,FALSE,"COVER1.XLS ";#N/A,#N/A,FALSE,"RACT1.XLS";#N/A,#N/A,FALSE,"RACT2.XLS";#N/A,#N/A,FALSE,"ECCMP";#N/A,#N/A,FALSE,"WELDER.XLS"}</definedName>
    <definedName name="hap" localSheetId="2" hidden="1">{#N/A,#N/A,FALSE,"COVER1.XLS ";#N/A,#N/A,FALSE,"RACT1.XLS";#N/A,#N/A,FALSE,"RACT2.XLS";#N/A,#N/A,FALSE,"ECCMP";#N/A,#N/A,FALSE,"WELDER.XLS"}</definedName>
    <definedName name="hap" hidden="1">{#N/A,#N/A,FALSE,"COVER1.XLS ";#N/A,#N/A,FALSE,"RACT1.XLS";#N/A,#N/A,FALSE,"RACT2.XLS";#N/A,#N/A,FALSE,"ECCMP";#N/A,#N/A,FALSE,"WELDER.XLS"}</definedName>
    <definedName name="happy" hidden="1">[76]DOH!#REF!</definedName>
    <definedName name="happy1" hidden="1">#REF!</definedName>
    <definedName name="hardsurfacecutcost">'[39]Capex-fixed'!#REF!</definedName>
    <definedName name="Hardware">#REF!</definedName>
    <definedName name="HDPE40mmcost">'[39]Capex-fixed'!#REF!</definedName>
    <definedName name="HEAD_MISDET">#REF!</definedName>
    <definedName name="HeadersList">'[77]Product wts calc'!$G$3:$G$9</definedName>
    <definedName name="heading">[23]INFO!$B$2</definedName>
    <definedName name="HeadOfficeTable">'[42]Head Office-Bud'!$A$11:$Y$133</definedName>
    <definedName name="hello" localSheetId="6" hidden="1">{"fixkosten",#N/A,FALSE,"Gesamt"}</definedName>
    <definedName name="hello" localSheetId="9" hidden="1">{"fixkosten",#N/A,FALSE,"Gesamt"}</definedName>
    <definedName name="hello" localSheetId="2" hidden="1">{"fixkosten",#N/A,FALSE,"Gesamt"}</definedName>
    <definedName name="hello" hidden="1">{"fixkosten",#N/A,FALSE,"Gesamt"}</definedName>
    <definedName name="hf">#REF!</definedName>
    <definedName name="hgbh" localSheetId="6" hidden="1">{#N/A,#N/A,FALSE,"COVER1.XLS ";#N/A,#N/A,FALSE,"RACT1.XLS";#N/A,#N/A,FALSE,"RACT2.XLS";#N/A,#N/A,FALSE,"ECCMP";#N/A,#N/A,FALSE,"WELDER.XLS"}</definedName>
    <definedName name="hgbh" localSheetId="9" hidden="1">{#N/A,#N/A,FALSE,"COVER1.XLS ";#N/A,#N/A,FALSE,"RACT1.XLS";#N/A,#N/A,FALSE,"RACT2.XLS";#N/A,#N/A,FALSE,"ECCMP";#N/A,#N/A,FALSE,"WELDER.XLS"}</definedName>
    <definedName name="hgbh" localSheetId="2" hidden="1">{#N/A,#N/A,FALSE,"COVER1.XLS ";#N/A,#N/A,FALSE,"RACT1.XLS";#N/A,#N/A,FALSE,"RACT2.XLS";#N/A,#N/A,FALSE,"ECCMP";#N/A,#N/A,FALSE,"WELDER.XLS"}</definedName>
    <definedName name="hgbh" hidden="1">{#N/A,#N/A,FALSE,"COVER1.XLS ";#N/A,#N/A,FALSE,"RACT1.XLS";#N/A,#N/A,FALSE,"RACT2.XLS";#N/A,#N/A,FALSE,"ECCMP";#N/A,#N/A,FALSE,"WELDER.XLS"}</definedName>
    <definedName name="HHTS">#REF!</definedName>
    <definedName name="hifac">'[68]Factor- cables'!$B$29</definedName>
    <definedName name="History1_Look" hidden="1">[20]HistoryAdj!$C$83:$FN$147</definedName>
    <definedName name="History2_Look" hidden="1">[20]HistoryAdj!$C$153:$FN$206</definedName>
    <definedName name="History3_Look" hidden="1">[20]HistoryAdj!$C$212:$FN$265</definedName>
    <definedName name="History4_Look" hidden="1">[20]HistoryAdj!$C$271:$FN$324</definedName>
    <definedName name="History5_Look" hidden="1">[20]HistoryAdj!$C$330:$FN$383</definedName>
    <definedName name="History6_Look" hidden="1">[20]HistoryAdj!$C$7:$FN$25</definedName>
    <definedName name="History7_Look" hidden="1">[20]HistoryAdj!$C$31:$FN$51</definedName>
    <definedName name="History8_Look" hidden="1">[20]HistoryAdj!$C$57:$FN$77</definedName>
    <definedName name="HistoryIDs" hidden="1">[20]SetupFcst!$B$152:$B$172</definedName>
    <definedName name="HistoryMonth_Look" hidden="1">OFFSET([20]dAssumption!$AH$12,0,0,[20]dAssumption!$AJ$5,1)</definedName>
    <definedName name="hjkbu">'[39]Capex-fixed'!#REF!</definedName>
    <definedName name="hkbhi">'[39]Capex-fixed'!#REF!</definedName>
    <definedName name="HLBQParms_EDISourceSystem">[78]HLBQParms!$D$18:$D$29</definedName>
    <definedName name="HLBQParms_EDITrans">[78]HLBQParms!$B$18:$B$47</definedName>
    <definedName name="HLBQParms_TMS">[78]HLBQParms!$D$3:$D$10</definedName>
    <definedName name="HLBQParms_WMS">[79]HLBQParms!$B$3:$B$15</definedName>
    <definedName name="Hospitals">#REF!</definedName>
    <definedName name="hostel">#REF!</definedName>
    <definedName name="HPD">#REF!</definedName>
    <definedName name="HTML_CodePage" hidden="1">1252</definedName>
    <definedName name="HTML_Control" localSheetId="6" hidden="1">{"'rcpl ref.no.'!$A$1:$D$10","'rcpl ref.no.'!$A$1:$D$10"}</definedName>
    <definedName name="HTML_Control" localSheetId="9" hidden="1">{"'rcpl ref.no.'!$A$1:$D$10","'rcpl ref.no.'!$A$1:$D$10"}</definedName>
    <definedName name="HTML_Control" localSheetId="2" hidden="1">{"'rcpl ref.no.'!$A$1:$D$10","'rcpl ref.no.'!$A$1:$D$10"}</definedName>
    <definedName name="HTML_Control" hidden="1">{"'rcpl ref.no.'!$A$1:$D$10","'rcpl ref.no.'!$A$1:$D$10"}</definedName>
    <definedName name="HTML_Description" hidden="1">""</definedName>
    <definedName name="HTML_Email" hidden="1">""</definedName>
    <definedName name="HTML_Header" hidden="1">"rcpl ref.no."</definedName>
    <definedName name="HTML_LastUpdate" hidden="1">"12/6/2001"</definedName>
    <definedName name="HTML_LineAfter" hidden="1">FALSE</definedName>
    <definedName name="HTML_LineBefore" hidden="1">FALSE</definedName>
    <definedName name="HTML_Name" hidden="1">"RIL"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"REF NO"</definedName>
    <definedName name="HUIT">#N/A</definedName>
    <definedName name="HUIT8">#N/A</definedName>
    <definedName name="HV">#REF!</definedName>
    <definedName name="hw_sh">[59]factors!$C$3</definedName>
    <definedName name="hwfac">[80]FACTORS!$B$5</definedName>
    <definedName name="I">#REF!</definedName>
    <definedName name="IAfixed">'[39]Capex-fixed'!#REF!</definedName>
    <definedName name="IBM">[81]GSMA_Rules!#REF!</definedName>
    <definedName name="ID_3">[82]estimate!#REF!</definedName>
    <definedName name="ID_4">[82]estimate!#REF!</definedName>
    <definedName name="IDC_Cost_Summary">#REF!</definedName>
    <definedName name="idu_bs">'[74]Factors-overall'!$B$23</definedName>
    <definedName name="idu_ts">'[74]Factors-overall'!$B$24</definedName>
    <definedName name="ImportMonth_Look" hidden="1">OFFSET([20]dAssumption!$AH$12,0,0,[20]dAssumption!$AJ$6,1)</definedName>
    <definedName name="ImprimeSynth">#N/A</definedName>
    <definedName name="IN">#REF!</definedName>
    <definedName name="increase_in_ospmaintenance">[34]Assmpns!#REF!</definedName>
    <definedName name="increaseinhousesalary">#REF!</definedName>
    <definedName name="increaseoutsourcedsalary">#REF!</definedName>
    <definedName name="IND">#REF!</definedName>
    <definedName name="INDEX">#N/A</definedName>
    <definedName name="inflind">[34]Assmpns!#REF!</definedName>
    <definedName name="inflUS">[34]Assmpns!#REF!</definedName>
    <definedName name="inhousemanpowerph1a">[34]Assmpns!#REF!</definedName>
    <definedName name="inhousemanpowerph1b">[34]Assmpns!#REF!</definedName>
    <definedName name="inhousemanpowerph2">[34]Assmpns!#REF!</definedName>
    <definedName name="InputPO">#REF!</definedName>
    <definedName name="INR">#REF!</definedName>
    <definedName name="installationcost">'[39]Capex-fixed'!#REF!</definedName>
    <definedName name="INSTI">[83]Jun07!#REF!</definedName>
    <definedName name="Int">#REF!</definedName>
    <definedName name="integrated_cluste__link_MCN">#REF!</definedName>
    <definedName name="Integration_ModLevels">#REF!</definedName>
    <definedName name="Integration_Standards">#REF!</definedName>
    <definedName name="Integration_Systems">#REF!</definedName>
    <definedName name="Integration_TestingTeam">#REF!</definedName>
    <definedName name="Integration_TransactionTypes">#REF!</definedName>
    <definedName name="Integration_TransactionTypes2">#REF!</definedName>
    <definedName name="inter_bldng">#REF!</definedName>
    <definedName name="Interest">#REF!</definedName>
    <definedName name="Interest_Rate">#REF!</definedName>
    <definedName name="internalplus">'[84]Input Data'!$D$16</definedName>
    <definedName name="internalviewer">'[85]Input Data'!$D$15</definedName>
    <definedName name="intracirclegrowth">[13]Assmpns!#REF!</definedName>
    <definedName name="intratetl">#REF!</definedName>
    <definedName name="intratewc">#REF!</definedName>
    <definedName name="intsch">#REF!</definedName>
    <definedName name="INVERS">#N/A</definedName>
    <definedName name="INVEST">#REF!,#REF!,#REF!,#REF!,#REF!,#REF!,#REF!,#REF!</definedName>
    <definedName name="investmentsc">'[23]NOTES '!$F$45</definedName>
    <definedName name="investmentsp">'[23]NOTES '!$H$45</definedName>
    <definedName name="iop">'[39]Capex-fixed'!#REF!</definedName>
    <definedName name="IRR">#REF!</definedName>
    <definedName name="ISP_Maintenance">[38]assumptions!$D$37</definedName>
    <definedName name="item">'[86]Bolt with EAU'!$A$1:$C$154</definedName>
    <definedName name="J">#N/A</definedName>
    <definedName name="jgjgj" localSheetId="6" hidden="1">{#N/A,#N/A,FALSE,"COVER.XLS";#N/A,#N/A,FALSE,"RACT1.XLS";#N/A,#N/A,FALSE,"RACT2.XLS";#N/A,#N/A,FALSE,"ECCMP";#N/A,#N/A,FALSE,"WELDER.XLS"}</definedName>
    <definedName name="jgjgj" localSheetId="9" hidden="1">{#N/A,#N/A,FALSE,"COVER.XLS";#N/A,#N/A,FALSE,"RACT1.XLS";#N/A,#N/A,FALSE,"RACT2.XLS";#N/A,#N/A,FALSE,"ECCMP";#N/A,#N/A,FALSE,"WELDER.XLS"}</definedName>
    <definedName name="jgjgj" localSheetId="2" hidden="1">{#N/A,#N/A,FALSE,"COVER.XLS";#N/A,#N/A,FALSE,"RACT1.XLS";#N/A,#N/A,FALSE,"RACT2.XLS";#N/A,#N/A,FALSE,"ECCMP";#N/A,#N/A,FALSE,"WELDER.XLS"}</definedName>
    <definedName name="jgjgj" hidden="1">{#N/A,#N/A,FALSE,"COVER.XLS";#N/A,#N/A,FALSE,"RACT1.XLS";#N/A,#N/A,FALSE,"RACT2.XLS";#N/A,#N/A,FALSE,"ECCMP";#N/A,#N/A,FALSE,"WELDER.XLS"}</definedName>
    <definedName name="jh">'[39]Capex-fixed'!#REF!</definedName>
    <definedName name="jjkh">'[39]Capex-fixed'!#REF!</definedName>
    <definedName name="jkbk">'[39]Capex-fixed'!#REF!</definedName>
    <definedName name="jkbkhb">'[39]Capex-fixed'!#REF!</definedName>
    <definedName name="jkjkjkj">#REF!</definedName>
    <definedName name="jkkb">'[39]Capex-fixed'!#REF!</definedName>
    <definedName name="JobID">#REF!</definedName>
    <definedName name="july" hidden="1">'[8]1999-00'!#REF!</definedName>
    <definedName name="junctionboxcost">'[39]Capex-fixed'!#REF!</definedName>
    <definedName name="jvbjgv">'[39]Capex-fixed'!#REF!</definedName>
    <definedName name="jvjvg">'[39]Capex-fixed'!#REF!</definedName>
    <definedName name="k1_table">#REF!</definedName>
    <definedName name="k1x">[30]Design!#REF!</definedName>
    <definedName name="k1y">[30]Design!#REF!</definedName>
    <definedName name="k2x">[30]Design!#REF!</definedName>
    <definedName name="k2y">[30]Design!#REF!</definedName>
    <definedName name="Kabelbaum">#REF!</definedName>
    <definedName name="Kabelbaum_fd">#REF!</definedName>
    <definedName name="Kabelbaum_man.">#REF!</definedName>
    <definedName name="khhj">'[39]Capex-fixed'!#REF!</definedName>
    <definedName name="Kilos">#REF!</definedName>
    <definedName name="kitchendining">#REF!</definedName>
    <definedName name="kjvjg">'[39]Capex-fixed'!#REF!</definedName>
    <definedName name="KK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KK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KK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KK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kommi">#REF!</definedName>
    <definedName name="ks" localSheetId="6" hidden="1">{#N/A,#N/A,FALSE,"COVER.XLS";#N/A,#N/A,FALSE,"RACT1.XLS";#N/A,#N/A,FALSE,"RACT2.XLS";#N/A,#N/A,FALSE,"ECCMP";#N/A,#N/A,FALSE,"WELDER.XLS"}</definedName>
    <definedName name="ks" localSheetId="9" hidden="1">{#N/A,#N/A,FALSE,"COVER.XLS";#N/A,#N/A,FALSE,"RACT1.XLS";#N/A,#N/A,FALSE,"RACT2.XLS";#N/A,#N/A,FALSE,"ECCMP";#N/A,#N/A,FALSE,"WELDER.XLS"}</definedName>
    <definedName name="ks" localSheetId="2" hidden="1">{#N/A,#N/A,FALSE,"COVER.XLS";#N/A,#N/A,FALSE,"RACT1.XLS";#N/A,#N/A,FALSE,"RACT2.XLS";#N/A,#N/A,FALSE,"ECCMP";#N/A,#N/A,FALSE,"WELDER.XLS"}</definedName>
    <definedName name="ks" hidden="1">{#N/A,#N/A,FALSE,"COVER.XLS";#N/A,#N/A,FALSE,"RACT1.XLS";#N/A,#N/A,FALSE,"RACT2.XLS";#N/A,#N/A,FALSE,"ECCMP";#N/A,#N/A,FALSE,"WELDER.XLS"}</definedName>
    <definedName name="kskk" localSheetId="6" hidden="1">{#N/A,#N/A,FALSE,"COVER.XLS";#N/A,#N/A,FALSE,"RACT1.XLS";#N/A,#N/A,FALSE,"RACT2.XLS";#N/A,#N/A,FALSE,"ECCMP";#N/A,#N/A,FALSE,"WELDER.XLS"}</definedName>
    <definedName name="kskk" localSheetId="9" hidden="1">{#N/A,#N/A,FALSE,"COVER.XLS";#N/A,#N/A,FALSE,"RACT1.XLS";#N/A,#N/A,FALSE,"RACT2.XLS";#N/A,#N/A,FALSE,"ECCMP";#N/A,#N/A,FALSE,"WELDER.XLS"}</definedName>
    <definedName name="kskk" localSheetId="2" hidden="1">{#N/A,#N/A,FALSE,"COVER.XLS";#N/A,#N/A,FALSE,"RACT1.XLS";#N/A,#N/A,FALSE,"RACT2.XLS";#N/A,#N/A,FALSE,"ECCMP";#N/A,#N/A,FALSE,"WELDER.XLS"}</definedName>
    <definedName name="kskk" hidden="1">{#N/A,#N/A,FALSE,"COVER.XLS";#N/A,#N/A,FALSE,"RACT1.XLS";#N/A,#N/A,FALSE,"RACT2.XLS";#N/A,#N/A,FALSE,"ECCMP";#N/A,#N/A,FALSE,"WELDER.XLS"}</definedName>
    <definedName name="kv" localSheetId="6" hidden="1">{#N/A,#N/A,FALSE,"COVER1.XLS ";#N/A,#N/A,FALSE,"RACT1.XLS";#N/A,#N/A,FALSE,"RACT2.XLS";#N/A,#N/A,FALSE,"ECCMP";#N/A,#N/A,FALSE,"WELDER.XLS"}</definedName>
    <definedName name="kv" localSheetId="9" hidden="1">{#N/A,#N/A,FALSE,"COVER1.XLS ";#N/A,#N/A,FALSE,"RACT1.XLS";#N/A,#N/A,FALSE,"RACT2.XLS";#N/A,#N/A,FALSE,"ECCMP";#N/A,#N/A,FALSE,"WELDER.XLS"}</definedName>
    <definedName name="kv" localSheetId="2" hidden="1">{#N/A,#N/A,FALSE,"COVER1.XLS ";#N/A,#N/A,FALSE,"RACT1.XLS";#N/A,#N/A,FALSE,"RACT2.XLS";#N/A,#N/A,FALSE,"ECCMP";#N/A,#N/A,FALSE,"WELDER.XLS"}</definedName>
    <definedName name="kv" hidden="1">{#N/A,#N/A,FALSE,"COVER1.XLS ";#N/A,#N/A,FALSE,"RACT1.XLS";#N/A,#N/A,FALSE,"RACT2.XLS";#N/A,#N/A,FALSE,"ECCMP";#N/A,#N/A,FALSE,"WELDER.XLS"}</definedName>
    <definedName name="kvs" localSheetId="6" hidden="1">{#N/A,#N/A,FALSE,"COVER1.XLS ";#N/A,#N/A,FALSE,"RACT1.XLS";#N/A,#N/A,FALSE,"RACT2.XLS";#N/A,#N/A,FALSE,"ECCMP";#N/A,#N/A,FALSE,"WELDER.XLS"}</definedName>
    <definedName name="kvs" localSheetId="9" hidden="1">{#N/A,#N/A,FALSE,"COVER1.XLS ";#N/A,#N/A,FALSE,"RACT1.XLS";#N/A,#N/A,FALSE,"RACT2.XLS";#N/A,#N/A,FALSE,"ECCMP";#N/A,#N/A,FALSE,"WELDER.XLS"}</definedName>
    <definedName name="kvs" localSheetId="2" hidden="1">{#N/A,#N/A,FALSE,"COVER1.XLS ";#N/A,#N/A,FALSE,"RACT1.XLS";#N/A,#N/A,FALSE,"RACT2.XLS";#N/A,#N/A,FALSE,"ECCMP";#N/A,#N/A,FALSE,"WELDER.XLS"}</definedName>
    <definedName name="kvs" hidden="1">{#N/A,#N/A,FALSE,"COVER1.XLS ";#N/A,#N/A,FALSE,"RACT1.XLS";#N/A,#N/A,FALSE,"RACT2.XLS";#N/A,#N/A,FALSE,"ECCMP";#N/A,#N/A,FALSE,"WELDER.XLS"}</definedName>
    <definedName name="kvv" localSheetId="6" hidden="1">{#N/A,#N/A,FALSE,"COVER.XLS";#N/A,#N/A,FALSE,"RACT1.XLS";#N/A,#N/A,FALSE,"RACT2.XLS";#N/A,#N/A,FALSE,"ECCMP";#N/A,#N/A,FALSE,"WELDER.XLS"}</definedName>
    <definedName name="kvv" localSheetId="9" hidden="1">{#N/A,#N/A,FALSE,"COVER.XLS";#N/A,#N/A,FALSE,"RACT1.XLS";#N/A,#N/A,FALSE,"RACT2.XLS";#N/A,#N/A,FALSE,"ECCMP";#N/A,#N/A,FALSE,"WELDER.XLS"}</definedName>
    <definedName name="kvv" localSheetId="2" hidden="1">{#N/A,#N/A,FALSE,"COVER.XLS";#N/A,#N/A,FALSE,"RACT1.XLS";#N/A,#N/A,FALSE,"RACT2.XLS";#N/A,#N/A,FALSE,"ECCMP";#N/A,#N/A,FALSE,"WELDER.XLS"}</definedName>
    <definedName name="kvv" hidden="1">{#N/A,#N/A,FALSE,"COVER.XLS";#N/A,#N/A,FALSE,"RACT1.XLS";#N/A,#N/A,FALSE,"RACT2.XLS";#N/A,#N/A,FALSE,"ECCMP";#N/A,#N/A,FALSE,"WELDER.XLS"}</definedName>
    <definedName name="l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l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l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l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LA_CORUÑA">#REF!</definedName>
    <definedName name="LABOR2">[87]WLabor!#REF!</definedName>
    <definedName name="LABOR2AMH">[88]AMHWLabor!#REF!</definedName>
    <definedName name="LABOR2CART">[89]CARTWLabor!#REF!</definedName>
    <definedName name="LABOR2LA">[90]LARDCWLabor!#REF!</definedName>
    <definedName name="LABOR2MEN">[89]MENWLabor!#REF!</definedName>
    <definedName name="LABOR2MW">[90]MWRDCWLabor!#REF!</definedName>
    <definedName name="labor2mwnew">[89]MWRDCWLabor!#REF!</definedName>
    <definedName name="LABOR2NE">[90]NERDCWLabor!#REF!</definedName>
    <definedName name="labor2new">[88]SERDCWLabor!#REF!</definedName>
    <definedName name="LABOR2NW">[91]NWRDCWLabor!#REF!</definedName>
    <definedName name="LABOR2PR15">[88]PR15WLabor!#REF!</definedName>
    <definedName name="LABOR2PR40">[88]PR40WLabor!#REF!</definedName>
    <definedName name="LABOR2ROG">[88]ROGWLabor!#REF!</definedName>
    <definedName name="LABOR2SPR">[88]SPRWLabor!#REF!</definedName>
    <definedName name="LABOR2SW">[91]SWRDCWLabor!#REF!</definedName>
    <definedName name="labor2swnew">[88]SWRDCWLabor!#REF!</definedName>
    <definedName name="LABOR2WHEEL">[88]WHEELWLabor!#REF!</definedName>
    <definedName name="ladies">#REF!</definedName>
    <definedName name="Lagerkosten">#REF!</definedName>
    <definedName name="lakh">#REF!</definedName>
    <definedName name="Lakhs">10^5</definedName>
    <definedName name="Lamba_per_year_Routemiles">#REF!</definedName>
    <definedName name="lambda">#REF!</definedName>
    <definedName name="Last_Year_Bsheet">#REF!</definedName>
    <definedName name="Last_Year_Profit_Loss">#REF!</definedName>
    <definedName name="lathrop">#REF!</definedName>
    <definedName name="launchexpense">[34]Assmpns!#REF!</definedName>
    <definedName name="Lautsprecher">#REF!</definedName>
    <definedName name="LC">#REF!</definedName>
    <definedName name="LDate1" hidden="1">[20]dAssumption!$AD$5</definedName>
    <definedName name="LDate2" hidden="1">[20]dAssumption!$AD$6</definedName>
    <definedName name="lef">#REF!</definedName>
    <definedName name="LEFT">#N/A</definedName>
    <definedName name="lel">#REF!</definedName>
    <definedName name="Lemons" localSheetId="6">#REF!</definedName>
    <definedName name="Lemons" localSheetId="9">#REF!</definedName>
    <definedName name="Lemons">#REF!</definedName>
    <definedName name="lemu6">'[39]Capex-fixed'!#REF!</definedName>
    <definedName name="lesa8">'[39]Capex-fixed'!#REF!</definedName>
    <definedName name="Lexmark">[81]GSMA_Rules!#REF!</definedName>
    <definedName name="License">#REF!</definedName>
    <definedName name="Line">[92]GSMA_Rules!#REF!</definedName>
    <definedName name="linesprovidedperbldg">'[39]Capex-fixed'!#REF!</definedName>
    <definedName name="List_of_Material">#REF!</definedName>
    <definedName name="ListOfSuperCriticalEquipment">#REF!</definedName>
    <definedName name="LISTPROC">#REF!</definedName>
    <definedName name="lk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lk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lk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lk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lll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lll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lll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ll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LM_SCF">#REF!</definedName>
    <definedName name="LM_SSW">#REF!</definedName>
    <definedName name="LM_STT">#REF!</definedName>
    <definedName name="lnjklbk">'[39]Capex-fixed'!#REF!</definedName>
    <definedName name="loanpayc">'[23]NOTES '!#REF!</definedName>
    <definedName name="loanpayp">'[23]NOTES '!#REF!</definedName>
    <definedName name="loanrecc">'[23]NOTES '!#REF!</definedName>
    <definedName name="loanrecp">'[23]NOTES '!#REF!</definedName>
    <definedName name="loc">'[74]Factors-overall'!#REF!</definedName>
    <definedName name="loca">[80]FACTORS!$B$14</definedName>
    <definedName name="local">#REF!</definedName>
    <definedName name="LOCATION">#REF!</definedName>
    <definedName name="LOGROÑO">#REF!</definedName>
    <definedName name="lomif">'[39]Capex-fixed'!#REF!</definedName>
    <definedName name="lomifcable">'[39]Capex-fixed'!#REF!</definedName>
    <definedName name="lomifcard">'[39]Capex-fixed'!#REF!</definedName>
    <definedName name="lomifcble">'[39]Capex-fixed'!#REF!</definedName>
    <definedName name="look">#REF!</definedName>
    <definedName name="loss">[15]BS!#REF!</definedName>
    <definedName name="lsdjlk">[11]BKCSTOCKVAL!#REF!</definedName>
    <definedName name="lst_Active">'[61]Program Support'!$B$241:$B$242</definedName>
    <definedName name="lst_Active_N">'[61]Program Support'!$B$242</definedName>
    <definedName name="lst_Active_Y">'[61]Program Support'!$B$241</definedName>
    <definedName name="lst_AreaType">'[61]Program Support'!$B$136:$B$137</definedName>
    <definedName name="lst_Border">'[61]Program Support'!$B$237:$B$238</definedName>
    <definedName name="lst_Border_L">'[61]Program Support'!$B$237</definedName>
    <definedName name="lst_Border_LValue">'[61]Program Support'!$D$237</definedName>
    <definedName name="lst_Border_R">'[61]Program Support'!$B$238</definedName>
    <definedName name="lst_Border_RValue">'[61]Program Support'!$D$238</definedName>
    <definedName name="lst_Branch">'[61]Program Support'!$B$176:$B$183</definedName>
    <definedName name="lst_CostDecision">'[61]Program Support'!$B$141:$B$142</definedName>
    <definedName name="lst_CostDecision_Buy">'[61]Program Support'!$B$142</definedName>
    <definedName name="lst_CostDecision_LeaseRent">'[61]Program Support'!$B$141</definedName>
    <definedName name="lst_CostType">'[61]Program Support'!$B$232:$B$234</definedName>
    <definedName name="lst_CostType_F">'[61]Program Support'!$B$232</definedName>
    <definedName name="lst_CostType_S">'[61]Program Support'!$B$233</definedName>
    <definedName name="lst_CostType_V">'[61]Program Support'!$B$234</definedName>
    <definedName name="lst_Currency">'[61]Program Support'!$B$245:$B$246</definedName>
    <definedName name="lst_Currency_ExR">'[61]Program Support'!$D$246</definedName>
    <definedName name="lst_Currency_Out">'[61]Program Support'!$D$245</definedName>
    <definedName name="lst_DataSource">'[61]Program Support'!$B$29:$B$31</definedName>
    <definedName name="lst_DataSource_Assump">'[61]Program Support'!$B$29</definedName>
    <definedName name="lst_DataSource_Calc">'[61]Program Support'!$B$30</definedName>
    <definedName name="lst_DataSource_KN">'[61]Program Support'!$B$31</definedName>
    <definedName name="lst_Distance">'[61]Program Support'!$B$20:$B$21</definedName>
    <definedName name="lst_EquipmentType">'[61]Program Support'!$B$190:$B$217</definedName>
    <definedName name="lst_Fruit" localSheetId="6">#REF!</definedName>
    <definedName name="lst_Fruit" localSheetId="9">#REF!</definedName>
    <definedName name="lst_Fruit">#REF!</definedName>
    <definedName name="lst_FruitType" localSheetId="6">#REF!</definedName>
    <definedName name="lst_FruitType" localSheetId="9">#REF!</definedName>
    <definedName name="lst_FruitType">#REF!</definedName>
    <definedName name="lst_FTEType">'[61]Program Support'!$B$57:$B$121</definedName>
    <definedName name="lst_MHEType">'[61]Program Support'!$B$34:$B$54</definedName>
    <definedName name="lst_OverheadMargin">'[61]Program Support'!$B$8:$B$9</definedName>
    <definedName name="lst_OverheadMargin_FP">'[61]Program Support'!$B$8</definedName>
    <definedName name="lst_OverheadMargin_Quot">'[61]Program Support'!$B$9</definedName>
    <definedName name="lst_PeakType">'[61]Program Support'!$B$124:$B$133</definedName>
    <definedName name="lst_PLAccount">'[61]Program Support'!$B$145:$B$173</definedName>
    <definedName name="lst_PLCostType">#REF!</definedName>
    <definedName name="lst_ProcessCalc">'[61]Program Support'!$B$186:$B$187</definedName>
    <definedName name="lst_ProcessCalc_ProcessT">'[61]Program Support'!$B$187</definedName>
    <definedName name="lst_ProcessCalc_Prod">'[61]Program Support'!$B$186</definedName>
    <definedName name="lst_QuantityUnit">'[61]Program Support'!$B$24:$B$26</definedName>
    <definedName name="lst_QuantityUnit_d">'[61]Program Support'!$B$26</definedName>
    <definedName name="lst_QuantityUnit_m">'[61]Program Support'!$B$25</definedName>
    <definedName name="lst_QuantityUnit_y">'[61]Program Support'!$B$24</definedName>
    <definedName name="lst_Scenarios">'[61]Program Support'!$B$220:$B$229</definedName>
    <definedName name="lst_Scenarios_ColumnMatrix">'[61]Program Support'!$B$220:$D$229</definedName>
    <definedName name="lst_Scenarios_ColumnNo">'[61]Program Support'!$E$225</definedName>
    <definedName name="lst_Scenarios_Columns">'[61]Program Support'!$D$220:$D$229</definedName>
    <definedName name="lst_Scenarios_RowsBefore">'[61]Program Support'!$E$222</definedName>
    <definedName name="lst_Space">'[61]Program Support'!$B$16:$B$17</definedName>
    <definedName name="lst_YesNo">'[61]Program Support'!$B$12:$B$13</definedName>
    <definedName name="lst_YesNo_N">'[61]Program Support'!$B$13</definedName>
    <definedName name="lst_YesNo_Y">'[61]Program Support'!$B$12</definedName>
    <definedName name="m">#REF!</definedName>
    <definedName name="M1x">[30]Design!#REF!</definedName>
    <definedName name="M1y">[30]Design!#REF!</definedName>
    <definedName name="M2x">[30]Design!#REF!</definedName>
    <definedName name="M2y">[30]Design!#REF!</definedName>
    <definedName name="MA_BTS_SUMMARY">#REF!</definedName>
    <definedName name="MA_Plng_Resp">#REF!</definedName>
    <definedName name="MADRID">#REF!</definedName>
    <definedName name="mag">#REF!</definedName>
    <definedName name="mahape">[11]MAHSTOCKVAL!#REF!</definedName>
    <definedName name="mainrkcost">'[39]Capex-fixed'!#REF!</definedName>
    <definedName name="MANPOWER">'[61]Personnel Data'!$C$9:$Z$83</definedName>
    <definedName name="MAR">#REF!</definedName>
    <definedName name="Margin">#REF!</definedName>
    <definedName name="Marques">#REF!</definedName>
    <definedName name="MASTER">[93]Maestro!$A$3:$S$1173</definedName>
    <definedName name="MASTERBTS">#REF!</definedName>
    <definedName name="mat">#REF!</definedName>
    <definedName name="MAX">#REF!</definedName>
    <definedName name="MAX_40">[43]Database!$D$27</definedName>
    <definedName name="MAX_60">[43]Database!$D$28</definedName>
    <definedName name="MECHANICAL">#REF!</definedName>
    <definedName name="menge6">#REF!</definedName>
    <definedName name="MENU">#REF!</definedName>
    <definedName name="MENU1">#REF!</definedName>
    <definedName name="MENU2">#REF!</definedName>
    <definedName name="MERIDA">#REF!</definedName>
    <definedName name="meses">#REF!</definedName>
    <definedName name="MGRREM">#REF!</definedName>
    <definedName name="mh">#REF!</definedName>
    <definedName name="MHE_PROCESS">'[61]Cost Data'!$B$80:$AC$190</definedName>
    <definedName name="mile">[94]oresreqsum!#REF!</definedName>
    <definedName name="Million">#REF!</definedName>
    <definedName name="MIN">#REF!</definedName>
    <definedName name="minni">#REF!</definedName>
    <definedName name="minooka">#REF!</definedName>
    <definedName name="misc">#REF!</definedName>
    <definedName name="MISDET">#REF!</definedName>
    <definedName name="MISSUM">#REF!</definedName>
    <definedName name="MK_el_Antr_hi">#REF!</definedName>
    <definedName name="MK_el_Antrieb_BF">#REF!</definedName>
    <definedName name="MK_el_Antrieb_FA">#REF!</definedName>
    <definedName name="MK_el_Kabelb_BF">#REF!</definedName>
    <definedName name="MK_el_Kabelb_FA">#REF!</definedName>
    <definedName name="MK_el_Kabelb_hi">#REF!</definedName>
    <definedName name="MK_el_Schloß_Beifahrer">#REF!</definedName>
    <definedName name="MK_el_Schloß_Fahrer">#REF!</definedName>
    <definedName name="MK_el_Schloß_hi">#REF!</definedName>
    <definedName name="MK_el_Schloß_vo">#REF!</definedName>
    <definedName name="MK_el_sT_hi">#REF!</definedName>
    <definedName name="MK_GPFS_BF2">#REF!</definedName>
    <definedName name="MK_GPFS_BF4">#REF!</definedName>
    <definedName name="MK_GPFS_FA2">#REF!</definedName>
    <definedName name="MK_GPFS_FA4">#REF!</definedName>
    <definedName name="MK_Grundteil">#REF!</definedName>
    <definedName name="MK_Grundteile_hi">#REF!</definedName>
    <definedName name="MK_LAW_2tg">#REF!</definedName>
    <definedName name="MK_LAW_4tg">#REF!</definedName>
    <definedName name="MK_LAW_mit_LS">#REF!</definedName>
    <definedName name="MK_LAW_Sidepad">#REF!</definedName>
    <definedName name="MK_ma_Antr_hi">#REF!</definedName>
    <definedName name="MK_ma_Antrieb_vo">#REF!</definedName>
    <definedName name="MK_ma_basis_Kabelb_BF">#REF!</definedName>
    <definedName name="MK_ma_basis_Kabelb_hi">#REF!</definedName>
    <definedName name="MK_ma_Kabelb_BF">#REF!</definedName>
    <definedName name="MK_ma_Kabelb_Fa">#REF!</definedName>
    <definedName name="MK_ma_Schloß_hi">#REF!</definedName>
    <definedName name="MK_ma_Schloß_vo">#REF!</definedName>
    <definedName name="MK_ma_sT_hi">#REF!</definedName>
    <definedName name="MK_Schalterblock_Beifahrer">#REF!</definedName>
    <definedName name="MK_Schalterblock_Fahrer">#REF!</definedName>
    <definedName name="mkl">'[39]Capex-fixed'!#REF!</definedName>
    <definedName name="mktcoveredph1a">[13]Assmpns!#REF!</definedName>
    <definedName name="mktcoveredph1b">[13]Assmpns!#REF!</definedName>
    <definedName name="mktcoveredph2">[13]Assmpns!#REF!</definedName>
    <definedName name="mmm" localSheetId="6" hidden="1">{#N/A,#N/A,FALSE,"COVER.XLS";#N/A,#N/A,FALSE,"RACT1.XLS";#N/A,#N/A,FALSE,"RACT2.XLS";#N/A,#N/A,FALSE,"ECCMP";#N/A,#N/A,FALSE,"WELDER.XLS"}</definedName>
    <definedName name="mmm" localSheetId="9" hidden="1">{#N/A,#N/A,FALSE,"COVER.XLS";#N/A,#N/A,FALSE,"RACT1.XLS";#N/A,#N/A,FALSE,"RACT2.XLS";#N/A,#N/A,FALSE,"ECCMP";#N/A,#N/A,FALSE,"WELDER.XLS"}</definedName>
    <definedName name="mmm" localSheetId="2" hidden="1">{#N/A,#N/A,FALSE,"COVER.XLS";#N/A,#N/A,FALSE,"RACT1.XLS";#N/A,#N/A,FALSE,"RACT2.XLS";#N/A,#N/A,FALSE,"ECCMP";#N/A,#N/A,FALSE,"WELDER.XLS"}</definedName>
    <definedName name="mmm" hidden="1">{#N/A,#N/A,FALSE,"COVER.XLS";#N/A,#N/A,FALSE,"RACT1.XLS";#N/A,#N/A,FALSE,"RACT2.XLS";#N/A,#N/A,FALSE,"ECCMP";#N/A,#N/A,FALSE,"WELDER.XLS"}</definedName>
    <definedName name="Mn">#REF!</definedName>
    <definedName name="mncrconv">#REF!</definedName>
    <definedName name="Module1.Imprime">#N/A</definedName>
    <definedName name="Module1.RetourMenu">#N/A</definedName>
    <definedName name="Mois">#REF!</definedName>
    <definedName name="Montant_prêt">#REF!</definedName>
    <definedName name="MONTH">'[95]SUMMARY SHEET'!$B$4</definedName>
    <definedName name="Month2Code_Look" hidden="1">[20]dAssumption!$AH$12:$AI$179</definedName>
    <definedName name="MONTHDAY">'[95]SUMMARY SHEET'!$B$3</definedName>
    <definedName name="Monthly">#REF!,#REF!</definedName>
    <definedName name="Monthnum">[96]Input!$D$7</definedName>
    <definedName name="Months">#REF!</definedName>
    <definedName name="MOS_Look" hidden="1">[20]dAssumption!$C$228:$FN$229</definedName>
    <definedName name="mot_fa">#REF!</definedName>
    <definedName name="mot_fd">#REF!</definedName>
    <definedName name="Motoren_pro_Tag">#REF!</definedName>
    <definedName name="mpl">'[97]Master Price List'!$A$8:$M$87</definedName>
    <definedName name="mpwr">#REF!</definedName>
    <definedName name="ms">'[21]#REF'!$A$35:$S$67</definedName>
    <definedName name="MS1exp">[21]Exp.!#REF!</definedName>
    <definedName name="MS2exp">[21]Exp.!#REF!</definedName>
    <definedName name="MSTable">'[42]MS-Bud'!$A$11:$Y$133</definedName>
    <definedName name="msy5onwards">[13]Assmpns!#REF!</definedName>
    <definedName name="mu">#REF!</definedName>
    <definedName name="MURCIA">#REF!</definedName>
    <definedName name="MUSICSYSTEM">[72]Estimation!#REF!</definedName>
    <definedName name="MYFLEET">#REF!</definedName>
    <definedName name="N">#REF!</definedName>
    <definedName name="name3">[82]estimate!#REF!</definedName>
    <definedName name="name4">[82]estimate!#REF!</definedName>
    <definedName name="Nb_de_paiements_par_an">#REF!</definedName>
    <definedName name="Nbe_total_de_paiements">#N/A</definedName>
    <definedName name="Near">[98]ORG!$A$2:$A$82</definedName>
    <definedName name="net_working_hours">#REF!</definedName>
    <definedName name="Network">'[99]Product Info'!$A$24:$A$27</definedName>
    <definedName name="NEUF">#N/A</definedName>
    <definedName name="NEUF9">#N/A</definedName>
    <definedName name="new">[100]Acc_10.5!#REF!</definedName>
    <definedName name="NEXT_20">[43]Database!$C$28</definedName>
    <definedName name="nldvoicegrowthyr1">[13]Assmpns!#REF!</definedName>
    <definedName name="nldvoicegrowthyr2">[13]Assmpns!#REF!</definedName>
    <definedName name="nldvoicegrowthyr3">[13]Assmpns!#REF!</definedName>
    <definedName name="nldvoicegrowthyr4">[13]Assmpns!#REF!</definedName>
    <definedName name="nldvoicegrowthyr5onwards">[13]Assmpns!#REF!</definedName>
    <definedName name="nnn">'[39]Capex-fixed'!#REF!</definedName>
    <definedName name="nnnnm">#REF!</definedName>
    <definedName name="NO_3">[82]estimate!#REF!</definedName>
    <definedName name="NO_4">[82]estimate!#REF!</definedName>
    <definedName name="noj">'[39]Capex-fixed'!#REF!</definedName>
    <definedName name="Noms_Chargeurs">#REF!</definedName>
    <definedName name="Noms_Controleurs">#REF!</definedName>
    <definedName name="Noms_Preparateurs">'[54]Front Page'!#REF!</definedName>
    <definedName name="Noms_Préparateurs">#REF!</definedName>
    <definedName name="Noms_Préparateurs2">#REF!</definedName>
    <definedName name="NonRetail_Look" hidden="1">[20]dAssumption!$C$219:$FN$224</definedName>
    <definedName name="NORM">#REF!</definedName>
    <definedName name="normalcapex">[34]Assmpns!#REF!</definedName>
    <definedName name="Nos">#REF!</definedName>
    <definedName name="NOTES">#REF!</definedName>
    <definedName name="NOTES1">#REF!</definedName>
    <definedName name="NOTES2">#REF!</definedName>
    <definedName name="NPV">#REF!</definedName>
    <definedName name="NPV_Rate">#REF!</definedName>
    <definedName name="Num_premier_paiement">#REF!</definedName>
    <definedName name="o">#REF!</definedName>
    <definedName name="OCOST">#REF!</definedName>
    <definedName name="octroi">#REF!</definedName>
    <definedName name="OFFER">[101]DMS_Configurator!$B$4</definedName>
    <definedName name="OH">#REF!</definedName>
    <definedName name="ok" localSheetId="6" hidden="1">{#N/A,#N/A,FALSE,"COVER1.XLS ";#N/A,#N/A,FALSE,"RACT1.XLS";#N/A,#N/A,FALSE,"RACT2.XLS";#N/A,#N/A,FALSE,"ECCMP";#N/A,#N/A,FALSE,"WELDER.XLS"}</definedName>
    <definedName name="ok" localSheetId="9" hidden="1">{#N/A,#N/A,FALSE,"COVER1.XLS ";#N/A,#N/A,FALSE,"RACT1.XLS";#N/A,#N/A,FALSE,"RACT2.XLS";#N/A,#N/A,FALSE,"ECCMP";#N/A,#N/A,FALSE,"WELDER.XLS"}</definedName>
    <definedName name="ok" localSheetId="2" hidden="1">{#N/A,#N/A,FALSE,"COVER1.XLS ";#N/A,#N/A,FALSE,"RACT1.XLS";#N/A,#N/A,FALSE,"RACT2.XLS";#N/A,#N/A,FALSE,"ECCMP";#N/A,#N/A,FALSE,"WELDER.XLS"}</definedName>
    <definedName name="ok" hidden="1">{#N/A,#N/A,FALSE,"COVER1.XLS ";#N/A,#N/A,FALSE,"RACT1.XLS";#N/A,#N/A,FALSE,"RACT2.XLS";#N/A,#N/A,FALSE,"ECCMP";#N/A,#N/A,FALSE,"WELDER.XLS"}</definedName>
    <definedName name="OneTime">#REF!</definedName>
    <definedName name="oooo" localSheetId="6" hidden="1">Main.SAPF4Help()</definedName>
    <definedName name="oooo" localSheetId="9" hidden="1">Main.SAPF4Help()</definedName>
    <definedName name="oooo" localSheetId="13" hidden="1">Main.SAPF4Help()</definedName>
    <definedName name="oooo" localSheetId="2" hidden="1">Main.SAPF4Help()</definedName>
    <definedName name="oooo" hidden="1">Main.SAPF4Help()</definedName>
    <definedName name="OP_FraisVar">#REF!,#REF!,#REF!</definedName>
    <definedName name="OP_Perso">#N/A</definedName>
    <definedName name="OperationalCosts_Total">'[61]Operational Costs'!$J$661</definedName>
    <definedName name="opérations">#REF!</definedName>
    <definedName name="Option">#REF!</definedName>
    <definedName name="optpatchcord">'[39]Capex-fixed'!#REF!</definedName>
    <definedName name="Oranges" localSheetId="6">#REF!</definedName>
    <definedName name="Oranges" localSheetId="9">#REF!</definedName>
    <definedName name="Oranges">#REF!</definedName>
    <definedName name="OSP_Maintenance">[49]assumptions!#REF!</definedName>
    <definedName name="ospmaintenance">[34]Assmpns!#REF!</definedName>
    <definedName name="OSSbssdis">#REF!</definedName>
    <definedName name="Other_Costs">#REF!</definedName>
    <definedName name="Other_S___M_Costs_on_Revenue">[38]assumptions!$D$43</definedName>
    <definedName name="otherfinancialcharge">'[39]NLD - Assum'!#REF!</definedName>
    <definedName name="otherinterconnectperldca">[34]Assmpns!#REF!</definedName>
    <definedName name="othernwtfcy1">[13]Assmpns!#REF!</definedName>
    <definedName name="othernwtfcy2">[13]Assmpns!#REF!</definedName>
    <definedName name="othernwtfcy3">[13]Assmpns!#REF!</definedName>
    <definedName name="othernwtfcy4">[13]Assmpns!#REF!</definedName>
    <definedName name="othernwtfcy5onwards">[13]Assmpns!#REF!</definedName>
    <definedName name="Others" localSheetId="6" hidden="1">{#N/A,#N/A,FALSE,"COVER1.XLS ";#N/A,#N/A,FALSE,"RACT1.XLS";#N/A,#N/A,FALSE,"RACT2.XLS";#N/A,#N/A,FALSE,"ECCMP";#N/A,#N/A,FALSE,"WELDER.XLS"}</definedName>
    <definedName name="Others" localSheetId="9" hidden="1">{#N/A,#N/A,FALSE,"COVER1.XLS ";#N/A,#N/A,FALSE,"RACT1.XLS";#N/A,#N/A,FALSE,"RACT2.XLS";#N/A,#N/A,FALSE,"ECCMP";#N/A,#N/A,FALSE,"WELDER.XLS"}</definedName>
    <definedName name="Others" localSheetId="2" hidden="1">{#N/A,#N/A,FALSE,"COVER1.XLS ";#N/A,#N/A,FALSE,"RACT1.XLS";#N/A,#N/A,FALSE,"RACT2.XLS";#N/A,#N/A,FALSE,"ECCMP";#N/A,#N/A,FALSE,"WELDER.XLS"}</definedName>
    <definedName name="Others" hidden="1">{#N/A,#N/A,FALSE,"COVER1.XLS ";#N/A,#N/A,FALSE,"RACT1.XLS";#N/A,#N/A,FALSE,"RACT2.XLS";#N/A,#N/A,FALSE,"ECCMP";#N/A,#N/A,FALSE,"WELDER.XLS"}</definedName>
    <definedName name="othpay">[50]tb!$G$804:$O$926</definedName>
    <definedName name="otradat3">#REF!</definedName>
    <definedName name="otrodat">#REF!</definedName>
    <definedName name="otrodat2">#REF!</definedName>
    <definedName name="otrodat4">#REF!</definedName>
    <definedName name="otrodat5">#REF!</definedName>
    <definedName name="OUT">#REF!</definedName>
    <definedName name="outsourcedmanpowerph1a">[34]Assmpns!#REF!</definedName>
    <definedName name="outsourcedmanpowerph1b">[34]Assmpns!#REF!</definedName>
    <definedName name="outsourcedmanpowerph2">[34]Assmpns!#REF!</definedName>
    <definedName name="overheads">#N/A</definedName>
    <definedName name="P">#N/A</definedName>
    <definedName name="P_1">#REF!</definedName>
    <definedName name="P_2">#REF!</definedName>
    <definedName name="P_3">#REF!</definedName>
    <definedName name="P0">#REF!</definedName>
    <definedName name="Page" localSheetId="6" hidden="1">{#N/A,#N/A,FALSE,"COVER.XLS";#N/A,#N/A,FALSE,"RACT1.XLS";#N/A,#N/A,FALSE,"RACT2.XLS";#N/A,#N/A,FALSE,"ECCMP";#N/A,#N/A,FALSE,"WELDER.XLS"}</definedName>
    <definedName name="Page" localSheetId="9" hidden="1">{#N/A,#N/A,FALSE,"COVER.XLS";#N/A,#N/A,FALSE,"RACT1.XLS";#N/A,#N/A,FALSE,"RACT2.XLS";#N/A,#N/A,FALSE,"ECCMP";#N/A,#N/A,FALSE,"WELDER.XLS"}</definedName>
    <definedName name="Page" localSheetId="2" hidden="1">{#N/A,#N/A,FALSE,"COVER.XLS";#N/A,#N/A,FALSE,"RACT1.XLS";#N/A,#N/A,FALSE,"RACT2.XLS";#N/A,#N/A,FALSE,"ECCMP";#N/A,#N/A,FALSE,"WELDER.XLS"}</definedName>
    <definedName name="Page" hidden="1">{#N/A,#N/A,FALSE,"COVER.XLS";#N/A,#N/A,FALSE,"RACT1.XLS";#N/A,#N/A,FALSE,"RACT2.XLS";#N/A,#N/A,FALSE,"ECCMP";#N/A,#N/A,FALSE,"WELDER.XLS"}</definedName>
    <definedName name="PAGE1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iement_calculé">#REF!</definedName>
    <definedName name="painting">#REF!</definedName>
    <definedName name="Pallets">#REF!</definedName>
    <definedName name="PAMPLONA">#REF!</definedName>
    <definedName name="Param_Allocation">#REF!</definedName>
    <definedName name="Param_BSATeam">#REF!</definedName>
    <definedName name="Param_DevelopmentTeam">#REF!</definedName>
    <definedName name="Param_FundingTypes">#REF!</definedName>
    <definedName name="Param_HourPrecision">#REF!</definedName>
    <definedName name="Param_IntegrationTeam">#REF!</definedName>
    <definedName name="Param_Irista_S_U">#REF!</definedName>
    <definedName name="Param_ProjectManagers">#REF!</definedName>
    <definedName name="Param_QATeam">#REF!</definedName>
    <definedName name="Param_ResourceRates">#REF!</definedName>
    <definedName name="Param_Resources">#REF!</definedName>
    <definedName name="Param_TMSTeam">#REF!</definedName>
    <definedName name="Param_WMSAllocations">#REF!</definedName>
    <definedName name="Param_WmsEDIStandard">#REF!</definedName>
    <definedName name="Param_YN">#REF!</definedName>
    <definedName name="PARAMS">#REF!</definedName>
    <definedName name="partn">#REF!</definedName>
    <definedName name="PATHNAME">[23]INFO!#REF!</definedName>
    <definedName name="Pays">#REF!</definedName>
    <definedName name="PBinstalcost">'[39]Capex-fixed'!#REF!</definedName>
    <definedName name="PBT_PAT">[102]Summary!#REF!</definedName>
    <definedName name="Pbx">[30]Design!#REF!</definedName>
    <definedName name="Pby">[30]Design!#REF!</definedName>
    <definedName name="pconv">'[39]Capex-fixed'!#REF!</definedName>
    <definedName name="pconvcable">'[39]Capex-fixed'!#REF!</definedName>
    <definedName name="pe">#REF!</definedName>
    <definedName name="percentagemarketcoveredph2">[13]Assmpns!#REF!</definedName>
    <definedName name="percentagemktcoveredph1a">[13]Assmpns!#REF!</definedName>
    <definedName name="percentagemktcoveredph1b">[13]Assmpns!#REF!</definedName>
    <definedName name="percentcables">[13]Assmpns!#REF!</definedName>
    <definedName name="percentcivil">[13]Assmpns!#REF!</definedName>
    <definedName name="percentducts">[13]Assmpns!#REF!</definedName>
    <definedName name="percentelectro">[13]Assmpns!#REF!</definedName>
    <definedName name="percentland">[13]Assmpns!#REF!</definedName>
    <definedName name="percentothers">[13]Assmpns!#REF!</definedName>
    <definedName name="percentrow">[13]Assmpns!#REF!</definedName>
    <definedName name="PERIOD">[103]Assumptions!$F$11</definedName>
    <definedName name="Period_an">#REF!</definedName>
    <definedName name="Personnel_CalculationWorkingHours">'[61]Personnel Data'!$O$2</definedName>
    <definedName name="Personnel_OpeningDays">'[61]Personnel Data'!$F$92</definedName>
    <definedName name="Personnel_OperationalHrs">'[61]Personnel Data'!$E$89</definedName>
    <definedName name="Personnel_ShiftDefinition">'[61]Personnel Data'!$B$88</definedName>
    <definedName name="Personnel_TotalOperationalHrsN">'[61]Personnel Data'!$G$92</definedName>
    <definedName name="PersonnelCosts_Chosen">#REF!</definedName>
    <definedName name="PersonnelCosts_Language">#REF!</definedName>
    <definedName name="PersonnelCosts_ShiftCalc">#REF!</definedName>
    <definedName name="PF" localSheetId="6" hidden="1">{#N/A,#N/A,FALSE,"COVER.XLS";#N/A,#N/A,FALSE,"RACT1.XLS";#N/A,#N/A,FALSE,"RACT2.XLS";#N/A,#N/A,FALSE,"ECCMP";#N/A,#N/A,FALSE,"WELDER.XLS"}</definedName>
    <definedName name="PF" localSheetId="9" hidden="1">{#N/A,#N/A,FALSE,"COVER.XLS";#N/A,#N/A,FALSE,"RACT1.XLS";#N/A,#N/A,FALSE,"RACT2.XLS";#N/A,#N/A,FALSE,"ECCMP";#N/A,#N/A,FALSE,"WELDER.XLS"}</definedName>
    <definedName name="PF" localSheetId="2" hidden="1">{#N/A,#N/A,FALSE,"COVER.XLS";#N/A,#N/A,FALSE,"RACT1.XLS";#N/A,#N/A,FALSE,"RACT2.XLS";#N/A,#N/A,FALSE,"ECCMP";#N/A,#N/A,FALSE,"WELDER.XLS"}</definedName>
    <definedName name="PF" hidden="1">{#N/A,#N/A,FALSE,"COVER.XLS";#N/A,#N/A,FALSE,"RACT1.XLS";#N/A,#N/A,FALSE,"RACT2.XLS";#N/A,#N/A,FALSE,"ECCMP";#N/A,#N/A,FALSE,"WELDER.XLS"}</definedName>
    <definedName name="pharma">'[21]#REF'!$A$1:$S$33</definedName>
    <definedName name="PI">#REF!</definedName>
    <definedName name="piu">'[39]Capex-fixed'!#REF!</definedName>
    <definedName name="PL">[23]INFO!$B$12</definedName>
    <definedName name="pl_a">[50]tb!$G$10:$V$1193</definedName>
    <definedName name="plfull">#REF!</definedName>
    <definedName name="PLTable">'[42]PL-Bud'!$A$11:$Y$133</definedName>
    <definedName name="pmonth">#REF!</definedName>
    <definedName name="poerujgslnmv">[104]BKCSTOCKVAL!#REF!</definedName>
    <definedName name="PoPno">'[105]Level 0'!#REF!</definedName>
    <definedName name="populationgrowthrate">[13]Assmpns!#REF!</definedName>
    <definedName name="portal">'[85]Input Data'!$D$18</definedName>
    <definedName name="pots30if">'[39]Capex-fixed'!#REF!</definedName>
    <definedName name="potscable">'[39]Capex-fixed'!#REF!</definedName>
    <definedName name="potsif">'[39]Capex-fixed'!#REF!</definedName>
    <definedName name="PP">#REF!</definedName>
    <definedName name="PPP">#REF!</definedName>
    <definedName name="PREMEXP">#REF!</definedName>
    <definedName name="Premier_paiement">#REF!</definedName>
    <definedName name="premiumc">'[23]NOTES '!#REF!</definedName>
    <definedName name="premiump">'[23]NOTES '!#REF!</definedName>
    <definedName name="PREPAID_HOURS">#REF!</definedName>
    <definedName name="PREPAID_RATE">#REF!</definedName>
    <definedName name="Preparateurs">'[54]Front Page'!#REF!</definedName>
    <definedName name="Préparateurs">#REF!</definedName>
    <definedName name="Prestations">#REF!</definedName>
    <definedName name="PriceFactorACQvAWP" hidden="1">[20]dAssumption!$AO$7</definedName>
    <definedName name="PriceFactorASPvACQ" hidden="1">[20]dAssumption!$AO$6</definedName>
    <definedName name="PriceFactorASPvAWP" hidden="1">[20]dAssumption!$AO$5</definedName>
    <definedName name="principal">#REF!</definedName>
    <definedName name="print">#REF!</definedName>
    <definedName name="_xlnm.Print_Area">#REF!</definedName>
    <definedName name="PRINT_AREA_MI">#REF!</definedName>
    <definedName name="print_head">#REF!</definedName>
    <definedName name="_xlnm.Print_Titles">'[106]Wkly-Analysis'!$A$2:$IV$6</definedName>
    <definedName name="PRINT_TITLES_MI">#REF!</definedName>
    <definedName name="PRN_1" hidden="1">[20]Intro!$A$1:$J$29</definedName>
    <definedName name="PRN_10" hidden="1">[20]Summary!$FR$1:$GF$201</definedName>
    <definedName name="PRN_11" hidden="1">[20]BrSummary_Mo!$A$1:$FR$100</definedName>
    <definedName name="PRN_12" hidden="1">[20]BrSummary_Yr!$A$1:$T$107</definedName>
    <definedName name="PRN_13" hidden="1">[20]Competitor_Mo!$A$1:$FR$192</definedName>
    <definedName name="PRN_14" hidden="1">[20]Competitor_Yr!$A$1:$T$221</definedName>
    <definedName name="PRN_15" hidden="1">[20]Charts!$A$1:$L$244</definedName>
    <definedName name="PRN_16" hidden="1">[20]AdHocChart!$A$1:$O$30</definedName>
    <definedName name="PRN_2" hidden="1">[20]Conjoint!$A$1:$F$38</definedName>
    <definedName name="PRN_3" hidden="1">[20]Assumptions!$A$1:$FN$136</definedName>
    <definedName name="PRN_4" hidden="1">[20]SetupFcst!$A$1:$Q$30</definedName>
    <definedName name="PRN_5" hidden="1">[20]HistoryAdj!$A$1:$FN$383</definedName>
    <definedName name="PRN_6" hidden="1">[20]HistoryAdj!$FR$1:$GF$383</definedName>
    <definedName name="PRN_7" hidden="1">[20]ForecastAdj!$A$1:$FN$384</definedName>
    <definedName name="PRN_8" hidden="1">[20]ForecastAdj!$FR$1:$GF$384</definedName>
    <definedName name="PRN_9" hidden="1">[20]Summary!$A$1:$FN$201</definedName>
    <definedName name="ProcessData_Distance">'[61]Process Data'!$B$187</definedName>
    <definedName name="ProcessData_Time">'[61]Process Data'!$B$7</definedName>
    <definedName name="ProcessDesign_Check">'[61]Process Design'!$AT$2</definedName>
    <definedName name="ProcessDesign_DistributionTime">'[61]Process Design'!$K$4</definedName>
    <definedName name="ProcessDesign_FTEOverview">'[61]Process Design'!$B$1401</definedName>
    <definedName name="ProcessDesign_OverruleIT">'[61]Process Design'!$B$1348</definedName>
    <definedName name="ProcessDesign_OverruleMHE">'[61]Process Design'!$B$1310</definedName>
    <definedName name="ProcessDesign_OverruleTrucks">'[61]Process Design'!$B$1242</definedName>
    <definedName name="ProcessDesign_SeasonalityData">'[61]Process Design'!$B$1533</definedName>
    <definedName name="ProcessDesign_UnproductivityFactor">'[61]Process Design'!$K$4</definedName>
    <definedName name="PROCLIST_1">#REF!</definedName>
    <definedName name="PROCLIST_10">#REF!</definedName>
    <definedName name="PROCLIST_11">#REF!</definedName>
    <definedName name="PROCLIST_12">#REF!</definedName>
    <definedName name="PROCLIST_2">#REF!</definedName>
    <definedName name="PROCLIST_3">#REF!</definedName>
    <definedName name="PROCLIST_4">#REF!</definedName>
    <definedName name="PROCLIST_5">#REF!</definedName>
    <definedName name="PROCLIST_7">#REF!</definedName>
    <definedName name="PROCLIST_8">#REF!</definedName>
    <definedName name="PROCLIST_9">#REF!</definedName>
    <definedName name="PROD">#REF!</definedName>
    <definedName name="ProfileOfTaggedInstruments___ByConstrMgr_Complex_Category">#REF!</definedName>
    <definedName name="profit">#N/A</definedName>
    <definedName name="project">#REF!</definedName>
    <definedName name="Project_Breakdown_for_Client">#REF!</definedName>
    <definedName name="Projektname">#REF!</definedName>
    <definedName name="PROP">#N/A</definedName>
    <definedName name="prov">[65]WORKINGS!#REF!</definedName>
    <definedName name="PROVISION">#REF!</definedName>
    <definedName name="PS">#REF!</definedName>
    <definedName name="PT">#N/A</definedName>
    <definedName name="PTA_Bulk">#REF!</definedName>
    <definedName name="PTA_ISBL">#REF!</definedName>
    <definedName name="pullingcost">'[39]Capex-fixed'!#REF!</definedName>
    <definedName name="Puz">[30]Design!#REF!</definedName>
    <definedName name="q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q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q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q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qq" localSheetId="6" hidden="1">{#N/A,#N/A,FALSE,"COVER1.XLS ";#N/A,#N/A,FALSE,"RACT1.XLS";#N/A,#N/A,FALSE,"RACT2.XLS";#N/A,#N/A,FALSE,"ECCMP";#N/A,#N/A,FALSE,"WELDER.XLS"}</definedName>
    <definedName name="qq" localSheetId="9" hidden="1">{#N/A,#N/A,FALSE,"COVER1.XLS ";#N/A,#N/A,FALSE,"RACT1.XLS";#N/A,#N/A,FALSE,"RACT2.XLS";#N/A,#N/A,FALSE,"ECCMP";#N/A,#N/A,FALSE,"WELDER.XLS"}</definedName>
    <definedName name="qq" localSheetId="2" hidden="1">{#N/A,#N/A,FALSE,"COVER1.XLS ";#N/A,#N/A,FALSE,"RACT1.XLS";#N/A,#N/A,FALSE,"RACT2.XLS";#N/A,#N/A,FALSE,"ECCMP";#N/A,#N/A,FALSE,"WELDER.XLS"}</definedName>
    <definedName name="qq" hidden="1">{#N/A,#N/A,FALSE,"COVER1.XLS ";#N/A,#N/A,FALSE,"RACT1.XLS";#N/A,#N/A,FALSE,"RACT2.XLS";#N/A,#N/A,FALSE,"ECCMP";#N/A,#N/A,FALSE,"WELDER.XLS"}</definedName>
    <definedName name="qryEqptOrdDelyETAProfile_byConstrMgr">#REF!</definedName>
    <definedName name="qryEqptOrdPODelProfile_ByConstrMgr">#REF!</definedName>
    <definedName name="qryForEqptProfTotalDelvdFdnErnIndImp">#REF!</definedName>
    <definedName name="qrySummROSDatesFromQuery">#REF!</definedName>
    <definedName name="qryUnitForecastUtils">#REF!</definedName>
    <definedName name="Quais">#REF!</definedName>
    <definedName name="QUATRE">#N/A</definedName>
    <definedName name="QUATRE4">#N/A</definedName>
    <definedName name="Query1">#REF!</definedName>
    <definedName name="Quotation_CheckAllocation">#REF!</definedName>
    <definedName name="Quotation_ComparisonTariff">[61]Quotation!$F$33</definedName>
    <definedName name="Quotation_CostType">[61]Quotation!$AQ$2</definedName>
    <definedName name="Quotation_Indirect">[61]Quotation!$F$21</definedName>
    <definedName name="Quotation_Margin">[61]Quotation!$F$24</definedName>
    <definedName name="Quotation_SlidingPriceData">[61]Quotation!$B$1891</definedName>
    <definedName name="Quotation_SlidingPrices">[61]Quotation!$B$1879</definedName>
    <definedName name="Quotation_TotalTurnover">[61]Quotation!$F$29</definedName>
    <definedName name="QUOTENO">#REF!</definedName>
    <definedName name="qwe">'[39]Capex-fixed'!#REF!</definedName>
    <definedName name="qwer">#REF!</definedName>
    <definedName name="qzqzqz10">#REF!</definedName>
    <definedName name="qzqzqz11">#REF!</definedName>
    <definedName name="qzqzqz31">#REF!</definedName>
    <definedName name="qzqzqz32">#REF!</definedName>
    <definedName name="qzqzqz9">#REF!</definedName>
    <definedName name="R_">#N/A</definedName>
    <definedName name="rad_dscnt">#REF!</definedName>
    <definedName name="RAFactor_Look" hidden="1">[20]dAssumption!$C$14:$P$31</definedName>
    <definedName name="rango_max_sup">#REF!</definedName>
    <definedName name="rango_tar">#REF!</definedName>
    <definedName name="RATE_DISCOUNT">#REF!</definedName>
    <definedName name="RATES">#REF!</definedName>
    <definedName name="Ratios">#REF!</definedName>
    <definedName name="reach_truck">#REF!</definedName>
    <definedName name="reco">'[21]#REF'!$V$173:$Z$203</definedName>
    <definedName name="reco18" localSheetId="6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reco18" localSheetId="9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reco18" localSheetId="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reco18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rect_4_415">#REF!</definedName>
    <definedName name="redep">[34]Assmpns!#REF!</definedName>
    <definedName name="Reductioningrowthrate">[13]Assmpns!#REF!</definedName>
    <definedName name="RefillRate_Look" hidden="1">[20]dAssumption!$C$210:$FN$215</definedName>
    <definedName name="Region">#REF!</definedName>
    <definedName name="rel">#REF!</definedName>
    <definedName name="Released_to_RIL">[107]Feuil1!#REF!</definedName>
    <definedName name="RENT">#REF!</definedName>
    <definedName name="rep_unit">[108]Assumptions!$F$20</definedName>
    <definedName name="repayment">#REF!</definedName>
    <definedName name="Report">[43]Database!$A$28:$A$30</definedName>
    <definedName name="res" localSheetId="6" hidden="1">{#N/A,#N/A,FALSE,"COVER1.XLS ";#N/A,#N/A,FALSE,"RACT1.XLS";#N/A,#N/A,FALSE,"RACT2.XLS";#N/A,#N/A,FALSE,"ECCMP";#N/A,#N/A,FALSE,"WELDER.XLS"}</definedName>
    <definedName name="res" localSheetId="9" hidden="1">{#N/A,#N/A,FALSE,"COVER1.XLS ";#N/A,#N/A,FALSE,"RACT1.XLS";#N/A,#N/A,FALSE,"RACT2.XLS";#N/A,#N/A,FALSE,"ECCMP";#N/A,#N/A,FALSE,"WELDER.XLS"}</definedName>
    <definedName name="res" localSheetId="2" hidden="1">{#N/A,#N/A,FALSE,"COVER1.XLS ";#N/A,#N/A,FALSE,"RACT1.XLS";#N/A,#N/A,FALSE,"RACT2.XLS";#N/A,#N/A,FALSE,"ECCMP";#N/A,#N/A,FALSE,"WELDER.XLS"}</definedName>
    <definedName name="res" hidden="1">{#N/A,#N/A,FALSE,"COVER1.XLS ";#N/A,#N/A,FALSE,"RACT1.XLS";#N/A,#N/A,FALSE,"RACT2.XLS";#N/A,#N/A,FALSE,"ECCMP";#N/A,#N/A,FALSE,"WELDER.XLS"}</definedName>
    <definedName name="res_sum" localSheetId="6" hidden="1">{#N/A,#N/A,FALSE,"COVER1.XLS ";#N/A,#N/A,FALSE,"RACT1.XLS";#N/A,#N/A,FALSE,"RACT2.XLS";#N/A,#N/A,FALSE,"ECCMP";#N/A,#N/A,FALSE,"WELDER.XLS"}</definedName>
    <definedName name="res_sum" localSheetId="9" hidden="1">{#N/A,#N/A,FALSE,"COVER1.XLS ";#N/A,#N/A,FALSE,"RACT1.XLS";#N/A,#N/A,FALSE,"RACT2.XLS";#N/A,#N/A,FALSE,"ECCMP";#N/A,#N/A,FALSE,"WELDER.XLS"}</definedName>
    <definedName name="res_sum" localSheetId="2" hidden="1">{#N/A,#N/A,FALSE,"COVER1.XLS ";#N/A,#N/A,FALSE,"RACT1.XLS";#N/A,#N/A,FALSE,"RACT2.XLS";#N/A,#N/A,FALSE,"ECCMP";#N/A,#N/A,FALSE,"WELDER.XLS"}</definedName>
    <definedName name="res_sum" hidden="1">{#N/A,#N/A,FALSE,"COVER1.XLS ";#N/A,#N/A,FALSE,"RACT1.XLS";#N/A,#N/A,FALSE,"RACT2.XLS";#N/A,#N/A,FALSE,"ECCMP";#N/A,#N/A,FALSE,"WELDER.XLS"}</definedName>
    <definedName name="Resource">#REF!</definedName>
    <definedName name="Resources">#REF!</definedName>
    <definedName name="restorationcost">'[39]Capex-fixed'!#REF!</definedName>
    <definedName name="resultc">#REF!</definedName>
    <definedName name="resultp">#REF!</definedName>
    <definedName name="retainedc">'[23]NOTES '!#REF!</definedName>
    <definedName name="retainedp">'[23]NOTES '!#REF!</definedName>
    <definedName name="RetourMenuSynth">#N/A</definedName>
    <definedName name="REV">#REF!</definedName>
    <definedName name="REVCOST">#REF!</definedName>
    <definedName name="Revision">#REF!</definedName>
    <definedName name="revloss1anoncolocation">[13]Assmpns!#REF!</definedName>
    <definedName name="revloss1bnoncolocation">[13]Assmpns!#REF!</definedName>
    <definedName name="revloss2noncolocation">[13]Assmpns!#REF!</definedName>
    <definedName name="Revq1">[13]Assmpns!#REF!</definedName>
    <definedName name="revq2">[13]Assmpns!#REF!</definedName>
    <definedName name="revq3">[13]Assmpns!#REF!</definedName>
    <definedName name="revq4">[13]Assmpns!#REF!</definedName>
    <definedName name="revshare">'[109]NLD - Assum'!#REF!</definedName>
    <definedName name="revsharebasis">'[109]NLD - Assum'!#REF!</definedName>
    <definedName name="revshareSDCAtfc">[13]Assmpns!#REF!</definedName>
    <definedName name="rf4r4" localSheetId="6" hidden="1">{#N/A,#N/A,FALSE,"COVER.XLS";#N/A,#N/A,FALSE,"RACT1.XLS";#N/A,#N/A,FALSE,"RACT2.XLS";#N/A,#N/A,FALSE,"ECCMP";#N/A,#N/A,FALSE,"WELDER.XLS"}</definedName>
    <definedName name="rf4r4" localSheetId="9" hidden="1">{#N/A,#N/A,FALSE,"COVER.XLS";#N/A,#N/A,FALSE,"RACT1.XLS";#N/A,#N/A,FALSE,"RACT2.XLS";#N/A,#N/A,FALSE,"ECCMP";#N/A,#N/A,FALSE,"WELDER.XLS"}</definedName>
    <definedName name="rf4r4" localSheetId="2" hidden="1">{#N/A,#N/A,FALSE,"COVER.XLS";#N/A,#N/A,FALSE,"RACT1.XLS";#N/A,#N/A,FALSE,"RACT2.XLS";#N/A,#N/A,FALSE,"ECCMP";#N/A,#N/A,FALSE,"WELDER.XLS"}</definedName>
    <definedName name="rf4r4" hidden="1">{#N/A,#N/A,FALSE,"COVER.XLS";#N/A,#N/A,FALSE,"RACT1.XLS";#N/A,#N/A,FALSE,"RACT2.XLS";#N/A,#N/A,FALSE,"ECCMP";#N/A,#N/A,FALSE,"WELDER.XLS"}</definedName>
    <definedName name="RFUS">#REF!</definedName>
    <definedName name="rg" localSheetId="6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rg" localSheetId="9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rg" localSheetId="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rg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rgnl" localSheetId="6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gnl" localSheetId="9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gnl" localSheetId="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gnl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ho">#REF!</definedName>
    <definedName name="RIB">[47]INFO!$B$5</definedName>
    <definedName name="rig">#REF!</definedName>
    <definedName name="rilmkt">#REF!</definedName>
    <definedName name="rm">[65]WORKINGS!#REF!</definedName>
    <definedName name="RMC">#REF!</definedName>
    <definedName name="roanoke">#REF!</definedName>
    <definedName name="robot">#REF!</definedName>
    <definedName name="roe">#REF!</definedName>
    <definedName name="rollout_dpw">#REF!</definedName>
    <definedName name="rollout_HPD">#REF!</definedName>
    <definedName name="Rollout_resources">#REF!</definedName>
    <definedName name="rosid">#REF!</definedName>
    <definedName name="routerswitchdis">#REF!</definedName>
    <definedName name="rr" localSheetId="6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r" localSheetId="9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r" localSheetId="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r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rdsa" localSheetId="6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rdsa" localSheetId="9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rdsa" localSheetId="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rdsa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s">#REF!</definedName>
    <definedName name="RTTRTRTR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RTTRTRTR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RTTRTRTR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RTTRTRTR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Ruraltitle">#REF!</definedName>
    <definedName name="rw" localSheetId="6" hidden="1">{#N/A,#N/A,FALSE,"COVER1.XLS ";#N/A,#N/A,FALSE,"RACT1.XLS";#N/A,#N/A,FALSE,"RACT2.XLS";#N/A,#N/A,FALSE,"ECCMP";#N/A,#N/A,FALSE,"WELDER.XLS"}</definedName>
    <definedName name="rw" localSheetId="9" hidden="1">{#N/A,#N/A,FALSE,"COVER1.XLS ";#N/A,#N/A,FALSE,"RACT1.XLS";#N/A,#N/A,FALSE,"RACT2.XLS";#N/A,#N/A,FALSE,"ECCMP";#N/A,#N/A,FALSE,"WELDER.XLS"}</definedName>
    <definedName name="rw" localSheetId="2" hidden="1">{#N/A,#N/A,FALSE,"COVER1.XLS ";#N/A,#N/A,FALSE,"RACT1.XLS";#N/A,#N/A,FALSE,"RACT2.XLS";#N/A,#N/A,FALSE,"ECCMP";#N/A,#N/A,FALSE,"WELDER.XLS"}</definedName>
    <definedName name="rw" hidden="1">{#N/A,#N/A,FALSE,"COVER1.XLS ";#N/A,#N/A,FALSE,"RACT1.XLS";#N/A,#N/A,FALSE,"RACT2.XLS";#N/A,#N/A,FALSE,"ECCMP";#N/A,#N/A,FALSE,"WELDER.XLS"}</definedName>
    <definedName name="rwere" localSheetId="6" hidden="1">{#N/A,#N/A,FALSE,"COVER1.XLS ";#N/A,#N/A,FALSE,"RACT1.XLS";#N/A,#N/A,FALSE,"RACT2.XLS";#N/A,#N/A,FALSE,"ECCMP";#N/A,#N/A,FALSE,"WELDER.XLS"}</definedName>
    <definedName name="rwere" localSheetId="9" hidden="1">{#N/A,#N/A,FALSE,"COVER1.XLS ";#N/A,#N/A,FALSE,"RACT1.XLS";#N/A,#N/A,FALSE,"RACT2.XLS";#N/A,#N/A,FALSE,"ECCMP";#N/A,#N/A,FALSE,"WELDER.XLS"}</definedName>
    <definedName name="rwere" localSheetId="2" hidden="1">{#N/A,#N/A,FALSE,"COVER1.XLS ";#N/A,#N/A,FALSE,"RACT1.XLS";#N/A,#N/A,FALSE,"RACT2.XLS";#N/A,#N/A,FALSE,"ECCMP";#N/A,#N/A,FALSE,"WELDER.XLS"}</definedName>
    <definedName name="rwere" hidden="1">{#N/A,#N/A,FALSE,"COVER1.XLS ";#N/A,#N/A,FALSE,"RACT1.XLS";#N/A,#N/A,FALSE,"RACT2.XLS";#N/A,#N/A,FALSE,"ECCMP";#N/A,#N/A,FALSE,"WELDER.XLS"}</definedName>
    <definedName name="RxSize_Look" hidden="1">[20]dAssumption!$C$201:$FN$206</definedName>
    <definedName name="S">#REF!</definedName>
    <definedName name="sag">[59]factors!$C$23</definedName>
    <definedName name="saghw">#REF!</definedName>
    <definedName name="sagsw">#REF!</definedName>
    <definedName name="sai">#REF!</definedName>
    <definedName name="sal">[65]WORKINGS!#REF!</definedName>
    <definedName name="SALARY">#REF!</definedName>
    <definedName name="salaryinhouse">[34]Assmpns!#REF!</definedName>
    <definedName name="salaryoutsourced">[34]Assmpns!#REF!</definedName>
    <definedName name="Sales">[110]Summary!$A$3:$G$76</definedName>
    <definedName name="SALESTAX" localSheetId="6">#REF!</definedName>
    <definedName name="SALESTAX" localSheetId="9">#REF!</definedName>
    <definedName name="SalesTax">0.0825</definedName>
    <definedName name="SAPBEXdnldView" hidden="1">"45PHKTJZ0ZZLKMEDQ3ICULVEB"</definedName>
    <definedName name="SAPBEXsysID" hidden="1">"BWP"</definedName>
    <definedName name="SAPBEXwbID" hidden="1">"48HLUXCRI8WD91OU3NJ1Z9EKM"</definedName>
    <definedName name="SAPFuncF4Help" localSheetId="6" hidden="1">Main.SAPF4Help()</definedName>
    <definedName name="SAPFuncF4Help" localSheetId="9" hidden="1">Main.SAPF4Help()</definedName>
    <definedName name="SAPFuncF4Help" localSheetId="13" hidden="1">Main.SAPF4Help()</definedName>
    <definedName name="SAPFuncF4Help" localSheetId="2" hidden="1">Main.SAPF4Help()</definedName>
    <definedName name="SAPFuncF4Help" hidden="1">Main.SAPF4Help()</definedName>
    <definedName name="SC">#REF!</definedName>
    <definedName name="scaleupfactor">'[39]NLD - Assum'!#REF!</definedName>
    <definedName name="SCENARIO_MATRIX">'[61]Data Assumptions'!$P$4:$AT$285</definedName>
    <definedName name="SCF">#REF!</definedName>
    <definedName name="schoolbldg.">#REF!</definedName>
    <definedName name="schools">#REF!</definedName>
    <definedName name="Schubmaststapler">#REF!</definedName>
    <definedName name="schubst">#REF!</definedName>
    <definedName name="sco_sites">#REF!</definedName>
    <definedName name="Scurve1" localSheetId="6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Scurve1" localSheetId="9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Scurve1" localSheetId="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Scurve1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sd" localSheetId="6" hidden="1">{#N/A,#N/A,FALSE,"COVER1.XLS ";#N/A,#N/A,FALSE,"RACT1.XLS";#N/A,#N/A,FALSE,"RACT2.XLS";#N/A,#N/A,FALSE,"ECCMP";#N/A,#N/A,FALSE,"WELDER.XLS"}</definedName>
    <definedName name="sd" localSheetId="9" hidden="1">{#N/A,#N/A,FALSE,"COVER1.XLS ";#N/A,#N/A,FALSE,"RACT1.XLS";#N/A,#N/A,FALSE,"RACT2.XLS";#N/A,#N/A,FALSE,"ECCMP";#N/A,#N/A,FALSE,"WELDER.XLS"}</definedName>
    <definedName name="sd" localSheetId="2" hidden="1">{#N/A,#N/A,FALSE,"COVER1.XLS ";#N/A,#N/A,FALSE,"RACT1.XLS";#N/A,#N/A,FALSE,"RACT2.XLS";#N/A,#N/A,FALSE,"ECCMP";#N/A,#N/A,FALSE,"WELDER.XLS"}</definedName>
    <definedName name="sd" hidden="1">{#N/A,#N/A,FALSE,"COVER1.XLS ";#N/A,#N/A,FALSE,"RACT1.XLS";#N/A,#N/A,FALSE,"RACT2.XLS";#N/A,#N/A,FALSE,"ECCMP";#N/A,#N/A,FALSE,"WELDER.XLS"}</definedName>
    <definedName name="Sdate">#REF!</definedName>
    <definedName name="sdcacarriagetfc1a">[13]Assmpns!#REF!</definedName>
    <definedName name="sdcacarriagetfc1b">[13]Assmpns!#REF!</definedName>
    <definedName name="sdcacarriagetfc2">[13]Assmpns!#REF!</definedName>
    <definedName name="sdf" localSheetId="6" hidden="1">{#N/A,#N/A,FALSE,"COVER.XLS";#N/A,#N/A,FALSE,"RACT1.XLS";#N/A,#N/A,FALSE,"RACT2.XLS";#N/A,#N/A,FALSE,"ECCMP";#N/A,#N/A,FALSE,"WELDER.XLS"}</definedName>
    <definedName name="sdf" localSheetId="9" hidden="1">{#N/A,#N/A,FALSE,"COVER.XLS";#N/A,#N/A,FALSE,"RACT1.XLS";#N/A,#N/A,FALSE,"RACT2.XLS";#N/A,#N/A,FALSE,"ECCMP";#N/A,#N/A,FALSE,"WELDER.XLS"}</definedName>
    <definedName name="sdf" localSheetId="2" hidden="1">{#N/A,#N/A,FALSE,"COVER.XLS";#N/A,#N/A,FALSE,"RACT1.XLS";#N/A,#N/A,FALSE,"RACT2.XLS";#N/A,#N/A,FALSE,"ECCMP";#N/A,#N/A,FALSE,"WELDER.XLS"}</definedName>
    <definedName name="sdf" hidden="1">{#N/A,#N/A,FALSE,"COVER.XLS";#N/A,#N/A,FALSE,"RACT1.XLS";#N/A,#N/A,FALSE,"RACT2.XLS";#N/A,#N/A,FALSE,"ECCMP";#N/A,#N/A,FALSE,"WELDER.XLS"}</definedName>
    <definedName name="sdflhk">[104]MAHSTOCKVAL!#REF!</definedName>
    <definedName name="sdfsdf" hidden="1">41185.3820601852</definedName>
    <definedName name="Seasonal_Look" hidden="1">[20]dAssumption!$AN$50:$AY$51</definedName>
    <definedName name="SECTION">#REF!</definedName>
    <definedName name="Sectors">[81]GSMA_Rules!$F$2:$F$12</definedName>
    <definedName name="selling">#REF!</definedName>
    <definedName name="sencount" hidden="1">1</definedName>
    <definedName name="Sensitivity_range">#REF!</definedName>
    <definedName name="Sensitivity_range_base">#REF!</definedName>
    <definedName name="SEPT">#N/A</definedName>
    <definedName name="SEPT7">#N/A</definedName>
    <definedName name="serverdis">#REF!</definedName>
    <definedName name="Services">#REF!</definedName>
    <definedName name="Setzteil">#REF!</definedName>
    <definedName name="SEVILLA">#REF!</definedName>
    <definedName name="Sheet1">#REF!</definedName>
    <definedName name="shelf_1_fixed">[111]Equipment!$F$41</definedName>
    <definedName name="shelf_1A_var">[111]Equipment!$F$54</definedName>
    <definedName name="shelf_1B_fixed">[111]Equipment!$F$61</definedName>
    <definedName name="shelf_1B_var">[111]Equipment!$F$74</definedName>
    <definedName name="shelf_1C_fixed">[111]Equipment!$F$81</definedName>
    <definedName name="shelf_1C_var">[111]Equipment!$F$94</definedName>
    <definedName name="shelf_1D_fixed">[111]Equipment!$F$101</definedName>
    <definedName name="shelf_1D_var">[111]Equipment!$F$114</definedName>
    <definedName name="shelf_1E_fixed">[111]Equipment!$F$121</definedName>
    <definedName name="shelf_1E_var">[111]Equipment!$F$134</definedName>
    <definedName name="shelf_IIA_fixed">'[39]Capex-fixed'!#REF!</definedName>
    <definedName name="shelf_IIIA_fixed">[111]Equipment!$F$249</definedName>
    <definedName name="shelf_IIIA_var">[111]Equipment!$F$262</definedName>
    <definedName name="shelf_IIIB_fixed">[111]Equipment!$F$269</definedName>
    <definedName name="shelf_IIIB_var">[111]Equipment!$F$282</definedName>
    <definedName name="shelf_IIIC_fixed">[111]Equipment!$F$289</definedName>
    <definedName name="shelf_IIIC_var">[111]Equipment!$F$302</definedName>
    <definedName name="shelf_IIID_fixed">[111]Equipment!$F$309</definedName>
    <definedName name="shelf_IIID_var">[111]Equipment!$F$322</definedName>
    <definedName name="shelf_IIIE_fixed">[111]Equipment!$F$329</definedName>
    <definedName name="shelf_IIIE_var">[111]Equipment!$F$342</definedName>
    <definedName name="shelf_IVA_fixed">[111]Equipment!$F$353</definedName>
    <definedName name="shelf_IVA_var">[111]Equipment!$F$366</definedName>
    <definedName name="shelf_IVB_fixed">[111]Equipment!$F$373</definedName>
    <definedName name="shelf_IVB_var">[111]Equipment!$F$386</definedName>
    <definedName name="shelf_IVC_fixed">[111]Equipment!$F$393</definedName>
    <definedName name="shelf_IVC_var">[111]Equipment!$F$406</definedName>
    <definedName name="shelf_IVD_fixed">[111]Equipment!$F$413</definedName>
    <definedName name="shelf_IVD_var">[111]Equipment!$F$426</definedName>
    <definedName name="shelf_IVE_fixed">[111]Equipment!$F$433</definedName>
    <definedName name="shelf_IVE_var">[111]Equipment!$F$446</definedName>
    <definedName name="Shift1">[112]Names!$I$1:$I$3</definedName>
    <definedName name="SHIFTTYPE">'[61]Personnel Data'!$C$91:$M$102</definedName>
    <definedName name="ShipFactor_Look" hidden="1">[20]dAssumption!$C$133:$P$137</definedName>
    <definedName name="Shipping">1.25</definedName>
    <definedName name="shiva">#REF!</definedName>
    <definedName name="short" localSheetId="6" hidden="1">{#N/A,#N/A,FALSE,"COVER1.XLS ";#N/A,#N/A,FALSE,"RACT1.XLS";#N/A,#N/A,FALSE,"RACT2.XLS";#N/A,#N/A,FALSE,"ECCMP";#N/A,#N/A,FALSE,"WELDER.XLS"}</definedName>
    <definedName name="short" localSheetId="9" hidden="1">{#N/A,#N/A,FALSE,"COVER1.XLS ";#N/A,#N/A,FALSE,"RACT1.XLS";#N/A,#N/A,FALSE,"RACT2.XLS";#N/A,#N/A,FALSE,"ECCMP";#N/A,#N/A,FALSE,"WELDER.XLS"}</definedName>
    <definedName name="short" localSheetId="2" hidden="1">{#N/A,#N/A,FALSE,"COVER1.XLS ";#N/A,#N/A,FALSE,"RACT1.XLS";#N/A,#N/A,FALSE,"RACT2.XLS";#N/A,#N/A,FALSE,"ECCMP";#N/A,#N/A,FALSE,"WELDER.XLS"}</definedName>
    <definedName name="short" hidden="1">{#N/A,#N/A,FALSE,"COVER1.XLS ";#N/A,#N/A,FALSE,"RACT1.XLS";#N/A,#N/A,FALSE,"RACT2.XLS";#N/A,#N/A,FALSE,"ECCMP";#N/A,#N/A,FALSE,"WELDER.XLS"}</definedName>
    <definedName name="SHORTGH" localSheetId="6" hidden="1">{#N/A,#N/A,FALSE,"COVER1.XLS ";#N/A,#N/A,FALSE,"RACT1.XLS";#N/A,#N/A,FALSE,"RACT2.XLS";#N/A,#N/A,FALSE,"ECCMP";#N/A,#N/A,FALSE,"WELDER.XLS"}</definedName>
    <definedName name="SHORTGH" localSheetId="9" hidden="1">{#N/A,#N/A,FALSE,"COVER1.XLS ";#N/A,#N/A,FALSE,"RACT1.XLS";#N/A,#N/A,FALSE,"RACT2.XLS";#N/A,#N/A,FALSE,"ECCMP";#N/A,#N/A,FALSE,"WELDER.XLS"}</definedName>
    <definedName name="SHORTGH" localSheetId="2" hidden="1">{#N/A,#N/A,FALSE,"COVER1.XLS ";#N/A,#N/A,FALSE,"RACT1.XLS";#N/A,#N/A,FALSE,"RACT2.XLS";#N/A,#N/A,FALSE,"ECCMP";#N/A,#N/A,FALSE,"WELDER.XLS"}</definedName>
    <definedName name="SHORTGH" hidden="1">{#N/A,#N/A,FALSE,"COVER1.XLS ";#N/A,#N/A,FALSE,"RACT1.XLS";#N/A,#N/A,FALSE,"RACT2.XLS";#N/A,#N/A,FALSE,"ECCMP";#N/A,#N/A,FALSE,"WELDER.XLS"}</definedName>
    <definedName name="SI">#REF!</definedName>
    <definedName name="SINTESIS">#N/A</definedName>
    <definedName name="SITEWORKS">#REF!</definedName>
    <definedName name="SIX">#N/A</definedName>
    <definedName name="Six_Sigma">#REF!</definedName>
    <definedName name="size">#REF!</definedName>
    <definedName name="slmadditionalhead1">#REF!</definedName>
    <definedName name="slmadditionalhead2">#REF!</definedName>
    <definedName name="slmcivil">#REF!</definedName>
    <definedName name="slmduct">#REF!</definedName>
    <definedName name="slmelectro">#REF!</definedName>
    <definedName name="slmutilities">#REF!</definedName>
    <definedName name="Slope1" hidden="1">[20]dAssumption!$AR$32</definedName>
    <definedName name="Slope2" hidden="1">[20]dAssumption!$AR$33</definedName>
    <definedName name="slotreq_LEMU6">'[39]Capex-fixed'!#REF!</definedName>
    <definedName name="slotreq_LESA8">'[39]Capex-fixed'!#REF!</definedName>
    <definedName name="slotreq_LOMIF">'[39]Capex-fixed'!#REF!</definedName>
    <definedName name="slotreq_PCONV">'[39]Capex-fixed'!#REF!</definedName>
    <definedName name="slotreq_PHLC30">'[39]Capex-fixed'!#REF!</definedName>
    <definedName name="slotreq_PHLC60">'[39]Capex-fixed'!#REF!</definedName>
    <definedName name="sn">'[113]RCTL-SCH'!#REF!</definedName>
    <definedName name="Société">#REF!</definedName>
    <definedName name="SORT" hidden="1">#REF!</definedName>
    <definedName name="SP">#N/A</definedName>
    <definedName name="Special">#REF!</definedName>
    <definedName name="Specialratiosteel">#REF!</definedName>
    <definedName name="ss" localSheetId="6" hidden="1">{#N/A,#N/A,FALSE,"COVER.XLS";#N/A,#N/A,FALSE,"RACT1.XLS";#N/A,#N/A,FALSE,"RACT2.XLS";#N/A,#N/A,FALSE,"ECCMP";#N/A,#N/A,FALSE,"WELDER.XLS"}</definedName>
    <definedName name="ss" localSheetId="9" hidden="1">{#N/A,#N/A,FALSE,"COVER.XLS";#N/A,#N/A,FALSE,"RACT1.XLS";#N/A,#N/A,FALSE,"RACT2.XLS";#N/A,#N/A,FALSE,"ECCMP";#N/A,#N/A,FALSE,"WELDER.XLS"}</definedName>
    <definedName name="ss" localSheetId="2" hidden="1">{#N/A,#N/A,FALSE,"COVER.XLS";#N/A,#N/A,FALSE,"RACT1.XLS";#N/A,#N/A,FALSE,"RACT2.XLS";#N/A,#N/A,FALSE,"ECCMP";#N/A,#N/A,FALSE,"WELDER.XLS"}</definedName>
    <definedName name="ss" hidden="1">{#N/A,#N/A,FALSE,"COVER.XLS";#N/A,#N/A,FALSE,"RACT1.XLS";#N/A,#N/A,FALSE,"RACT2.XLS";#N/A,#N/A,FALSE,"ECCMP";#N/A,#N/A,FALSE,"WELDER.XLS"}</definedName>
    <definedName name="sss" localSheetId="6" hidden="1">Main.SAPF4Help()</definedName>
    <definedName name="sss" localSheetId="9" hidden="1">Main.SAPF4Help()</definedName>
    <definedName name="sss" localSheetId="13" hidden="1">Main.SAPF4Help()</definedName>
    <definedName name="sss" localSheetId="2" hidden="1">Main.SAPF4Help()</definedName>
    <definedName name="sss" hidden="1">Main.SAPF4Help()</definedName>
    <definedName name="sssssssss">'[28]Program Support'!$B$141</definedName>
    <definedName name="SSW">#REF!</definedName>
    <definedName name="st">#REF!</definedName>
    <definedName name="staff">#REF!</definedName>
    <definedName name="Staff_Costs">#REF!</definedName>
    <definedName name="StartFcstDate" hidden="1">[20]dAssumption!$AI$9</definedName>
    <definedName name="StartUp_OverheadMargin">'[61]Start-Up Costs'!$B$74</definedName>
    <definedName name="STATE">#REF!</definedName>
    <definedName name="Steel_Rocks">#REF!</definedName>
    <definedName name="STO">#REF!</definedName>
    <definedName name="Stocking_Look" hidden="1">[20]dAssumption!$C$233:$FN$234</definedName>
    <definedName name="Storage_DimDistance">#REF!</definedName>
    <definedName name="Storage_DimSpace">#REF!</definedName>
    <definedName name="STORAGES">#REF!</definedName>
    <definedName name="StrID">#REF!</definedName>
    <definedName name="STRUCTURAL">#REF!</definedName>
    <definedName name="structure">#REF!</definedName>
    <definedName name="STT">#REF!</definedName>
    <definedName name="Subject">#REF!</definedName>
    <definedName name="Subscriber_base_related_Software_Costs">#REF!</definedName>
    <definedName name="sum.fault.repairs">#REF!</definedName>
    <definedName name="sum_admin.exp">#REF!</definedName>
    <definedName name="sum_adv.dir.mktg">#REF!</definedName>
    <definedName name="sum_adv.ele.media">#REF!</definedName>
    <definedName name="sum_adv.eqp.sub">#REF!</definedName>
    <definedName name="sum_adv.ose.bill">#REF!</definedName>
    <definedName name="sum_adv.ose.cc">#REF!</definedName>
    <definedName name="sum_adv.ose.conv">#REF!</definedName>
    <definedName name="sum_adv.ose.trg">#REF!</definedName>
    <definedName name="sum_adv.ose.tvlg">#REF!</definedName>
    <definedName name="sum_adv.outdoor.media">#REF!</definedName>
    <definedName name="sum_adv.pr">#REF!</definedName>
    <definedName name="sum_adv.prn.media">#REF!</definedName>
    <definedName name="sum_adv.prtg">#REF!</definedName>
    <definedName name="sum_adv.snd.caf">#REF!</definedName>
    <definedName name="sum_adv.snd.cl.ent">#REF!</definedName>
    <definedName name="sum_adv.snd.log">#REF!</definedName>
    <definedName name="sum_adv.snd.mr">#REF!</definedName>
    <definedName name="sum_adv.snd.osf">#REF!</definedName>
    <definedName name="sum_amc.costs">#REF!</definedName>
    <definedName name="sum_hiring.charges.vehicles">#REF!</definedName>
    <definedName name="sum_ic.costs">#REF!</definedName>
    <definedName name="sum_nw.admin.exp">#REF!</definedName>
    <definedName name="sum_nw.salaries">#REF!</definedName>
    <definedName name="sum_nw.trg">#REF!</definedName>
    <definedName name="sum_power.costs">#REF!</definedName>
    <definedName name="sum_route.surveillance">#REF!</definedName>
    <definedName name="sum_splicevan.running">#REF!</definedName>
    <definedName name="SUMM">#REF!</definedName>
    <definedName name="Summary">#REF!</definedName>
    <definedName name="Summary_Turnover">[61]Summary!$M$6</definedName>
    <definedName name="SumMonthly_Look" hidden="1">[20]Summary!$C$8:$FN$201</definedName>
    <definedName name="SumYearly_Look" hidden="1">[20]Summary!$FS$8:$GF$201</definedName>
    <definedName name="Support">#REF!</definedName>
    <definedName name="SURYA">#REF!</definedName>
    <definedName name="sw_sh">[59]factors!$C$4</definedName>
    <definedName name="SWdis">#REF!</definedName>
    <definedName name="swgrossnet">[13]Assmpns!#REF!</definedName>
    <definedName name="SwimmingPool">#REF!</definedName>
    <definedName name="switch">[114]Assmpns!#REF!</definedName>
    <definedName name="swphase">[13]Assmpns!#REF!</definedName>
    <definedName name="swphase1a">#REF!</definedName>
    <definedName name="swphase1b">#REF!</definedName>
    <definedName name="swphase2">#REF!</definedName>
    <definedName name="SYSTEM">'[85]Input Data'!$D$10</definedName>
    <definedName name="Szenario_name">#REF!</definedName>
    <definedName name="t" localSheetId="6" hidden="1">{#N/A,#N/A,FALSE,"COVER.XLS";#N/A,#N/A,FALSE,"RACT1.XLS";#N/A,#N/A,FALSE,"RACT2.XLS";#N/A,#N/A,FALSE,"ECCMP";#N/A,#N/A,FALSE,"WELDER.XLS"}</definedName>
    <definedName name="t" localSheetId="9" hidden="1">{#N/A,#N/A,FALSE,"COVER.XLS";#N/A,#N/A,FALSE,"RACT1.XLS";#N/A,#N/A,FALSE,"RACT2.XLS";#N/A,#N/A,FALSE,"ECCMP";#N/A,#N/A,FALSE,"WELDER.XLS"}</definedName>
    <definedName name="t" localSheetId="2" hidden="1">{#N/A,#N/A,FALSE,"COVER.XLS";#N/A,#N/A,FALSE,"RACT1.XLS";#N/A,#N/A,FALSE,"RACT2.XLS";#N/A,#N/A,FALSE,"ECCMP";#N/A,#N/A,FALSE,"WELDER.XLS"}</definedName>
    <definedName name="t" hidden="1">{#N/A,#N/A,FALSE,"COVER.XLS";#N/A,#N/A,FALSE,"RACT1.XLS";#N/A,#N/A,FALSE,"RACT2.XLS";#N/A,#N/A,FALSE,"ECCMP";#N/A,#N/A,FALSE,"WELDER.XLS"}</definedName>
    <definedName name="tabla">[115]Tarifa!$A$56:$AS$58</definedName>
    <definedName name="table">'[116]DETAIL SHEET'!$L$10:$BA$55</definedName>
    <definedName name="TABLE1">#REF!</definedName>
    <definedName name="TABLE2">#REF!</definedName>
    <definedName name="TableName">"Dummy"</definedName>
    <definedName name="TableRange">#REF!</definedName>
    <definedName name="Target">#REF!</definedName>
    <definedName name="Target1">#REF!</definedName>
    <definedName name="tariffgrowthyr1">[13]Assmpns!#REF!</definedName>
    <definedName name="tariffgrowthyr2">[13]Assmpns!#REF!</definedName>
    <definedName name="tariffgrowthyr3">[13]Assmpns!#REF!</definedName>
    <definedName name="tariffgrowthyr4">[13]Assmpns!#REF!</definedName>
    <definedName name="tariffgrowthyr5onwards">[13]Assmpns!#REF!</definedName>
    <definedName name="Taux_intérêt_par_an">#REF!</definedName>
    <definedName name="TAX">#REF!</definedName>
    <definedName name="Tax_rate_Pre">#REF!</definedName>
    <definedName name="taxdepr">#REF!</definedName>
    <definedName name="taxliab">#REF!</definedName>
    <definedName name="taxpayc">'[23]NOTES '!#REF!</definedName>
    <definedName name="taxpayp">'[23]NOTES '!#REF!</definedName>
    <definedName name="tb">#REF!</definedName>
    <definedName name="tbsep">#REF!</definedName>
    <definedName name="tbsep21">'[117]#REF'!$D$10:$J$751</definedName>
    <definedName name="TBTable">'[42]TB-Bud'!$A$11:$Y$133</definedName>
    <definedName name="tds">[50]tb!$G$966:$O$1040</definedName>
    <definedName name="TERRYTOWEL">#REF!</definedName>
    <definedName name="test" localSheetId="6" hidden="1">{#N/A,#N/A,FALSE,"COVER1.XLS ";#N/A,#N/A,FALSE,"RACT1.XLS";#N/A,#N/A,FALSE,"RACT2.XLS";#N/A,#N/A,FALSE,"ECCMP";#N/A,#N/A,FALSE,"WELDER.XLS"}</definedName>
    <definedName name="test" localSheetId="9" hidden="1">{#N/A,#N/A,FALSE,"COVER1.XLS ";#N/A,#N/A,FALSE,"RACT1.XLS";#N/A,#N/A,FALSE,"RACT2.XLS";#N/A,#N/A,FALSE,"ECCMP";#N/A,#N/A,FALSE,"WELDER.XLS"}</definedName>
    <definedName name="test" localSheetId="2" hidden="1">{#N/A,#N/A,FALSE,"COVER1.XLS ";#N/A,#N/A,FALSE,"RACT1.XLS";#N/A,#N/A,FALSE,"RACT2.XLS";#N/A,#N/A,FALSE,"ECCMP";#N/A,#N/A,FALSE,"WELDER.XLS"}</definedName>
    <definedName name="test" hidden="1">{#N/A,#N/A,FALSE,"COVER1.XLS ";#N/A,#N/A,FALSE,"RACT1.XLS";#N/A,#N/A,FALSE,"RACT2.XLS";#N/A,#N/A,FALSE,"ECCMP";#N/A,#N/A,FALSE,"WELDER.XLS"}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18">#REF!</definedName>
    <definedName name="TEST19">#REF!</definedName>
    <definedName name="TEST2">#REF!</definedName>
    <definedName name="TEST20">#REF!</definedName>
    <definedName name="TEST21">#REF!</definedName>
    <definedName name="TEST22">#REF!</definedName>
    <definedName name="TEST23">#REF!</definedName>
    <definedName name="TEST24">#REF!</definedName>
    <definedName name="TEST25">#REF!</definedName>
    <definedName name="TEST26">#REF!</definedName>
    <definedName name="TEST27">#REF!</definedName>
    <definedName name="TEST28">#REF!</definedName>
    <definedName name="TEST29">#REF!</definedName>
    <definedName name="TEST3">#REF!</definedName>
    <definedName name="TEST30">#REF!</definedName>
    <definedName name="TEST31">#REF!</definedName>
    <definedName name="TEST32">#REF!</definedName>
    <definedName name="TEST33">#REF!</definedName>
    <definedName name="TEST34">#REF!</definedName>
    <definedName name="TEST35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URISING">#REF!</definedName>
    <definedName name="tfcq1">[13]Assmpns!#REF!</definedName>
    <definedName name="tfcq2">[13]Assmpns!#REF!</definedName>
    <definedName name="tfcq3">[13]Assmpns!#REF!</definedName>
    <definedName name="tfcq4">[13]Assmpns!#REF!</definedName>
    <definedName name="THE_REST">[35]Database!$C$29</definedName>
    <definedName name="This_year_Bsheet">#REF!</definedName>
    <definedName name="This_Year_Profit_Loss">#REF!</definedName>
    <definedName name="Title">'[118]Civil Boq'!$D$3</definedName>
    <definedName name="Title1">#REF!</definedName>
    <definedName name="Title2">#REF!</definedName>
    <definedName name="TM_PREPAID_HRS">#REF!</definedName>
    <definedName name="TM_PREPAID_RATE">#REF!</definedName>
    <definedName name="TM_RATE_DISCOUNT">#REF!</definedName>
    <definedName name="TM_TRAIN_DISCOUNT">#REF!</definedName>
    <definedName name="TM1REBUILDOPTION">1</definedName>
    <definedName name="TMS_SystemNames">#REF!</definedName>
    <definedName name="TMTable">'[42]TM-Bud'!$A$11:$Y$133</definedName>
    <definedName name="tol">#REF!</definedName>
    <definedName name="TOP">#N/A</definedName>
    <definedName name="topl">#REF!</definedName>
    <definedName name="topn">#REF!</definedName>
    <definedName name="TOT">#REF!</definedName>
    <definedName name="Total">[119]CBS!$L$1</definedName>
    <definedName name="Total_Hours_wo_Devel_QA_Travel">#REF!</definedName>
    <definedName name="totalmiscecharge">'[39]Capex-fixed'!#REF!</definedName>
    <definedName name="TotalsLine">#REF!</definedName>
    <definedName name="totalunits00">#REF!</definedName>
    <definedName name="totalunits01">#REF!</definedName>
    <definedName name="totalunits99">#REF!</definedName>
    <definedName name="totalvolume00">#REF!</definedName>
    <definedName name="totalvolume01">#REF!</definedName>
    <definedName name="totalvolume99">#REF!</definedName>
    <definedName name="TotData">#REF!</definedName>
    <definedName name="totslot_ext">'[39]Capex-fixed'!#REF!</definedName>
    <definedName name="tour">[50]tb!$G$540:$O$669</definedName>
    <definedName name="tr" localSheetId="6" hidden="1">{#N/A,#N/A,FALSE,"COVER.XLS";#N/A,#N/A,FALSE,"RACT1.XLS";#N/A,#N/A,FALSE,"RACT2.XLS";#N/A,#N/A,FALSE,"ECCMP";#N/A,#N/A,FALSE,"WELDER.XLS"}</definedName>
    <definedName name="tr" localSheetId="9" hidden="1">{#N/A,#N/A,FALSE,"COVER.XLS";#N/A,#N/A,FALSE,"RACT1.XLS";#N/A,#N/A,FALSE,"RACT2.XLS";#N/A,#N/A,FALSE,"ECCMP";#N/A,#N/A,FALSE,"WELDER.XLS"}</definedName>
    <definedName name="tr" localSheetId="2" hidden="1">{#N/A,#N/A,FALSE,"COVER.XLS";#N/A,#N/A,FALSE,"RACT1.XLS";#N/A,#N/A,FALSE,"RACT2.XLS";#N/A,#N/A,FALSE,"ECCMP";#N/A,#N/A,FALSE,"WELDER.XLS"}</definedName>
    <definedName name="tr" hidden="1">{#N/A,#N/A,FALSE,"COVER.XLS";#N/A,#N/A,FALSE,"RACT1.XLS";#N/A,#N/A,FALSE,"RACT2.XLS";#N/A,#N/A,FALSE,"ECCMP";#N/A,#N/A,FALSE,"WELDER.XLS"}</definedName>
    <definedName name="trafficgrowthyr1">#REF!</definedName>
    <definedName name="trafficgrowthyr2">#REF!</definedName>
    <definedName name="trafficgrowthyr3">#REF!</definedName>
    <definedName name="trafficgrowthyr4">#REF!</definedName>
    <definedName name="trafficgrowthyr5onwards">#REF!</definedName>
    <definedName name="TRAINING_DISCOUNT">#REF!</definedName>
    <definedName name="tranch">#REF!</definedName>
    <definedName name="TRANS">#N/A</definedName>
    <definedName name="travel">[33]Workings!$D$23:$F$27</definedName>
    <definedName name="trcompay">[50]tb!$G$756:$O$802</definedName>
    <definedName name="trenchingcost">'[39]Capex-fixed'!#REF!</definedName>
    <definedName name="Trianglelosspercent">[13]Assmpns!#REF!</definedName>
    <definedName name="TROIS">#N/A</definedName>
    <definedName name="TROIS3">#N/A</definedName>
    <definedName name="try">[120]InputPO_Del!#REF!</definedName>
    <definedName name="TS_el_Fa">#REF!</definedName>
    <definedName name="TS_el_fd">#REF!</definedName>
    <definedName name="TS_Man_Fa">#REF!</definedName>
    <definedName name="TS_man_Fd">#REF!</definedName>
    <definedName name="TSG_BF">#REF!</definedName>
    <definedName name="TSG_FA">#REF!</definedName>
    <definedName name="tt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tt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tt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tt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ttl_dscnt">#REF!</definedName>
    <definedName name="TTWM">[66]Lists!#REF!</definedName>
    <definedName name="tvvolume00">#REF!</definedName>
    <definedName name="tvvolume01">#REF!</definedName>
    <definedName name="tvvolume99">#REF!</definedName>
    <definedName name="Tx_intérêt_par_an">#REF!</definedName>
    <definedName name="txeuro">#REF!</definedName>
    <definedName name="type">#REF!</definedName>
    <definedName name="Type_UC">#REF!</definedName>
    <definedName name="tyu">'[39]Capex-fixed'!#REF!</definedName>
    <definedName name="tyy">'[75]F-FL.'!$A$1:$K$64</definedName>
    <definedName name="U30a57">#REF!</definedName>
    <definedName name="uel">#REF!</definedName>
    <definedName name="UFs_Libellés_CptUFs">#REF!</definedName>
    <definedName name="UFs_Libellés_Tarif">#REF!,#REF!,#REF!</definedName>
    <definedName name="uio">'[39]Capex-fixed'!#REF!</definedName>
    <definedName name="uma" localSheetId="6" hidden="1">{#N/A,#N/A,FALSE,"COVER1.XLS ";#N/A,#N/A,FALSE,"RACT1.XLS";#N/A,#N/A,FALSE,"RACT2.XLS";#N/A,#N/A,FALSE,"ECCMP";#N/A,#N/A,FALSE,"WELDER.XLS"}</definedName>
    <definedName name="uma" localSheetId="9" hidden="1">{#N/A,#N/A,FALSE,"COVER1.XLS ";#N/A,#N/A,FALSE,"RACT1.XLS";#N/A,#N/A,FALSE,"RACT2.XLS";#N/A,#N/A,FALSE,"ECCMP";#N/A,#N/A,FALSE,"WELDER.XLS"}</definedName>
    <definedName name="uma" localSheetId="2" hidden="1">{#N/A,#N/A,FALSE,"COVER1.XLS ";#N/A,#N/A,FALSE,"RACT1.XLS";#N/A,#N/A,FALSE,"RACT2.XLS";#N/A,#N/A,FALSE,"ECCMP";#N/A,#N/A,FALSE,"WELDER.XLS"}</definedName>
    <definedName name="uma" hidden="1">{#N/A,#N/A,FALSE,"COVER1.XLS ";#N/A,#N/A,FALSE,"RACT1.XLS";#N/A,#N/A,FALSE,"RACT2.XLS";#N/A,#N/A,FALSE,"ECCMP";#N/A,#N/A,FALSE,"WELDER.XLS"}</definedName>
    <definedName name="Umsatz">#REF!</definedName>
    <definedName name="UN">#N/A</definedName>
    <definedName name="UnauditPct_Look" hidden="1">[20]dAssumption!$C$119:$P$124</definedName>
    <definedName name="underground">#REF!</definedName>
    <definedName name="UNIT">[103]Assumptions!$F$20</definedName>
    <definedName name="UnitperYear_Look" hidden="1">[20]dAssumption!$C$64:$P$88</definedName>
    <definedName name="UnitPrice">#REF!</definedName>
    <definedName name="UnitSell">#REF!</definedName>
    <definedName name="unitspallet00">#REF!</definedName>
    <definedName name="unitspallet01">#REF!</definedName>
    <definedName name="unitspallet99">#REF!</definedName>
    <definedName name="unitvol00">#REF!</definedName>
    <definedName name="unitvol01">#REF!</definedName>
    <definedName name="unitvol99">#REF!</definedName>
    <definedName name="unnamed">#REF!</definedName>
    <definedName name="Urbanpopulationpercentage">[13]Assmpns!#REF!</definedName>
    <definedName name="Urgence">#REF!</definedName>
    <definedName name="USD">#REF!</definedName>
    <definedName name="Use_DePICT">#REF!</definedName>
    <definedName name="Users">#REF!</definedName>
    <definedName name="Usines">#REF!</definedName>
    <definedName name="uttam">#REF!</definedName>
    <definedName name="uyıuoı" localSheetId="6" hidden="1">Main.SAPF4Help()</definedName>
    <definedName name="uyıuoı" localSheetId="9" hidden="1">Main.SAPF4Help()</definedName>
    <definedName name="uyıuoı" localSheetId="13" hidden="1">Main.SAPF4Help()</definedName>
    <definedName name="uyıuoı" localSheetId="2" hidden="1">Main.SAPF4Help()</definedName>
    <definedName name="uyıuoı" hidden="1">Main.SAPF4Help()</definedName>
    <definedName name="v" hidden="1">[121]ｾｸﾞﾒﾝﾄ!$E$164:$I$164</definedName>
    <definedName name="VALENCIA">#REF!</definedName>
    <definedName name="VAN_B1">[35]Database!$B$27</definedName>
    <definedName name="VAN_B2">[35]Database!$B$28</definedName>
    <definedName name="VariableIDs" hidden="1">[20]SetupFcst!$B$101:$B$121</definedName>
    <definedName name="vasu">#REF!</definedName>
    <definedName name="VBArngLookup" hidden="1">'[20]VBA Related'!$B$4:$H$19</definedName>
    <definedName name="VIGO">#REF!</definedName>
    <definedName name="vital5">'[53]Customize Your Invoice'!$E$15</definedName>
    <definedName name="VITORIA">#REF!</definedName>
    <definedName name="vjsfnzxb.xcv">#REF!</definedName>
    <definedName name="VMTS">#REF!</definedName>
    <definedName name="VOL">#REF!</definedName>
    <definedName name="volume_group">#N/A</definedName>
    <definedName name="vvv">#REF!</definedName>
    <definedName name="w" localSheetId="6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" localSheetId="9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" localSheetId="2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AC_Look" hidden="1">[20]dAssumption!$C$35:$P$42</definedName>
    <definedName name="WACC">[48]Summary!$C$8</definedName>
    <definedName name="Waiting">"Picture 1"</definedName>
    <definedName name="Warehouses">#REF!</definedName>
    <definedName name="WDV">#REF!</definedName>
    <definedName name="wdvadditionalhead1">#REF!</definedName>
    <definedName name="wdvadditionalhead2">#REF!</definedName>
    <definedName name="wdvcivil">#REF!</definedName>
    <definedName name="wdvduct">#REF!</definedName>
    <definedName name="wdvelectro">#REF!</definedName>
    <definedName name="wdvutilities">#REF!</definedName>
    <definedName name="week">[112]Names!$K$1:$K$3</definedName>
    <definedName name="wer">'[39]Capex-fixed'!#REF!</definedName>
    <definedName name="WG">#N/A</definedName>
    <definedName name="Width">[92]GSMA_Rules!#REF!</definedName>
    <definedName name="wkgs_admin.exp">#REF!</definedName>
    <definedName name="wkgs_adv.dir.mktg">#REF!</definedName>
    <definedName name="wkgs_adv.ele.media">#REF!</definedName>
    <definedName name="wkgs_adv.eqp.sub">#REF!</definedName>
    <definedName name="wkgs_adv.ose.bill">#REF!</definedName>
    <definedName name="wkgs_adv.ose.cc">#REF!</definedName>
    <definedName name="wkgs_adv.ose.conv">#REF!</definedName>
    <definedName name="wkgs_adv.ose.tvlg">#REF!</definedName>
    <definedName name="wkgs_adv.prntg">#REF!</definedName>
    <definedName name="wkgs_adv.snd.cl.ent">#REF!</definedName>
    <definedName name="wkgs_adv.snd.mr">#REF!</definedName>
    <definedName name="wkgs_bw.dia">#REF!</definedName>
    <definedName name="wkgs_bw.ipvpn">[122]data.exp!#REF!</definedName>
    <definedName name="wkgs_bw.vc">[122]data.exp!#REF!</definedName>
    <definedName name="wkgs_ic.costs">#REF!</definedName>
    <definedName name="wkgs_nw.salaries">#REF!</definedName>
    <definedName name="wkgs_route.surveillance">#REF!</definedName>
    <definedName name="work">#REF!</definedName>
    <definedName name="Worksheets">#REF!</definedName>
    <definedName name="wr" localSheetId="6" hidden="1">{#N/A,#N/A,FALSE,"17MAY";#N/A,#N/A,FALSE,"24MAY"}</definedName>
    <definedName name="wr" localSheetId="9" hidden="1">{#N/A,#N/A,FALSE,"17MAY";#N/A,#N/A,FALSE,"24MAY"}</definedName>
    <definedName name="wr" localSheetId="2" hidden="1">{#N/A,#N/A,FALSE,"17MAY";#N/A,#N/A,FALSE,"24MAY"}</definedName>
    <definedName name="wr" hidden="1">{#N/A,#N/A,FALSE,"17MAY";#N/A,#N/A,FALSE,"24MAY"}</definedName>
    <definedName name="wrn" localSheetId="6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" localSheetId="9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" localSheetId="2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1." localSheetId="6" hidden="1">{#N/A,#N/A,FALSE,"17MAY";#N/A,#N/A,FALSE,"24MAY"}</definedName>
    <definedName name="wrn.1." localSheetId="9" hidden="1">{#N/A,#N/A,FALSE,"17MAY";#N/A,#N/A,FALSE,"24MAY"}</definedName>
    <definedName name="wrn.1." localSheetId="2" hidden="1">{#N/A,#N/A,FALSE,"17MAY";#N/A,#N/A,FALSE,"24MAY"}</definedName>
    <definedName name="wrn.1." hidden="1">{#N/A,#N/A,FALSE,"17MAY";#N/A,#N/A,FALSE,"24MAY"}</definedName>
    <definedName name="wrn.2._.pagers." localSheetId="6" hidden="1">{"Cover",#N/A,FALSE,"Cover";"Summary",#N/A,FALSE,"Summarpage"}</definedName>
    <definedName name="wrn.2._.pagers." localSheetId="9" hidden="1">{"Cover",#N/A,FALSE,"Cover";"Summary",#N/A,FALSE,"Summarpage"}</definedName>
    <definedName name="wrn.2._.pagers." localSheetId="2" hidden="1">{"Cover",#N/A,FALSE,"Cover";"Summary",#N/A,FALSE,"Summarpage"}</definedName>
    <definedName name="wrn.2._.pagers." hidden="1">{"Cover",#N/A,FALSE,"Cover";"Summary",#N/A,FALSE,"Summarpage"}</definedName>
    <definedName name="wrn.2.2" localSheetId="6" hidden="1">{#N/A,#N/A,FALSE,"17MAY";#N/A,#N/A,FALSE,"24MAY"}</definedName>
    <definedName name="wrn.2.2" localSheetId="9" hidden="1">{#N/A,#N/A,FALSE,"17MAY";#N/A,#N/A,FALSE,"24MAY"}</definedName>
    <definedName name="wrn.2.2" localSheetId="2" hidden="1">{#N/A,#N/A,FALSE,"17MAY";#N/A,#N/A,FALSE,"24MAY"}</definedName>
    <definedName name="wrn.2.2" hidden="1">{#N/A,#N/A,FALSE,"17MAY";#N/A,#N/A,FALSE,"24MAY"}</definedName>
    <definedName name="wrn.allpages." localSheetId="6" hidden="1">{#N/A,#N/A,TRUE,"Historicals";#N/A,#N/A,TRUE,"Charts";#N/A,#N/A,TRUE,"Forecasts"}</definedName>
    <definedName name="wrn.allpages." localSheetId="9" hidden="1">{#N/A,#N/A,TRUE,"Historicals";#N/A,#N/A,TRUE,"Charts";#N/A,#N/A,TRUE,"Forecasts"}</definedName>
    <definedName name="wrn.allpages." localSheetId="2" hidden="1">{#N/A,#N/A,TRUE,"Historicals";#N/A,#N/A,TRUE,"Charts";#N/A,#N/A,TRUE,"Forecasts"}</definedName>
    <definedName name="wrn.allpages." hidden="1">{#N/A,#N/A,TRUE,"Historicals";#N/A,#N/A,TRUE,"Charts";#N/A,#N/A,TRUE,"Forecasts"}</definedName>
    <definedName name="wrn.Cash._.Flow._.Report." hidden="1">{"Cash Flow Statement",#N/A,FALSE,"DCF"}</definedName>
    <definedName name="wrn.Complete." localSheetId="6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" localSheetId="9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" localSheetId="2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nsumable." localSheetId="6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consumable." localSheetId="9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consumable." localSheetId="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consumable.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Data._.Input._.Sheet." hidden="1">{"Data Input Sheets",#N/A,FALSE,"DCF"}</definedName>
    <definedName name="wrn.elect." localSheetId="6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elect." localSheetId="9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elect." localSheetId="2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elect.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fixkosten." localSheetId="6" hidden="1">{"fixkosten",#N/A,FALSE,"Gesamt"}</definedName>
    <definedName name="wrn.fixkosten." localSheetId="9" hidden="1">{"fixkosten",#N/A,FALSE,"Gesamt"}</definedName>
    <definedName name="wrn.fixkosten." localSheetId="2" hidden="1">{"fixkosten",#N/A,FALSE,"Gesamt"}</definedName>
    <definedName name="wrn.fixkosten." hidden="1">{"fixkosten",#N/A,FALSE,"Gesamt"}</definedName>
    <definedName name="wrn.Industry.xls." localSheetId="6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dustry.xls." localSheetId="9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dustry.xls." localSheetId="2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MOBIL." localSheetId="6" hidden="1">{"quarter",#N/A,FALSE,"MOB"}</definedName>
    <definedName name="wrn.MOBIL." localSheetId="9" hidden="1">{"quarter",#N/A,FALSE,"MOB"}</definedName>
    <definedName name="wrn.MOBIL." localSheetId="2" hidden="1">{"quarter",#N/A,FALSE,"MOB"}</definedName>
    <definedName name="wrn.MOBIL." hidden="1">{"quarter",#N/A,FALSE,"MOB"}</definedName>
    <definedName name="wrn.piping.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iping.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iping.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iping.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ulp." localSheetId="6" hidden="1">{"Pulp Production",#N/A,FALSE,"Pulp";"Pulp Earnings",#N/A,FALSE,"Pulp"}</definedName>
    <definedName name="wrn.Pulp." localSheetId="9" hidden="1">{"Pulp Production",#N/A,FALSE,"Pulp";"Pulp Earnings",#N/A,FALSE,"Pulp"}</definedName>
    <definedName name="wrn.Pulp." localSheetId="2" hidden="1">{"Pulp Production",#N/A,FALSE,"Pulp";"Pulp Earnings",#N/A,FALSE,"Pulp"}</definedName>
    <definedName name="wrn.Pulp." hidden="1">{"Pulp Production",#N/A,FALSE,"Pulp";"Pulp Earnings",#N/A,FALSE,"Pulp"}</definedName>
    <definedName name="wrn.RCC." localSheetId="6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CC." localSheetId="9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CC." localSheetId="2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CC.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eport." localSheetId="6" hidden="1">{#N/A,#N/A,FALSE,"COVER.XLS";#N/A,#N/A,FALSE,"RACT1.XLS";#N/A,#N/A,FALSE,"RACT2.XLS";#N/A,#N/A,FALSE,"ECCMP";#N/A,#N/A,FALSE,"WELDER.XLS"}</definedName>
    <definedName name="wrn.report." localSheetId="9" hidden="1">{#N/A,#N/A,FALSE,"COVER.XLS";#N/A,#N/A,FALSE,"RACT1.XLS";#N/A,#N/A,FALSE,"RACT2.XLS";#N/A,#N/A,FALSE,"ECCMP";#N/A,#N/A,FALSE,"WELDER.XLS"}</definedName>
    <definedName name="wrn.report." localSheetId="2" hidden="1">{#N/A,#N/A,FALSE,"COVER.XLS";#N/A,#N/A,FALSE,"RACT1.XLS";#N/A,#N/A,FALSE,"RACT2.XLS";#N/A,#N/A,FALSE,"ECCMP";#N/A,#N/A,FALSE,"WELDER.XLS"}</definedName>
    <definedName name="wrn.report." hidden="1">{#N/A,#N/A,FALSE,"COVER.XLS";#N/A,#N/A,FALSE,"RACT1.XLS";#N/A,#N/A,FALSE,"RACT2.XLS";#N/A,#N/A,FALSE,"ECCMP";#N/A,#N/A,FALSE,"WELDER.XLS"}</definedName>
    <definedName name="wrn.report1" localSheetId="6" hidden="1">{#N/A,#N/A,FALSE,"COVER.XLS";#N/A,#N/A,FALSE,"RACT1.XLS";#N/A,#N/A,FALSE,"RACT2.XLS";#N/A,#N/A,FALSE,"ECCMP";#N/A,#N/A,FALSE,"WELDER.XLS"}</definedName>
    <definedName name="wrn.report1" localSheetId="9" hidden="1">{#N/A,#N/A,FALSE,"COVER.XLS";#N/A,#N/A,FALSE,"RACT1.XLS";#N/A,#N/A,FALSE,"RACT2.XLS";#N/A,#N/A,FALSE,"ECCMP";#N/A,#N/A,FALSE,"WELDER.XLS"}</definedName>
    <definedName name="wrn.report1" localSheetId="2" hidden="1">{#N/A,#N/A,FALSE,"COVER.XLS";#N/A,#N/A,FALSE,"RACT1.XLS";#N/A,#N/A,FALSE,"RACT2.XLS";#N/A,#N/A,FALSE,"ECCMP";#N/A,#N/A,FALSE,"WELDER.XLS"}</definedName>
    <definedName name="wrn.report1" hidden="1">{#N/A,#N/A,FALSE,"COVER.XLS";#N/A,#N/A,FALSE,"RACT1.XLS";#N/A,#N/A,FALSE,"RACT2.XLS";#N/A,#N/A,FALSE,"ECCMP";#N/A,#N/A,FALSE,"WELDER.XLS"}</definedName>
    <definedName name="wrn.RPLINS." localSheetId="6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RPLINS." localSheetId="9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RPLINS." localSheetId="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RPLINS.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Sensitivity._.Report." hidden="1">{"Sensitivity Report",#N/A,FALSE,"DCF"}</definedName>
    <definedName name="wrn.summ1" localSheetId="6" hidden="1">{#N/A,#N/A,FALSE,"COVER1.XLS ";#N/A,#N/A,FALSE,"RACT1.XLS";#N/A,#N/A,FALSE,"RACT2.XLS";#N/A,#N/A,FALSE,"ECCMP";#N/A,#N/A,FALSE,"WELDER.XLS"}</definedName>
    <definedName name="wrn.summ1" localSheetId="9" hidden="1">{#N/A,#N/A,FALSE,"COVER1.XLS ";#N/A,#N/A,FALSE,"RACT1.XLS";#N/A,#N/A,FALSE,"RACT2.XLS";#N/A,#N/A,FALSE,"ECCMP";#N/A,#N/A,FALSE,"WELDER.XLS"}</definedName>
    <definedName name="wrn.summ1" localSheetId="2" hidden="1">{#N/A,#N/A,FALSE,"COVER1.XLS ";#N/A,#N/A,FALSE,"RACT1.XLS";#N/A,#N/A,FALSE,"RACT2.XLS";#N/A,#N/A,FALSE,"ECCMP";#N/A,#N/A,FALSE,"WELDER.XLS"}</definedName>
    <definedName name="wrn.summ1" hidden="1">{#N/A,#N/A,FALSE,"COVER1.XLS ";#N/A,#N/A,FALSE,"RACT1.XLS";#N/A,#N/A,FALSE,"RACT2.XLS";#N/A,#N/A,FALSE,"ECCMP";#N/A,#N/A,FALSE,"WELDER.XLS"}</definedName>
    <definedName name="wrn.summary." localSheetId="6" hidden="1">{#N/A,#N/A,FALSE,"COVER1.XLS ";#N/A,#N/A,FALSE,"RACT1.XLS";#N/A,#N/A,FALSE,"RACT2.XLS";#N/A,#N/A,FALSE,"ECCMP";#N/A,#N/A,FALSE,"WELDER.XLS"}</definedName>
    <definedName name="wrn.summary." localSheetId="9" hidden="1">{#N/A,#N/A,FALSE,"COVER1.XLS ";#N/A,#N/A,FALSE,"RACT1.XLS";#N/A,#N/A,FALSE,"RACT2.XLS";#N/A,#N/A,FALSE,"ECCMP";#N/A,#N/A,FALSE,"WELDER.XLS"}</definedName>
    <definedName name="wrn.summary." localSheetId="2" hidden="1">{#N/A,#N/A,FALSE,"COVER1.XLS ";#N/A,#N/A,FALSE,"RACT1.XLS";#N/A,#N/A,FALSE,"RACT2.XLS";#N/A,#N/A,FALSE,"ECCMP";#N/A,#N/A,FALSE,"WELDER.XLS"}</definedName>
    <definedName name="wrn.summary." hidden="1">{#N/A,#N/A,FALSE,"COVER1.XLS ";#N/A,#N/A,FALSE,"RACT1.XLS";#N/A,#N/A,FALSE,"RACT2.XLS";#N/A,#N/A,FALSE,"ECCMP";#N/A,#N/A,FALSE,"WELDER.XLS"}</definedName>
    <definedName name="wrn.WAGE._.RATES." hidden="1">{#N/A,#N/A,FALSE,"WAGE FORM - UNION";#N/A,#N/A,FALSE,"EST. WAGE RATES - UNION";#N/A,#N/A,FALSE,"WAGE RATE DETAILS - UNION"}</definedName>
    <definedName name="WRN0" localSheetId="6" hidden="1">{#N/A,#N/A,FALSE,"COVER1.XLS ";#N/A,#N/A,FALSE,"RACT1.XLS";#N/A,#N/A,FALSE,"RACT2.XLS";#N/A,#N/A,FALSE,"ECCMP";#N/A,#N/A,FALSE,"WELDER.XLS"}</definedName>
    <definedName name="WRN0" localSheetId="9" hidden="1">{#N/A,#N/A,FALSE,"COVER1.XLS ";#N/A,#N/A,FALSE,"RACT1.XLS";#N/A,#N/A,FALSE,"RACT2.XLS";#N/A,#N/A,FALSE,"ECCMP";#N/A,#N/A,FALSE,"WELDER.XLS"}</definedName>
    <definedName name="WRN0" localSheetId="2" hidden="1">{#N/A,#N/A,FALSE,"COVER1.XLS ";#N/A,#N/A,FALSE,"RACT1.XLS";#N/A,#N/A,FALSE,"RACT2.XLS";#N/A,#N/A,FALSE,"ECCMP";#N/A,#N/A,FALSE,"WELDER.XLS"}</definedName>
    <definedName name="WRN0" hidden="1">{#N/A,#N/A,FALSE,"COVER1.XLS ";#N/A,#N/A,FALSE,"RACT1.XLS";#N/A,#N/A,FALSE,"RACT2.XLS";#N/A,#N/A,FALSE,"ECCMP";#N/A,#N/A,FALSE,"WELDER.XLS"}</definedName>
    <definedName name="www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ww" localSheetId="9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ww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ww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WWW" localSheetId="6" hidden="1">{#N/A,#N/A,FALSE,"COVER.XLS";#N/A,#N/A,FALSE,"RACT1.XLS";#N/A,#N/A,FALSE,"RACT2.XLS";#N/A,#N/A,FALSE,"ECCMP";#N/A,#N/A,FALSE,"WELDER.XLS"}</definedName>
    <definedName name="WWWW" localSheetId="9" hidden="1">{#N/A,#N/A,FALSE,"COVER.XLS";#N/A,#N/A,FALSE,"RACT1.XLS";#N/A,#N/A,FALSE,"RACT2.XLS";#N/A,#N/A,FALSE,"ECCMP";#N/A,#N/A,FALSE,"WELDER.XLS"}</definedName>
    <definedName name="WWWW" localSheetId="2" hidden="1">{#N/A,#N/A,FALSE,"COVER.XLS";#N/A,#N/A,FALSE,"RACT1.XLS";#N/A,#N/A,FALSE,"RACT2.XLS";#N/A,#N/A,FALSE,"ECCMP";#N/A,#N/A,FALSE,"WELDER.XLS"}</definedName>
    <definedName name="WWWW" hidden="1">{#N/A,#N/A,FALSE,"COVER.XLS";#N/A,#N/A,FALSE,"RACT1.XLS";#N/A,#N/A,FALSE,"RACT2.XLS";#N/A,#N/A,FALSE,"ECCMP";#N/A,#N/A,FALSE,"WELDER.XLS"}</definedName>
    <definedName name="x">'[16]Fee Rate Summary'!#REF!</definedName>
    <definedName name="X980210_payment_printing_List">#REF!</definedName>
    <definedName name="Xmit">[92]GSMA_Rules!#REF!</definedName>
    <definedName name="xxx">'[3]Caracteristicas Productos'!$C$291</definedName>
    <definedName name="xxxxx">#REF!</definedName>
    <definedName name="xyz">#REF!</definedName>
    <definedName name="Y">#REF!</definedName>
    <definedName name="YEAR">[123]COMPARISON!$B$66</definedName>
    <definedName name="year1int">[103]Assumptions!$F$13</definedName>
    <definedName name="yend">[23]INFO!$B$4</definedName>
    <definedName name="YGJDG">#N/A</definedName>
    <definedName name="ym">#REF!</definedName>
    <definedName name="YOPLAIT">#N/A</definedName>
    <definedName name="z">[31]EPS!$A$1:$D$27</definedName>
    <definedName name="Z_47AE1863_C7DD_11D6_BE51_0050BA324F5C_.wvu.PrintTitles" localSheetId="6" hidden="1">#REF!</definedName>
    <definedName name="Z_47AE1863_C7DD_11D6_BE51_0050BA324F5C_.wvu.PrintTitles" localSheetId="9" hidden="1">#REF!</definedName>
    <definedName name="Z_47AE1863_C7DD_11D6_BE51_0050BA324F5C_.wvu.PrintTitles" localSheetId="2" hidden="1">#REF!</definedName>
    <definedName name="Z_47AE1863_C7DD_11D6_BE51_0050BA324F5C_.wvu.PrintTitles" hidden="1">#REF!</definedName>
    <definedName name="ZARAGOZA">#REF!</definedName>
    <definedName name="Zebra">[124]GSMA_Rules!#REF!</definedName>
    <definedName name="zep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zep" localSheetId="9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zep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zep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Zoll_el_Antr_BF">#REF!</definedName>
    <definedName name="Zoll_el_Antr_FA">#REF!</definedName>
    <definedName name="Zoll_el_Antr_hi">#REF!</definedName>
    <definedName name="Zoll_el_Kabelb_BF">#REF!</definedName>
    <definedName name="Zoll_el_Kabelb_FA">#REF!</definedName>
    <definedName name="Zoll_el_Kabelb_hi">#REF!</definedName>
    <definedName name="Zoll_el_Schloß_hi">#REF!</definedName>
    <definedName name="Zoll_el_Schloß_vo">#REF!</definedName>
    <definedName name="Zoll_el_sT_hi">#REF!</definedName>
    <definedName name="Zoll_GPFS_BF2">#REF!</definedName>
    <definedName name="Zoll_GPFS_BF4">#REF!</definedName>
    <definedName name="Zoll_GPFS_FA2">#REF!</definedName>
    <definedName name="Zoll_GPFS_FA4">#REF!</definedName>
    <definedName name="Zoll_Grundteile_hi">#REF!</definedName>
    <definedName name="Zoll_Grundteile_vo">#REF!</definedName>
    <definedName name="Zoll_LAW_2t">#REF!</definedName>
    <definedName name="Zoll_LAW_4t">#REF!</definedName>
    <definedName name="Zoll_ma_Antr_hi">#REF!</definedName>
    <definedName name="Zoll_ma_Antr_vo">#REF!</definedName>
    <definedName name="Zoll_ma_basis_Kabelb_BF">#REF!</definedName>
    <definedName name="Zoll_ma_basis_Kabelb_hi">#REF!</definedName>
    <definedName name="Zoll_ma_Kabelb_BF">#REF!</definedName>
    <definedName name="Zoll_ma_Kabelb_FA">#REF!</definedName>
    <definedName name="Zoll_ma_Schloß_hi">#REF!</definedName>
    <definedName name="Zoll_ma_Schloß_vo">#REF!</definedName>
    <definedName name="Zoll_ma_sT_hi">#REF!</definedName>
    <definedName name="Zoll_mit_LS">#REF!</definedName>
    <definedName name="Zoll_Sidepad">#REF!</definedName>
    <definedName name="zx" localSheetId="6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zx" localSheetId="9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zx" localSheetId="2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zx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zzz">#REF!</definedName>
    <definedName name="zzzzzzzzzzzz" localSheetId="6" hidden="1">{#N/A,#N/A,FALSE,"COVER.XLS";#N/A,#N/A,FALSE,"RACT1.XLS";#N/A,#N/A,FALSE,"RACT2.XLS";#N/A,#N/A,FALSE,"ECCMP";#N/A,#N/A,FALSE,"WELDER.XLS"}</definedName>
    <definedName name="zzzzzzzzzzzz" localSheetId="9" hidden="1">{#N/A,#N/A,FALSE,"COVER.XLS";#N/A,#N/A,FALSE,"RACT1.XLS";#N/A,#N/A,FALSE,"RACT2.XLS";#N/A,#N/A,FALSE,"ECCMP";#N/A,#N/A,FALSE,"WELDER.XLS"}</definedName>
    <definedName name="zzzzzzzzzzzz" localSheetId="2" hidden="1">{#N/A,#N/A,FALSE,"COVER.XLS";#N/A,#N/A,FALSE,"RACT1.XLS";#N/A,#N/A,FALSE,"RACT2.XLS";#N/A,#N/A,FALSE,"ECCMP";#N/A,#N/A,FALSE,"WELDER.XLS"}</definedName>
    <definedName name="zzzzzzzzzzzz" hidden="1">{#N/A,#N/A,FALSE,"COVER.XLS";#N/A,#N/A,FALSE,"RACT1.XLS";#N/A,#N/A,FALSE,"RACT2.XLS";#N/A,#N/A,FALSE,"ECCMP";#N/A,#N/A,FALSE,"WELDER.XLS"}</definedName>
  </definedNames>
  <calcPr calcId="191028"/>
  <pivotCaches>
    <pivotCache cacheId="731" r:id="rId145"/>
    <pivotCache cacheId="732" r:id="rId146"/>
    <pivotCache cacheId="733" r:id="rId147"/>
    <pivotCache cacheId="734" r:id="rId148"/>
    <pivotCache cacheId="735" r:id="rId149"/>
    <pivotCache cacheId="736" r:id="rId150"/>
    <pivotCache cacheId="737" r:id="rId151"/>
    <pivotCache cacheId="738" r:id="rId152"/>
    <pivotCache cacheId="739" r:id="rId15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33" l="1"/>
  <c r="D10" i="133" s="1"/>
  <c r="C7" i="133"/>
  <c r="D7" i="133" s="1"/>
  <c r="E15" i="116"/>
  <c r="L18" i="121"/>
  <c r="L17" i="121"/>
  <c r="E10" i="109"/>
  <c r="I16" i="109"/>
  <c r="C51" i="108"/>
  <c r="C50" i="108"/>
  <c r="F14" i="133"/>
  <c r="D32" i="108"/>
  <c r="D29" i="108"/>
  <c r="J20" i="133"/>
  <c r="I20" i="133"/>
  <c r="I19" i="133"/>
  <c r="I17" i="133"/>
  <c r="E23" i="133"/>
  <c r="E20" i="133"/>
  <c r="F16" i="133"/>
  <c r="G22" i="133"/>
  <c r="F20" i="133"/>
  <c r="F19" i="133"/>
  <c r="E19" i="133"/>
  <c r="C19" i="133" l="1"/>
  <c r="I8" i="133"/>
  <c r="H16" i="116"/>
  <c r="E14" i="116"/>
  <c r="L66" i="121"/>
  <c r="K8" i="133"/>
  <c r="K2" i="133"/>
  <c r="D75" i="108" l="1"/>
  <c r="E16" i="116"/>
  <c r="C30" i="61" l="1"/>
  <c r="C45" i="108"/>
  <c r="D68" i="108" l="1"/>
  <c r="D70" i="108"/>
  <c r="D71" i="108"/>
  <c r="D72" i="108"/>
  <c r="D73" i="108"/>
  <c r="D74" i="108"/>
  <c r="D76" i="108"/>
  <c r="D77" i="108"/>
  <c r="D78" i="108"/>
  <c r="D79" i="108"/>
  <c r="D80" i="108"/>
  <c r="D81" i="108"/>
  <c r="D82" i="108"/>
  <c r="D83" i="108"/>
  <c r="D66" i="108"/>
  <c r="C4" i="109"/>
  <c r="C46" i="108"/>
  <c r="C47" i="108"/>
  <c r="C6" i="109" s="1"/>
  <c r="C48" i="108"/>
  <c r="D54" i="108"/>
  <c r="D12" i="109" s="1"/>
  <c r="C54" i="108"/>
  <c r="C12" i="109" s="1"/>
  <c r="I38" i="108"/>
  <c r="J38" i="108"/>
  <c r="D38" i="108"/>
  <c r="D33" i="108"/>
  <c r="D69" i="107"/>
  <c r="D28" i="108"/>
  <c r="C5" i="109" l="1"/>
  <c r="D25" i="108"/>
  <c r="I4" i="133"/>
  <c r="J22" i="108"/>
  <c r="J2" i="133"/>
  <c r="D40" i="107"/>
  <c r="D71" i="107"/>
  <c r="D32" i="107"/>
  <c r="D24" i="107"/>
  <c r="C5" i="133"/>
  <c r="H6" i="117"/>
  <c r="H5" i="117"/>
  <c r="H4" i="117"/>
  <c r="H3" i="117"/>
  <c r="V108" i="134"/>
  <c r="U108" i="134"/>
  <c r="Z108" i="134" s="1"/>
  <c r="Z107" i="134"/>
  <c r="Y107" i="134"/>
  <c r="U107" i="134"/>
  <c r="X107" i="134" s="1"/>
  <c r="U106" i="134"/>
  <c r="U105" i="134"/>
  <c r="Z104" i="134"/>
  <c r="Y104" i="134"/>
  <c r="U104" i="134"/>
  <c r="X104" i="134" s="1"/>
  <c r="V103" i="134"/>
  <c r="U103" i="134"/>
  <c r="Z103" i="134" s="1"/>
  <c r="BU99" i="134"/>
  <c r="BR99" i="134"/>
  <c r="BO99" i="134"/>
  <c r="Z98" i="134"/>
  <c r="Y98" i="134"/>
  <c r="X98" i="134"/>
  <c r="W98" i="134"/>
  <c r="V98" i="134"/>
  <c r="Q96" i="134"/>
  <c r="Z95" i="134"/>
  <c r="Y95" i="134"/>
  <c r="X95" i="134"/>
  <c r="W95" i="134"/>
  <c r="V95" i="134"/>
  <c r="Q95" i="134"/>
  <c r="Z94" i="134"/>
  <c r="Y94" i="134"/>
  <c r="X94" i="134"/>
  <c r="W94" i="134"/>
  <c r="V94" i="134"/>
  <c r="BZ93" i="134"/>
  <c r="BY93" i="134"/>
  <c r="BX93" i="134"/>
  <c r="AL92" i="134"/>
  <c r="AS92" i="134" s="1"/>
  <c r="AZ92" i="134" s="1"/>
  <c r="Q92" i="134"/>
  <c r="AL91" i="134"/>
  <c r="V91" i="134"/>
  <c r="AG91" i="134" s="1"/>
  <c r="Q91" i="134"/>
  <c r="R91" i="134" s="1"/>
  <c r="AL90" i="134"/>
  <c r="Q90" i="134"/>
  <c r="V90" i="134" s="1"/>
  <c r="AC90" i="134" s="1"/>
  <c r="AL89" i="134"/>
  <c r="R89" i="134"/>
  <c r="W89" i="134" s="1"/>
  <c r="Q89" i="134"/>
  <c r="V89" i="134" s="1"/>
  <c r="AL88" i="134"/>
  <c r="W88" i="134"/>
  <c r="V88" i="134"/>
  <c r="AF88" i="134" s="1"/>
  <c r="R88" i="134"/>
  <c r="Q88" i="134"/>
  <c r="AL87" i="134"/>
  <c r="Q87" i="134"/>
  <c r="V87" i="134" s="1"/>
  <c r="AL86" i="134"/>
  <c r="W86" i="134"/>
  <c r="V86" i="134"/>
  <c r="Q86" i="134"/>
  <c r="R86" i="134" s="1"/>
  <c r="AL85" i="134"/>
  <c r="Q85" i="134"/>
  <c r="V85" i="134" s="1"/>
  <c r="AG85" i="134" s="1"/>
  <c r="AL84" i="134"/>
  <c r="AS84" i="134" s="1"/>
  <c r="AG84" i="134"/>
  <c r="W84" i="134"/>
  <c r="R84" i="134"/>
  <c r="Q84" i="134"/>
  <c r="V84" i="134" s="1"/>
  <c r="AD84" i="134" s="1"/>
  <c r="AL83" i="134"/>
  <c r="Q83" i="134"/>
  <c r="AL82" i="134"/>
  <c r="Q82" i="134"/>
  <c r="AL81" i="134"/>
  <c r="R81" i="134"/>
  <c r="Q81" i="134"/>
  <c r="V81" i="134" s="1"/>
  <c r="AL80" i="134"/>
  <c r="R80" i="134"/>
  <c r="W80" i="134" s="1"/>
  <c r="Q80" i="134"/>
  <c r="V80" i="134" s="1"/>
  <c r="AC80" i="134" s="1"/>
  <c r="AL79" i="134"/>
  <c r="Q79" i="134"/>
  <c r="AL78" i="134"/>
  <c r="Q78" i="134"/>
  <c r="V78" i="134" s="1"/>
  <c r="AL77" i="134"/>
  <c r="Q77" i="134"/>
  <c r="AL76" i="134"/>
  <c r="AD76" i="134"/>
  <c r="V76" i="134"/>
  <c r="AF76" i="134" s="1"/>
  <c r="Q76" i="134"/>
  <c r="R76" i="134" s="1"/>
  <c r="AL75" i="134"/>
  <c r="Q75" i="134"/>
  <c r="V75" i="134" s="1"/>
  <c r="AG75" i="134" s="1"/>
  <c r="AL74" i="134"/>
  <c r="W74" i="134"/>
  <c r="V74" i="134"/>
  <c r="Q74" i="134"/>
  <c r="R74" i="134" s="1"/>
  <c r="AL73" i="134"/>
  <c r="Q73" i="134"/>
  <c r="AL72" i="134"/>
  <c r="Q72" i="134"/>
  <c r="AL71" i="134"/>
  <c r="Q71" i="134"/>
  <c r="V71" i="134" s="1"/>
  <c r="AL70" i="134"/>
  <c r="Q70" i="134"/>
  <c r="AL69" i="134"/>
  <c r="Q69" i="134"/>
  <c r="R69" i="134" s="1"/>
  <c r="AL68" i="134"/>
  <c r="V68" i="134"/>
  <c r="AD68" i="134" s="1"/>
  <c r="R68" i="134"/>
  <c r="W68" i="134" s="1"/>
  <c r="Q68" i="134"/>
  <c r="AL67" i="134"/>
  <c r="Q67" i="134"/>
  <c r="AL66" i="134"/>
  <c r="V66" i="134"/>
  <c r="Q66" i="134"/>
  <c r="R66" i="134" s="1"/>
  <c r="AL65" i="134"/>
  <c r="Q65" i="134"/>
  <c r="AL64" i="134"/>
  <c r="Q64" i="134"/>
  <c r="V64" i="134" s="1"/>
  <c r="AG64" i="134" s="1"/>
  <c r="AL63" i="134"/>
  <c r="Q63" i="134"/>
  <c r="V63" i="134" s="1"/>
  <c r="AL62" i="134"/>
  <c r="Q62" i="134"/>
  <c r="AL61" i="134"/>
  <c r="Q61" i="134"/>
  <c r="R61" i="134" s="1"/>
  <c r="AL60" i="134"/>
  <c r="Q60" i="134"/>
  <c r="V60" i="134" s="1"/>
  <c r="AL59" i="134"/>
  <c r="Q59" i="134"/>
  <c r="J59" i="134"/>
  <c r="AL58" i="134"/>
  <c r="AF58" i="134"/>
  <c r="Q58" i="134"/>
  <c r="V58" i="134" s="1"/>
  <c r="AC58" i="134" s="1"/>
  <c r="J58" i="134"/>
  <c r="AL57" i="134"/>
  <c r="J57" i="134"/>
  <c r="Q57" i="134" s="1"/>
  <c r="AL56" i="134"/>
  <c r="Q56" i="134"/>
  <c r="R56" i="134" s="1"/>
  <c r="AL55" i="134"/>
  <c r="Q55" i="134"/>
  <c r="R55" i="134" s="1"/>
  <c r="W55" i="134" s="1"/>
  <c r="AL54" i="134"/>
  <c r="Q54" i="134"/>
  <c r="AL53" i="134"/>
  <c r="Q53" i="134"/>
  <c r="V53" i="134" s="1"/>
  <c r="AL52" i="134"/>
  <c r="Q52" i="134"/>
  <c r="V52" i="134" s="1"/>
  <c r="AL51" i="134"/>
  <c r="Q51" i="134"/>
  <c r="R51" i="134" s="1"/>
  <c r="W51" i="134" s="1"/>
  <c r="AL50" i="134"/>
  <c r="AS50" i="134" s="1"/>
  <c r="AZ50" i="134" s="1"/>
  <c r="Q50" i="134"/>
  <c r="V50" i="134" s="1"/>
  <c r="AL49" i="134"/>
  <c r="R49" i="134"/>
  <c r="W49" i="134" s="1"/>
  <c r="Q49" i="134"/>
  <c r="V49" i="134" s="1"/>
  <c r="AL48" i="134"/>
  <c r="AF48" i="134"/>
  <c r="R48" i="134"/>
  <c r="Q48" i="134"/>
  <c r="V48" i="134" s="1"/>
  <c r="AG48" i="134" s="1"/>
  <c r="AL47" i="134"/>
  <c r="Q47" i="134"/>
  <c r="R47" i="134" s="1"/>
  <c r="AL46" i="134"/>
  <c r="R46" i="134"/>
  <c r="W46" i="134" s="1"/>
  <c r="Q46" i="134"/>
  <c r="AL45" i="134"/>
  <c r="Q45" i="134"/>
  <c r="AL44" i="134"/>
  <c r="Q44" i="134"/>
  <c r="V44" i="134" s="1"/>
  <c r="AL43" i="134"/>
  <c r="Q43" i="134"/>
  <c r="V43" i="134" s="1"/>
  <c r="AL42" i="134"/>
  <c r="R42" i="134"/>
  <c r="Q42" i="134"/>
  <c r="V42" i="134" s="1"/>
  <c r="AF42" i="134" s="1"/>
  <c r="AL41" i="134"/>
  <c r="Q41" i="134"/>
  <c r="V41" i="134" s="1"/>
  <c r="AF41" i="134" s="1"/>
  <c r="AL40" i="134"/>
  <c r="Q40" i="134"/>
  <c r="V40" i="134" s="1"/>
  <c r="AL39" i="134"/>
  <c r="Q39" i="134"/>
  <c r="AL38" i="134"/>
  <c r="Q38" i="134"/>
  <c r="R38" i="134" s="1"/>
  <c r="AL37" i="134"/>
  <c r="R37" i="134"/>
  <c r="W37" i="134" s="1"/>
  <c r="Q37" i="134"/>
  <c r="V37" i="134" s="1"/>
  <c r="AC37" i="134" s="1"/>
  <c r="AL36" i="134"/>
  <c r="AS36" i="134" s="1"/>
  <c r="Q36" i="134"/>
  <c r="V36" i="134" s="1"/>
  <c r="AL35" i="134"/>
  <c r="J35" i="134"/>
  <c r="Q35" i="134" s="1"/>
  <c r="AL34" i="134"/>
  <c r="Q34" i="134"/>
  <c r="V34" i="134" s="1"/>
  <c r="J34" i="134"/>
  <c r="AL33" i="134"/>
  <c r="J33" i="134"/>
  <c r="Q33" i="134" s="1"/>
  <c r="AL32" i="134"/>
  <c r="Q32" i="134"/>
  <c r="AL31" i="134"/>
  <c r="V31" i="134"/>
  <c r="AD31" i="134" s="1"/>
  <c r="Q31" i="134"/>
  <c r="R31" i="134" s="1"/>
  <c r="AL30" i="134"/>
  <c r="Q30" i="134"/>
  <c r="AL29" i="134"/>
  <c r="Q29" i="134"/>
  <c r="R29" i="134" s="1"/>
  <c r="AL28" i="134"/>
  <c r="V28" i="134"/>
  <c r="Q28" i="134"/>
  <c r="R28" i="134" s="1"/>
  <c r="W28" i="134" s="1"/>
  <c r="AL27" i="134"/>
  <c r="Q27" i="134"/>
  <c r="R27" i="134" s="1"/>
  <c r="W27" i="134" s="1"/>
  <c r="AL26" i="134"/>
  <c r="Q26" i="134"/>
  <c r="R26" i="134" s="1"/>
  <c r="W26" i="134" s="1"/>
  <c r="AL25" i="134"/>
  <c r="Q25" i="134"/>
  <c r="AL24" i="134"/>
  <c r="Q24" i="134"/>
  <c r="V24" i="134" s="1"/>
  <c r="AL23" i="134"/>
  <c r="Q23" i="134"/>
  <c r="AL22" i="134"/>
  <c r="AS22" i="134" s="1"/>
  <c r="Q22" i="134"/>
  <c r="R22" i="134" s="1"/>
  <c r="AL21" i="134"/>
  <c r="AS21" i="134" s="1"/>
  <c r="V21" i="134"/>
  <c r="AD21" i="134" s="1"/>
  <c r="R21" i="134"/>
  <c r="W21" i="134" s="1"/>
  <c r="Q21" i="134"/>
  <c r="AL20" i="134"/>
  <c r="Q20" i="134"/>
  <c r="R20" i="134" s="1"/>
  <c r="W20" i="134" s="1"/>
  <c r="AL19" i="134"/>
  <c r="Q19" i="134"/>
  <c r="V19" i="134" s="1"/>
  <c r="AG19" i="134" s="1"/>
  <c r="AL18" i="134"/>
  <c r="Q18" i="134"/>
  <c r="V18" i="134" s="1"/>
  <c r="AF18" i="134" s="1"/>
  <c r="AL17" i="134"/>
  <c r="AS17" i="134" s="1"/>
  <c r="V17" i="134"/>
  <c r="AF17" i="134" s="1"/>
  <c r="R17" i="134"/>
  <c r="S17" i="134" s="1"/>
  <c r="X17" i="134" s="1"/>
  <c r="Q17" i="134"/>
  <c r="AS16" i="134"/>
  <c r="AZ16" i="134" s="1"/>
  <c r="BG16" i="134" s="1"/>
  <c r="AL16" i="134"/>
  <c r="Q16" i="134"/>
  <c r="AL15" i="134"/>
  <c r="AS15" i="134" s="1"/>
  <c r="Q15" i="134"/>
  <c r="R15" i="134" s="1"/>
  <c r="AL14" i="134"/>
  <c r="AS14" i="134" s="1"/>
  <c r="Q14" i="134"/>
  <c r="R14" i="134" s="1"/>
  <c r="W14" i="134" s="1"/>
  <c r="AL13" i="134"/>
  <c r="AS13" i="134" s="1"/>
  <c r="Q13" i="134"/>
  <c r="V13" i="134" s="1"/>
  <c r="AL12" i="134"/>
  <c r="Q12" i="134"/>
  <c r="R12" i="134" s="1"/>
  <c r="S12" i="134" s="1"/>
  <c r="AL11" i="134"/>
  <c r="AS11" i="134" s="1"/>
  <c r="AZ11" i="134" s="1"/>
  <c r="BG11" i="134" s="1"/>
  <c r="Q11" i="134"/>
  <c r="V11" i="134" s="1"/>
  <c r="AG11" i="134" s="1"/>
  <c r="A11" i="134"/>
  <c r="A12" i="134" s="1"/>
  <c r="A13" i="134" s="1"/>
  <c r="A14" i="134" s="1"/>
  <c r="A15" i="134" s="1"/>
  <c r="A16" i="134" s="1"/>
  <c r="A17" i="134" s="1"/>
  <c r="A18" i="134" s="1"/>
  <c r="A19" i="134" s="1"/>
  <c r="A20" i="134" s="1"/>
  <c r="A21" i="134" s="1"/>
  <c r="A22" i="134" s="1"/>
  <c r="A23" i="134" s="1"/>
  <c r="A24" i="134" s="1"/>
  <c r="A25" i="134" s="1"/>
  <c r="A26" i="134" s="1"/>
  <c r="A27" i="134" s="1"/>
  <c r="A28" i="134" s="1"/>
  <c r="A29" i="134" s="1"/>
  <c r="A30" i="134" s="1"/>
  <c r="A31" i="134" s="1"/>
  <c r="A32" i="134" s="1"/>
  <c r="A33" i="134" s="1"/>
  <c r="A34" i="134" s="1"/>
  <c r="A35" i="134" s="1"/>
  <c r="A36" i="134" s="1"/>
  <c r="A37" i="134" s="1"/>
  <c r="A38" i="134" s="1"/>
  <c r="A39" i="134" s="1"/>
  <c r="A40" i="134" s="1"/>
  <c r="A41" i="134" s="1"/>
  <c r="A42" i="134" s="1"/>
  <c r="A43" i="134" s="1"/>
  <c r="A44" i="134" s="1"/>
  <c r="A45" i="134" s="1"/>
  <c r="A46" i="134" s="1"/>
  <c r="A47" i="134" s="1"/>
  <c r="A48" i="134" s="1"/>
  <c r="A49" i="134" s="1"/>
  <c r="A50" i="134" s="1"/>
  <c r="A51" i="134" s="1"/>
  <c r="A52" i="134" s="1"/>
  <c r="A53" i="134" s="1"/>
  <c r="A54" i="134" s="1"/>
  <c r="A55" i="134" s="1"/>
  <c r="A56" i="134" s="1"/>
  <c r="A57" i="134" s="1"/>
  <c r="A58" i="134" s="1"/>
  <c r="A59" i="134" s="1"/>
  <c r="A60" i="134" s="1"/>
  <c r="A61" i="134" s="1"/>
  <c r="A62" i="134" s="1"/>
  <c r="A63" i="134" s="1"/>
  <c r="A64" i="134" s="1"/>
  <c r="A65" i="134" s="1"/>
  <c r="A66" i="134" s="1"/>
  <c r="A67" i="134" s="1"/>
  <c r="A68" i="134" s="1"/>
  <c r="A69" i="134" s="1"/>
  <c r="A70" i="134" s="1"/>
  <c r="A71" i="134" s="1"/>
  <c r="A72" i="134" s="1"/>
  <c r="A73" i="134" s="1"/>
  <c r="A74" i="134" s="1"/>
  <c r="A75" i="134" s="1"/>
  <c r="A76" i="134" s="1"/>
  <c r="A77" i="134" s="1"/>
  <c r="A78" i="134" s="1"/>
  <c r="A79" i="134" s="1"/>
  <c r="A80" i="134" s="1"/>
  <c r="A81" i="134" s="1"/>
  <c r="A82" i="134" s="1"/>
  <c r="A83" i="134" s="1"/>
  <c r="A84" i="134" s="1"/>
  <c r="A85" i="134" s="1"/>
  <c r="A86" i="134" s="1"/>
  <c r="A87" i="134" s="1"/>
  <c r="A88" i="134" s="1"/>
  <c r="A89" i="134" s="1"/>
  <c r="A90" i="134" s="1"/>
  <c r="A91" i="134" s="1"/>
  <c r="A92" i="134" s="1"/>
  <c r="AL10" i="134"/>
  <c r="Q10" i="134"/>
  <c r="V10" i="134" s="1"/>
  <c r="AF10" i="134" s="1"/>
  <c r="P5" i="134"/>
  <c r="O5" i="134"/>
  <c r="N5" i="134"/>
  <c r="M5" i="134"/>
  <c r="BG3" i="134"/>
  <c r="AZ3" i="134"/>
  <c r="AZ14" i="134" s="1"/>
  <c r="AY3" i="134"/>
  <c r="BF3" i="134" s="1"/>
  <c r="AU3" i="134"/>
  <c r="BB3" i="134" s="1"/>
  <c r="BI3" i="134" s="1"/>
  <c r="AS3" i="134"/>
  <c r="AS33" i="134" s="1"/>
  <c r="AR3" i="134"/>
  <c r="AN3" i="134"/>
  <c r="AK3" i="134"/>
  <c r="AI3" i="134"/>
  <c r="S3" i="134"/>
  <c r="P2" i="134"/>
  <c r="O2" i="134"/>
  <c r="N2" i="134"/>
  <c r="M2" i="134"/>
  <c r="L2" i="134"/>
  <c r="L1" i="134"/>
  <c r="D11" i="116"/>
  <c r="AM68" i="134" l="1"/>
  <c r="AC10" i="134"/>
  <c r="AD60" i="134"/>
  <c r="AF60" i="134"/>
  <c r="AD91" i="134"/>
  <c r="R40" i="134"/>
  <c r="W40" i="134" s="1"/>
  <c r="R43" i="134"/>
  <c r="W43" i="134" s="1"/>
  <c r="AC76" i="134"/>
  <c r="AB76" i="134" s="1"/>
  <c r="R11" i="134"/>
  <c r="S11" i="134" s="1"/>
  <c r="R60" i="134"/>
  <c r="W60" i="134" s="1"/>
  <c r="AM60" i="134" s="1"/>
  <c r="AC11" i="134"/>
  <c r="AM74" i="134"/>
  <c r="AG50" i="134"/>
  <c r="AC50" i="134"/>
  <c r="AF36" i="134"/>
  <c r="AG36" i="134"/>
  <c r="AD40" i="134"/>
  <c r="AF40" i="134"/>
  <c r="AF63" i="134"/>
  <c r="AD63" i="134"/>
  <c r="AC52" i="134"/>
  <c r="AF52" i="134"/>
  <c r="AG52" i="134"/>
  <c r="AG43" i="134"/>
  <c r="AF43" i="134"/>
  <c r="AC43" i="134"/>
  <c r="AJ43" i="134" s="1"/>
  <c r="AM37" i="134"/>
  <c r="AG13" i="134"/>
  <c r="AD13" i="134"/>
  <c r="AC49" i="134"/>
  <c r="AF49" i="134"/>
  <c r="AG49" i="134"/>
  <c r="AC53" i="134"/>
  <c r="AD53" i="134"/>
  <c r="AG24" i="134"/>
  <c r="AD24" i="134"/>
  <c r="AC24" i="134"/>
  <c r="AC34" i="134"/>
  <c r="AG44" i="134"/>
  <c r="AD44" i="134"/>
  <c r="AC44" i="134"/>
  <c r="AB44" i="134" s="1"/>
  <c r="R63" i="134"/>
  <c r="W63" i="134" s="1"/>
  <c r="AM63" i="134" s="1"/>
  <c r="V20" i="134"/>
  <c r="AM20" i="134" s="1"/>
  <c r="AF31" i="134"/>
  <c r="R34" i="134"/>
  <c r="R44" i="134"/>
  <c r="S44" i="134" s="1"/>
  <c r="AM84" i="134"/>
  <c r="AC88" i="134"/>
  <c r="AJ88" i="134" s="1"/>
  <c r="R90" i="134"/>
  <c r="W90" i="134" s="1"/>
  <c r="AH90" i="134" s="1"/>
  <c r="R18" i="134"/>
  <c r="V56" i="134"/>
  <c r="R64" i="134"/>
  <c r="R13" i="134"/>
  <c r="W13" i="134" s="1"/>
  <c r="AM13" i="134" s="1"/>
  <c r="AM21" i="134"/>
  <c r="R24" i="134"/>
  <c r="R36" i="134"/>
  <c r="W36" i="134" s="1"/>
  <c r="R41" i="134"/>
  <c r="S41" i="134" s="1"/>
  <c r="R50" i="134"/>
  <c r="V69" i="134"/>
  <c r="R87" i="134"/>
  <c r="AM28" i="134"/>
  <c r="AJ37" i="134"/>
  <c r="R19" i="134"/>
  <c r="S19" i="134" s="1"/>
  <c r="X19" i="134" s="1"/>
  <c r="AD28" i="134"/>
  <c r="AJ49" i="134"/>
  <c r="V12" i="134"/>
  <c r="AC19" i="134"/>
  <c r="V22" i="134"/>
  <c r="AD22" i="134" s="1"/>
  <c r="V27" i="134"/>
  <c r="AD27" i="134" s="1"/>
  <c r="R52" i="134"/>
  <c r="W52" i="134" s="1"/>
  <c r="AJ52" i="134" s="1"/>
  <c r="R53" i="134"/>
  <c r="W53" i="134" s="1"/>
  <c r="V55" i="134"/>
  <c r="AF55" i="134" s="1"/>
  <c r="V29" i="134"/>
  <c r="AF29" i="134" s="1"/>
  <c r="BG14" i="134"/>
  <c r="X12" i="134"/>
  <c r="AZ33" i="134"/>
  <c r="V57" i="134"/>
  <c r="R57" i="134"/>
  <c r="S27" i="134"/>
  <c r="R16" i="134"/>
  <c r="V16" i="134"/>
  <c r="AZ22" i="134"/>
  <c r="AS23" i="134"/>
  <c r="AZ84" i="134"/>
  <c r="AZ36" i="134"/>
  <c r="W17" i="134"/>
  <c r="AT17" i="134" s="1"/>
  <c r="W15" i="134"/>
  <c r="S15" i="134"/>
  <c r="S20" i="134"/>
  <c r="S88" i="134"/>
  <c r="S84" i="134"/>
  <c r="S68" i="134"/>
  <c r="S40" i="134"/>
  <c r="S55" i="134"/>
  <c r="S28" i="134"/>
  <c r="T3" i="134"/>
  <c r="U3" i="134" s="1"/>
  <c r="S26" i="134"/>
  <c r="T17" i="134"/>
  <c r="AG18" i="134"/>
  <c r="AD18" i="134"/>
  <c r="V99" i="134"/>
  <c r="AG10" i="134"/>
  <c r="AD10" i="134"/>
  <c r="S14" i="134"/>
  <c r="V15" i="134"/>
  <c r="S18" i="134"/>
  <c r="R10" i="134"/>
  <c r="AS10" i="134"/>
  <c r="AS12" i="134"/>
  <c r="AF13" i="134"/>
  <c r="AC13" i="134"/>
  <c r="AZ13" i="134"/>
  <c r="V14" i="134"/>
  <c r="AM14" i="134" s="1"/>
  <c r="AZ17" i="134"/>
  <c r="W18" i="134"/>
  <c r="AS19" i="134"/>
  <c r="W24" i="134"/>
  <c r="AJ24" i="134" s="1"/>
  <c r="S24" i="134"/>
  <c r="R25" i="134"/>
  <c r="V25" i="134"/>
  <c r="AF11" i="134"/>
  <c r="AD11" i="134"/>
  <c r="AM18" i="134"/>
  <c r="AS18" i="134"/>
  <c r="W11" i="134"/>
  <c r="AJ11" i="134" s="1"/>
  <c r="AP3" i="134"/>
  <c r="W12" i="134"/>
  <c r="S21" i="134"/>
  <c r="S22" i="134"/>
  <c r="W22" i="134"/>
  <c r="V23" i="134"/>
  <c r="R23" i="134"/>
  <c r="S56" i="134"/>
  <c r="W56" i="134"/>
  <c r="AZ15" i="134"/>
  <c r="AC18" i="134"/>
  <c r="AF19" i="134"/>
  <c r="AD19" i="134"/>
  <c r="AG21" i="134"/>
  <c r="AF21" i="134"/>
  <c r="AC21" i="134"/>
  <c r="AH21" i="134" s="1"/>
  <c r="AK21" i="134" s="1"/>
  <c r="AZ21" i="134"/>
  <c r="AC22" i="134"/>
  <c r="AF22" i="134"/>
  <c r="S31" i="134"/>
  <c r="W31" i="134"/>
  <c r="V33" i="134"/>
  <c r="R33" i="134"/>
  <c r="AG17" i="134"/>
  <c r="AF24" i="134"/>
  <c r="AG31" i="134"/>
  <c r="AC31" i="134"/>
  <c r="AH31" i="134" s="1"/>
  <c r="AK31" i="134" s="1"/>
  <c r="AS31" i="134"/>
  <c r="V39" i="134"/>
  <c r="R39" i="134"/>
  <c r="AS39" i="134"/>
  <c r="AS26" i="134"/>
  <c r="AG34" i="134"/>
  <c r="AF34" i="134"/>
  <c r="AD34" i="134"/>
  <c r="AH37" i="134"/>
  <c r="AK37" i="134" s="1"/>
  <c r="AI37" i="134" s="1"/>
  <c r="AG37" i="134"/>
  <c r="AF37" i="134"/>
  <c r="AD37" i="134"/>
  <c r="S50" i="134"/>
  <c r="R67" i="134"/>
  <c r="V67" i="134"/>
  <c r="AS80" i="134"/>
  <c r="AS87" i="134"/>
  <c r="AS73" i="134"/>
  <c r="AS64" i="134"/>
  <c r="AS77" i="134"/>
  <c r="AS69" i="134"/>
  <c r="AS72" i="134"/>
  <c r="AS71" i="134"/>
  <c r="AS76" i="134"/>
  <c r="AS79" i="134"/>
  <c r="AS65" i="134"/>
  <c r="AS56" i="134"/>
  <c r="AS51" i="134"/>
  <c r="AS48" i="134"/>
  <c r="AS54" i="134"/>
  <c r="AS63" i="134"/>
  <c r="AS62" i="134"/>
  <c r="AS61" i="134"/>
  <c r="AS60" i="134"/>
  <c r="AS59" i="134"/>
  <c r="AS83" i="134"/>
  <c r="AS75" i="134"/>
  <c r="AS66" i="134"/>
  <c r="AS55" i="134"/>
  <c r="AS67" i="134"/>
  <c r="AS42" i="134"/>
  <c r="AS40" i="134"/>
  <c r="AS27" i="134"/>
  <c r="AS20" i="134"/>
  <c r="AS25" i="134"/>
  <c r="AG28" i="134"/>
  <c r="AC28" i="134"/>
  <c r="AH28" i="134" s="1"/>
  <c r="AF28" i="134"/>
  <c r="AS28" i="134"/>
  <c r="V30" i="134"/>
  <c r="R30" i="134"/>
  <c r="V32" i="134"/>
  <c r="R32" i="134"/>
  <c r="AS41" i="134"/>
  <c r="AS30" i="134"/>
  <c r="AS37" i="134"/>
  <c r="AC17" i="134"/>
  <c r="AH17" i="134" s="1"/>
  <c r="AS29" i="134"/>
  <c r="AS34" i="134"/>
  <c r="AD17" i="134"/>
  <c r="AB24" i="134"/>
  <c r="AS35" i="134"/>
  <c r="S42" i="134"/>
  <c r="W42" i="134"/>
  <c r="AS24" i="134"/>
  <c r="R35" i="134"/>
  <c r="V35" i="134"/>
  <c r="S38" i="134"/>
  <c r="W38" i="134"/>
  <c r="AC56" i="134"/>
  <c r="AH56" i="134"/>
  <c r="AG56" i="134"/>
  <c r="AM56" i="134"/>
  <c r="AF56" i="134"/>
  <c r="AD56" i="134"/>
  <c r="V26" i="134"/>
  <c r="S29" i="134"/>
  <c r="W29" i="134"/>
  <c r="AS32" i="134"/>
  <c r="AS38" i="134"/>
  <c r="AM36" i="134"/>
  <c r="S37" i="134"/>
  <c r="V38" i="134"/>
  <c r="AM38" i="134" s="1"/>
  <c r="AM43" i="134"/>
  <c r="AS43" i="134"/>
  <c r="S43" i="134"/>
  <c r="AG40" i="134"/>
  <c r="AC40" i="134"/>
  <c r="AH40" i="134" s="1"/>
  <c r="AS44" i="134"/>
  <c r="V45" i="134"/>
  <c r="R45" i="134"/>
  <c r="AF50" i="134"/>
  <c r="AS53" i="134"/>
  <c r="AD42" i="134"/>
  <c r="AC42" i="134"/>
  <c r="AH42" i="134" s="1"/>
  <c r="AG42" i="134"/>
  <c r="AS46" i="134"/>
  <c r="S47" i="134"/>
  <c r="AD48" i="134"/>
  <c r="AC48" i="134"/>
  <c r="W66" i="134"/>
  <c r="S66" i="134"/>
  <c r="S46" i="134"/>
  <c r="S48" i="134"/>
  <c r="AF44" i="134"/>
  <c r="AS47" i="134"/>
  <c r="W48" i="134"/>
  <c r="S49" i="134"/>
  <c r="AD50" i="134"/>
  <c r="V51" i="134"/>
  <c r="S53" i="134"/>
  <c r="V54" i="134"/>
  <c r="R54" i="134"/>
  <c r="AC36" i="134"/>
  <c r="AM40" i="134"/>
  <c r="AM42" i="134"/>
  <c r="W47" i="134"/>
  <c r="S51" i="134"/>
  <c r="AD36" i="134"/>
  <c r="AG41" i="134"/>
  <c r="AD41" i="134"/>
  <c r="AC41" i="134"/>
  <c r="AH49" i="134"/>
  <c r="AM49" i="134"/>
  <c r="AS49" i="134"/>
  <c r="BG50" i="134"/>
  <c r="AG53" i="134"/>
  <c r="AF53" i="134"/>
  <c r="AJ60" i="134"/>
  <c r="V47" i="134"/>
  <c r="W50" i="134"/>
  <c r="AS52" i="134"/>
  <c r="AC64" i="134"/>
  <c r="AF64" i="134"/>
  <c r="AD64" i="134"/>
  <c r="AM64" i="134"/>
  <c r="AG66" i="134"/>
  <c r="AF66" i="134"/>
  <c r="AC66" i="134"/>
  <c r="AD43" i="134"/>
  <c r="AB43" i="134" s="1"/>
  <c r="AS45" i="134"/>
  <c r="AD49" i="134"/>
  <c r="AD52" i="134"/>
  <c r="AS57" i="134"/>
  <c r="AG58" i="134"/>
  <c r="AD58" i="134"/>
  <c r="R59" i="134"/>
  <c r="V59" i="134"/>
  <c r="R62" i="134"/>
  <c r="V62" i="134"/>
  <c r="S64" i="134"/>
  <c r="AG68" i="134"/>
  <c r="AF68" i="134"/>
  <c r="AF69" i="134"/>
  <c r="AC69" i="134"/>
  <c r="AG69" i="134"/>
  <c r="AS81" i="134"/>
  <c r="R58" i="134"/>
  <c r="S60" i="134"/>
  <c r="W61" i="134"/>
  <c r="S61" i="134"/>
  <c r="W64" i="134"/>
  <c r="AD66" i="134"/>
  <c r="AC68" i="134"/>
  <c r="AD69" i="134"/>
  <c r="W76" i="134"/>
  <c r="AM76" i="134" s="1"/>
  <c r="S76" i="134"/>
  <c r="V77" i="134"/>
  <c r="R77" i="134"/>
  <c r="AS58" i="134"/>
  <c r="V65" i="134"/>
  <c r="R65" i="134"/>
  <c r="AC60" i="134"/>
  <c r="AG60" i="134"/>
  <c r="V61" i="134"/>
  <c r="AC63" i="134"/>
  <c r="AH63" i="134" s="1"/>
  <c r="AG63" i="134"/>
  <c r="AS70" i="134"/>
  <c r="S74" i="134"/>
  <c r="R82" i="134"/>
  <c r="V82" i="134"/>
  <c r="AM88" i="134"/>
  <c r="AS88" i="134"/>
  <c r="AS68" i="134"/>
  <c r="R70" i="134"/>
  <c r="V70" i="134"/>
  <c r="R73" i="134"/>
  <c r="V73" i="134"/>
  <c r="AG74" i="134"/>
  <c r="AD74" i="134"/>
  <c r="AF74" i="134"/>
  <c r="AC74" i="134"/>
  <c r="AJ74" i="134" s="1"/>
  <c r="AS78" i="134"/>
  <c r="AM89" i="134"/>
  <c r="AD89" i="134"/>
  <c r="AC89" i="134"/>
  <c r="AH89" i="134"/>
  <c r="AK89" i="134" s="1"/>
  <c r="AF89" i="134"/>
  <c r="AG89" i="134"/>
  <c r="AC71" i="134"/>
  <c r="AG71" i="134"/>
  <c r="AF71" i="134"/>
  <c r="AD71" i="134"/>
  <c r="V72" i="134"/>
  <c r="R72" i="134"/>
  <c r="AS74" i="134"/>
  <c r="W69" i="134"/>
  <c r="S69" i="134"/>
  <c r="AG78" i="134"/>
  <c r="AF78" i="134"/>
  <c r="R78" i="134"/>
  <c r="S80" i="134"/>
  <c r="AG81" i="134"/>
  <c r="AF81" i="134"/>
  <c r="AD81" i="134"/>
  <c r="AC81" i="134"/>
  <c r="AS82" i="134"/>
  <c r="AF75" i="134"/>
  <c r="AD75" i="134"/>
  <c r="AC75" i="134"/>
  <c r="W81" i="134"/>
  <c r="S81" i="134"/>
  <c r="AS85" i="134"/>
  <c r="BG92" i="134"/>
  <c r="R71" i="134"/>
  <c r="R75" i="134"/>
  <c r="AJ80" i="134"/>
  <c r="AH80" i="134"/>
  <c r="AK80" i="134" s="1"/>
  <c r="AC78" i="134"/>
  <c r="R79" i="134"/>
  <c r="V79" i="134"/>
  <c r="AD78" i="134"/>
  <c r="AG76" i="134"/>
  <c r="V83" i="134"/>
  <c r="R83" i="134"/>
  <c r="AC86" i="134"/>
  <c r="AH86" i="134" s="1"/>
  <c r="AG86" i="134"/>
  <c r="AD86" i="134"/>
  <c r="AM86" i="134"/>
  <c r="AF86" i="134"/>
  <c r="AG80" i="134"/>
  <c r="S86" i="134"/>
  <c r="AS89" i="134"/>
  <c r="AG90" i="134"/>
  <c r="AF90" i="134"/>
  <c r="AD90" i="134"/>
  <c r="AF91" i="134"/>
  <c r="AC91" i="134"/>
  <c r="AS91" i="134"/>
  <c r="V92" i="134"/>
  <c r="R92" i="134"/>
  <c r="AM80" i="134"/>
  <c r="AD80" i="134"/>
  <c r="AB80" i="134" s="1"/>
  <c r="W87" i="134"/>
  <c r="AM87" i="134" s="1"/>
  <c r="S87" i="134"/>
  <c r="AF80" i="134"/>
  <c r="S89" i="134"/>
  <c r="AS90" i="134"/>
  <c r="S91" i="134"/>
  <c r="W91" i="134"/>
  <c r="AJ91" i="134" s="1"/>
  <c r="AJ89" i="134"/>
  <c r="AC84" i="134"/>
  <c r="AJ84" i="134" s="1"/>
  <c r="AF85" i="134"/>
  <c r="AD85" i="134"/>
  <c r="AC85" i="134"/>
  <c r="AF84" i="134"/>
  <c r="R85" i="134"/>
  <c r="AS86" i="134"/>
  <c r="AG87" i="134"/>
  <c r="AF87" i="134"/>
  <c r="AD87" i="134"/>
  <c r="AC87" i="134"/>
  <c r="AD88" i="134"/>
  <c r="AG88" i="134"/>
  <c r="W103" i="134"/>
  <c r="W108" i="134"/>
  <c r="X103" i="134"/>
  <c r="V104" i="134"/>
  <c r="V107" i="134"/>
  <c r="X108" i="134"/>
  <c r="Y103" i="134"/>
  <c r="W104" i="134"/>
  <c r="W107" i="134"/>
  <c r="Y108" i="134"/>
  <c r="AB52" i="134" l="1"/>
  <c r="AH50" i="134"/>
  <c r="AK50" i="134" s="1"/>
  <c r="AJ48" i="134"/>
  <c r="AB34" i="134"/>
  <c r="AG29" i="134"/>
  <c r="AH76" i="134"/>
  <c r="AB53" i="134"/>
  <c r="AH53" i="134"/>
  <c r="AN53" i="134" s="1"/>
  <c r="AG55" i="134"/>
  <c r="V106" i="134"/>
  <c r="AM47" i="134"/>
  <c r="AM17" i="134"/>
  <c r="AJ90" i="134"/>
  <c r="AI90" i="134" s="1"/>
  <c r="AJ69" i="134"/>
  <c r="AH64" i="134"/>
  <c r="AN64" i="134" s="1"/>
  <c r="W44" i="134"/>
  <c r="AH44" i="134" s="1"/>
  <c r="AK44" i="134" s="1"/>
  <c r="AJ42" i="134"/>
  <c r="AO42" i="134" s="1"/>
  <c r="AR42" i="134" s="1"/>
  <c r="AG22" i="134"/>
  <c r="AH13" i="134"/>
  <c r="AN13" i="134" s="1"/>
  <c r="AM90" i="134"/>
  <c r="S90" i="134"/>
  <c r="X90" i="134" s="1"/>
  <c r="AT90" i="134" s="1"/>
  <c r="AD55" i="134"/>
  <c r="AH43" i="134"/>
  <c r="AK43" i="134" s="1"/>
  <c r="AG27" i="134"/>
  <c r="W19" i="134"/>
  <c r="AJ19" i="134" s="1"/>
  <c r="W34" i="134"/>
  <c r="S34" i="134"/>
  <c r="AC55" i="134"/>
  <c r="AH55" i="134" s="1"/>
  <c r="AH48" i="134"/>
  <c r="AK48" i="134" s="1"/>
  <c r="AM27" i="134"/>
  <c r="AJ18" i="134"/>
  <c r="S36" i="134"/>
  <c r="T36" i="134" s="1"/>
  <c r="W41" i="134"/>
  <c r="AM41" i="134" s="1"/>
  <c r="AF27" i="134"/>
  <c r="AM24" i="134"/>
  <c r="S13" i="134"/>
  <c r="T13" i="134" s="1"/>
  <c r="S52" i="134"/>
  <c r="AD12" i="134"/>
  <c r="AC12" i="134"/>
  <c r="AB12" i="134" s="1"/>
  <c r="AF12" i="134"/>
  <c r="AG12" i="134"/>
  <c r="AM52" i="134"/>
  <c r="AD20" i="134"/>
  <c r="AG20" i="134"/>
  <c r="AF20" i="134"/>
  <c r="AC20" i="134"/>
  <c r="AH74" i="134"/>
  <c r="S63" i="134"/>
  <c r="X63" i="134" s="1"/>
  <c r="AT63" i="134" s="1"/>
  <c r="AM55" i="134"/>
  <c r="AH88" i="134"/>
  <c r="AK88" i="134" s="1"/>
  <c r="AI88" i="134" s="1"/>
  <c r="AJ40" i="134"/>
  <c r="AO40" i="134" s="1"/>
  <c r="AR40" i="134" s="1"/>
  <c r="AC27" i="134"/>
  <c r="AH27" i="134" s="1"/>
  <c r="AH24" i="134"/>
  <c r="AK24" i="134" s="1"/>
  <c r="AI24" i="134" s="1"/>
  <c r="AD29" i="134"/>
  <c r="AC29" i="134"/>
  <c r="AH52" i="134"/>
  <c r="BX52" i="134"/>
  <c r="AN50" i="134"/>
  <c r="BX80" i="134"/>
  <c r="AN28" i="134"/>
  <c r="AK28" i="134"/>
  <c r="AN86" i="134"/>
  <c r="AK86" i="134"/>
  <c r="AN42" i="134"/>
  <c r="AK42" i="134"/>
  <c r="AN40" i="134"/>
  <c r="AK40" i="134"/>
  <c r="AB85" i="134"/>
  <c r="W78" i="134"/>
  <c r="S78" i="134"/>
  <c r="AZ88" i="134"/>
  <c r="T44" i="134"/>
  <c r="X44" i="134"/>
  <c r="AZ38" i="134"/>
  <c r="T20" i="134"/>
  <c r="X20" i="134"/>
  <c r="AZ86" i="134"/>
  <c r="AB91" i="134"/>
  <c r="AO90" i="134"/>
  <c r="AN90" i="134"/>
  <c r="AN76" i="134"/>
  <c r="AI80" i="134"/>
  <c r="X81" i="134"/>
  <c r="T81" i="134"/>
  <c r="AN63" i="134"/>
  <c r="AB60" i="134"/>
  <c r="AZ58" i="134"/>
  <c r="AZ81" i="134"/>
  <c r="AT81" i="134"/>
  <c r="AZ45" i="134"/>
  <c r="AB50" i="134"/>
  <c r="BX43" i="134"/>
  <c r="AZ53" i="134"/>
  <c r="W45" i="134"/>
  <c r="S45" i="134"/>
  <c r="AZ32" i="134"/>
  <c r="AN56" i="134"/>
  <c r="AZ24" i="134"/>
  <c r="AZ29" i="134"/>
  <c r="AT29" i="134"/>
  <c r="AJ28" i="134"/>
  <c r="AO28" i="134" s="1"/>
  <c r="AZ75" i="134"/>
  <c r="AZ48" i="134"/>
  <c r="AZ69" i="134"/>
  <c r="T50" i="134"/>
  <c r="X50" i="134"/>
  <c r="AT50" i="134" s="1"/>
  <c r="AN17" i="134"/>
  <c r="AK17" i="134"/>
  <c r="AF39" i="134"/>
  <c r="AD39" i="134"/>
  <c r="AC39" i="134"/>
  <c r="AG39" i="134"/>
  <c r="AJ12" i="134"/>
  <c r="W25" i="134"/>
  <c r="S25" i="134"/>
  <c r="S10" i="134"/>
  <c r="W10" i="134"/>
  <c r="T26" i="134"/>
  <c r="X26" i="134"/>
  <c r="T84" i="134"/>
  <c r="X84" i="134"/>
  <c r="T15" i="134"/>
  <c r="X15" i="134"/>
  <c r="AZ23" i="134"/>
  <c r="AB88" i="134"/>
  <c r="AB68" i="134"/>
  <c r="AZ49" i="134"/>
  <c r="AZ34" i="134"/>
  <c r="AZ66" i="134"/>
  <c r="AZ72" i="134"/>
  <c r="W85" i="134"/>
  <c r="AH85" i="134" s="1"/>
  <c r="S85" i="134"/>
  <c r="T91" i="134"/>
  <c r="X91" i="134"/>
  <c r="AQ91" i="134" s="1"/>
  <c r="AZ89" i="134"/>
  <c r="AJ81" i="134"/>
  <c r="AM81" i="134"/>
  <c r="AB81" i="134"/>
  <c r="AZ74" i="134"/>
  <c r="AB71" i="134"/>
  <c r="AF73" i="134"/>
  <c r="AD73" i="134"/>
  <c r="AG73" i="134"/>
  <c r="O101" i="134" s="1"/>
  <c r="AC73" i="134"/>
  <c r="AG82" i="134"/>
  <c r="AD82" i="134"/>
  <c r="AF82" i="134"/>
  <c r="AC82" i="134"/>
  <c r="AJ64" i="134"/>
  <c r="AH68" i="134"/>
  <c r="AJ53" i="134"/>
  <c r="AO53" i="134" s="1"/>
  <c r="AR53" i="134" s="1"/>
  <c r="AM53" i="134"/>
  <c r="AO49" i="134"/>
  <c r="AN49" i="134"/>
  <c r="BX76" i="134"/>
  <c r="X49" i="134"/>
  <c r="T49" i="134"/>
  <c r="T48" i="134"/>
  <c r="X48" i="134"/>
  <c r="AT48" i="134" s="1"/>
  <c r="AB48" i="134"/>
  <c r="AF45" i="134"/>
  <c r="AD45" i="134"/>
  <c r="M100" i="134" s="1"/>
  <c r="AC45" i="134"/>
  <c r="AG45" i="134"/>
  <c r="X43" i="134"/>
  <c r="T43" i="134"/>
  <c r="AF38" i="134"/>
  <c r="AC38" i="134"/>
  <c r="AG38" i="134"/>
  <c r="AD38" i="134"/>
  <c r="AJ29" i="134"/>
  <c r="AM29" i="134"/>
  <c r="AB17" i="134"/>
  <c r="AZ41" i="134"/>
  <c r="W30" i="134"/>
  <c r="AM30" i="134" s="1"/>
  <c r="S30" i="134"/>
  <c r="AZ83" i="134"/>
  <c r="AZ51" i="134"/>
  <c r="AZ77" i="134"/>
  <c r="AZ31" i="134"/>
  <c r="AB22" i="134"/>
  <c r="AH22" i="134"/>
  <c r="AH19" i="134"/>
  <c r="AJ56" i="134"/>
  <c r="AO56" i="134" s="1"/>
  <c r="AJ13" i="134"/>
  <c r="AB11" i="134"/>
  <c r="BG17" i="134"/>
  <c r="BG36" i="134"/>
  <c r="AJ41" i="134"/>
  <c r="BG33" i="134"/>
  <c r="AG65" i="134"/>
  <c r="AF65" i="134"/>
  <c r="AD65" i="134"/>
  <c r="AC65" i="134"/>
  <c r="AO88" i="134"/>
  <c r="AN88" i="134"/>
  <c r="AZ90" i="134"/>
  <c r="W92" i="134"/>
  <c r="S92" i="134"/>
  <c r="AH91" i="134"/>
  <c r="T86" i="134"/>
  <c r="X86" i="134"/>
  <c r="AT86" i="134" s="1"/>
  <c r="W75" i="134"/>
  <c r="S75" i="134"/>
  <c r="W72" i="134"/>
  <c r="S72" i="134"/>
  <c r="AZ78" i="134"/>
  <c r="W73" i="134"/>
  <c r="AM73" i="134" s="1"/>
  <c r="S73" i="134"/>
  <c r="S82" i="134"/>
  <c r="W82" i="134"/>
  <c r="AB63" i="134"/>
  <c r="S77" i="134"/>
  <c r="W77" i="134"/>
  <c r="AM77" i="134" s="1"/>
  <c r="T64" i="134"/>
  <c r="X64" i="134"/>
  <c r="AT64" i="134" s="1"/>
  <c r="AT52" i="134"/>
  <c r="AZ52" i="134"/>
  <c r="BX44" i="134"/>
  <c r="AB36" i="134"/>
  <c r="X46" i="134"/>
  <c r="T46" i="134"/>
  <c r="AZ44" i="134"/>
  <c r="X37" i="134"/>
  <c r="T37" i="134"/>
  <c r="T29" i="134"/>
  <c r="X29" i="134"/>
  <c r="AB56" i="134"/>
  <c r="X42" i="134"/>
  <c r="AT42" i="134" s="1"/>
  <c r="T42" i="134"/>
  <c r="BX24" i="134"/>
  <c r="AF30" i="134"/>
  <c r="AD30" i="134"/>
  <c r="AC30" i="134"/>
  <c r="AG30" i="134"/>
  <c r="AZ27" i="134"/>
  <c r="AZ59" i="134"/>
  <c r="AZ56" i="134"/>
  <c r="AZ64" i="134"/>
  <c r="AB31" i="134"/>
  <c r="W33" i="134"/>
  <c r="AM33" i="134" s="1"/>
  <c r="S33" i="134"/>
  <c r="BG21" i="134"/>
  <c r="T56" i="134"/>
  <c r="X56" i="134"/>
  <c r="AT56" i="134" s="1"/>
  <c r="AZ12" i="134"/>
  <c r="AT12" i="134"/>
  <c r="X18" i="134"/>
  <c r="T18" i="134"/>
  <c r="AQ19" i="134"/>
  <c r="X28" i="134"/>
  <c r="T28" i="134"/>
  <c r="X88" i="134"/>
  <c r="AT88" i="134" s="1"/>
  <c r="T88" i="134"/>
  <c r="BG22" i="134"/>
  <c r="X41" i="134"/>
  <c r="T41" i="134"/>
  <c r="AZ82" i="134"/>
  <c r="AD51" i="134"/>
  <c r="AC51" i="134"/>
  <c r="AH51" i="134"/>
  <c r="AG51" i="134"/>
  <c r="AF51" i="134"/>
  <c r="AZ19" i="134"/>
  <c r="S16" i="134"/>
  <c r="W16" i="134"/>
  <c r="AH84" i="134"/>
  <c r="AB84" i="134"/>
  <c r="AF92" i="134"/>
  <c r="N103" i="134" s="1"/>
  <c r="AM92" i="134"/>
  <c r="AD92" i="134"/>
  <c r="M103" i="134" s="1"/>
  <c r="AC92" i="134"/>
  <c r="AH92" i="134" s="1"/>
  <c r="AG92" i="134"/>
  <c r="O103" i="134" s="1"/>
  <c r="AB75" i="134"/>
  <c r="AH81" i="134"/>
  <c r="AF72" i="134"/>
  <c r="AC72" i="134"/>
  <c r="AG72" i="134"/>
  <c r="AD72" i="134"/>
  <c r="AM72" i="134"/>
  <c r="AB74" i="134"/>
  <c r="AG70" i="134"/>
  <c r="AF70" i="134"/>
  <c r="AD70" i="134"/>
  <c r="AC70" i="134"/>
  <c r="AD77" i="134"/>
  <c r="AC77" i="134"/>
  <c r="AG77" i="134"/>
  <c r="AF77" i="134"/>
  <c r="T61" i="134"/>
  <c r="X61" i="134"/>
  <c r="AB69" i="134"/>
  <c r="AH69" i="134"/>
  <c r="AG62" i="134"/>
  <c r="AD62" i="134"/>
  <c r="AC62" i="134"/>
  <c r="AF62" i="134"/>
  <c r="AZ57" i="134"/>
  <c r="AB66" i="134"/>
  <c r="AO43" i="134"/>
  <c r="AN43" i="134"/>
  <c r="AB58" i="134"/>
  <c r="AZ47" i="134"/>
  <c r="X66" i="134"/>
  <c r="AT66" i="134" s="1"/>
  <c r="T66" i="134"/>
  <c r="AF26" i="134"/>
  <c r="AG26" i="134"/>
  <c r="AD26" i="134"/>
  <c r="AC26" i="134"/>
  <c r="BX53" i="134"/>
  <c r="AB37" i="134"/>
  <c r="AZ25" i="134"/>
  <c r="AZ40" i="134"/>
  <c r="AZ60" i="134"/>
  <c r="AZ65" i="134"/>
  <c r="AZ73" i="134"/>
  <c r="AF33" i="134"/>
  <c r="AD33" i="134"/>
  <c r="AC33" i="134"/>
  <c r="AH33" i="134" s="1"/>
  <c r="AG33" i="134"/>
  <c r="AB21" i="134"/>
  <c r="AJ21" i="134"/>
  <c r="AI21" i="134" s="1"/>
  <c r="AB18" i="134"/>
  <c r="W23" i="134"/>
  <c r="S23" i="134"/>
  <c r="AK63" i="134"/>
  <c r="AB19" i="134"/>
  <c r="AH11" i="134"/>
  <c r="X24" i="134"/>
  <c r="AT24" i="134" s="1"/>
  <c r="T24" i="134"/>
  <c r="AM12" i="134"/>
  <c r="X27" i="134"/>
  <c r="AT27" i="134" s="1"/>
  <c r="T27" i="134"/>
  <c r="T69" i="134"/>
  <c r="X69" i="134"/>
  <c r="AQ69" i="134" s="1"/>
  <c r="AI40" i="134"/>
  <c r="BY40" i="134" s="1"/>
  <c r="S35" i="134"/>
  <c r="W35" i="134"/>
  <c r="AT20" i="134"/>
  <c r="AZ20" i="134"/>
  <c r="AF25" i="134"/>
  <c r="AD25" i="134"/>
  <c r="AC25" i="134"/>
  <c r="AH25" i="134" s="1"/>
  <c r="AM25" i="134"/>
  <c r="AG25" i="134"/>
  <c r="U17" i="134"/>
  <c r="Z17" i="134" s="1"/>
  <c r="Y17" i="134"/>
  <c r="T68" i="134"/>
  <c r="X68" i="134"/>
  <c r="AT68" i="134" s="1"/>
  <c r="L103" i="134"/>
  <c r="AB87" i="134"/>
  <c r="AH87" i="134"/>
  <c r="AI89" i="134"/>
  <c r="T89" i="134"/>
  <c r="X89" i="134"/>
  <c r="X87" i="134"/>
  <c r="T87" i="134"/>
  <c r="AM91" i="134"/>
  <c r="AB86" i="134"/>
  <c r="AD79" i="134"/>
  <c r="AC79" i="134"/>
  <c r="AF79" i="134"/>
  <c r="N102" i="134" s="1"/>
  <c r="AG79" i="134"/>
  <c r="O102" i="134" s="1"/>
  <c r="S71" i="134"/>
  <c r="W71" i="134"/>
  <c r="AO89" i="134"/>
  <c r="AR89" i="134" s="1"/>
  <c r="AN89" i="134"/>
  <c r="W70" i="134"/>
  <c r="S70" i="134"/>
  <c r="T74" i="134"/>
  <c r="X74" i="134"/>
  <c r="AT74" i="134" s="1"/>
  <c r="AF61" i="134"/>
  <c r="AC61" i="134"/>
  <c r="AJ61" i="134" s="1"/>
  <c r="AG61" i="134"/>
  <c r="AD61" i="134"/>
  <c r="AM61" i="134"/>
  <c r="X76" i="134"/>
  <c r="T76" i="134"/>
  <c r="AM69" i="134"/>
  <c r="W62" i="134"/>
  <c r="S62" i="134"/>
  <c r="AB64" i="134"/>
  <c r="AJ50" i="134"/>
  <c r="AM50" i="134"/>
  <c r="AB41" i="134"/>
  <c r="W54" i="134"/>
  <c r="AM54" i="134" s="1"/>
  <c r="S54" i="134"/>
  <c r="AJ66" i="134"/>
  <c r="AM66" i="134"/>
  <c r="X47" i="134"/>
  <c r="T47" i="134"/>
  <c r="AB40" i="134"/>
  <c r="AJ63" i="134"/>
  <c r="AI63" i="134" s="1"/>
  <c r="BY63" i="134" s="1"/>
  <c r="AJ38" i="134"/>
  <c r="AZ37" i="134"/>
  <c r="AT37" i="134"/>
  <c r="AZ28" i="134"/>
  <c r="AZ42" i="134"/>
  <c r="AZ61" i="134"/>
  <c r="AZ79" i="134"/>
  <c r="AT87" i="134"/>
  <c r="AZ87" i="134"/>
  <c r="AO37" i="134"/>
  <c r="AR37" i="134" s="1"/>
  <c r="AN37" i="134"/>
  <c r="BY37" i="134" s="1"/>
  <c r="AN31" i="134"/>
  <c r="AJ31" i="134"/>
  <c r="AI31" i="134" s="1"/>
  <c r="AM31" i="134"/>
  <c r="AB10" i="134"/>
  <c r="AD23" i="134"/>
  <c r="AG23" i="134"/>
  <c r="AF23" i="134"/>
  <c r="AC23" i="134"/>
  <c r="AK76" i="134"/>
  <c r="AK90" i="134"/>
  <c r="V96" i="134"/>
  <c r="V97" i="134"/>
  <c r="AG14" i="134"/>
  <c r="AF14" i="134"/>
  <c r="AD14" i="134"/>
  <c r="AC14" i="134"/>
  <c r="AM11" i="134"/>
  <c r="AF15" i="134"/>
  <c r="AC15" i="134"/>
  <c r="AH15" i="134" s="1"/>
  <c r="AD15" i="134"/>
  <c r="AM15" i="134"/>
  <c r="AG15" i="134"/>
  <c r="X52" i="134"/>
  <c r="T52" i="134"/>
  <c r="T19" i="134"/>
  <c r="AQ12" i="134"/>
  <c r="AO80" i="134"/>
  <c r="AR80" i="134" s="1"/>
  <c r="AN80" i="134"/>
  <c r="AC32" i="134"/>
  <c r="AG32" i="134"/>
  <c r="AD32" i="134"/>
  <c r="AF32" i="134"/>
  <c r="AZ18" i="134"/>
  <c r="AT18" i="134"/>
  <c r="AB13" i="134"/>
  <c r="AJ87" i="134"/>
  <c r="AZ91" i="134"/>
  <c r="AT91" i="134"/>
  <c r="S83" i="134"/>
  <c r="W83" i="134"/>
  <c r="AM83" i="134" s="1"/>
  <c r="S79" i="134"/>
  <c r="W79" i="134"/>
  <c r="AM79" i="134" s="1"/>
  <c r="AO74" i="134"/>
  <c r="AN74" i="134"/>
  <c r="AZ68" i="134"/>
  <c r="AJ76" i="134"/>
  <c r="AO76" i="134" s="1"/>
  <c r="X60" i="134"/>
  <c r="T60" i="134"/>
  <c r="AG59" i="134"/>
  <c r="AD59" i="134"/>
  <c r="AC59" i="134"/>
  <c r="AF59" i="134"/>
  <c r="AG47" i="134"/>
  <c r="AD47" i="134"/>
  <c r="AF47" i="134"/>
  <c r="AC47" i="134"/>
  <c r="AH47" i="134" s="1"/>
  <c r="T51" i="134"/>
  <c r="X51" i="134"/>
  <c r="AT51" i="134" s="1"/>
  <c r="AF54" i="134"/>
  <c r="AD54" i="134"/>
  <c r="AC54" i="134"/>
  <c r="AH54" i="134" s="1"/>
  <c r="AG54" i="134"/>
  <c r="AM51" i="134"/>
  <c r="AZ46" i="134"/>
  <c r="AB42" i="134"/>
  <c r="AB49" i="134"/>
  <c r="T38" i="134"/>
  <c r="X38" i="134"/>
  <c r="AT38" i="134" s="1"/>
  <c r="AZ35" i="134"/>
  <c r="BX34" i="134"/>
  <c r="AZ67" i="134"/>
  <c r="AZ62" i="134"/>
  <c r="AZ76" i="134"/>
  <c r="AZ80" i="134"/>
  <c r="AM26" i="134"/>
  <c r="V46" i="134"/>
  <c r="V105" i="134" s="1"/>
  <c r="L5" i="134"/>
  <c r="X31" i="134"/>
  <c r="AQ31" i="134" s="1"/>
  <c r="T31" i="134"/>
  <c r="AJ22" i="134"/>
  <c r="AM22" i="134"/>
  <c r="AK49" i="134"/>
  <c r="AI49" i="134" s="1"/>
  <c r="BY49" i="134" s="1"/>
  <c r="AK74" i="134"/>
  <c r="BG13" i="134"/>
  <c r="AZ10" i="134"/>
  <c r="T14" i="134"/>
  <c r="X14" i="134"/>
  <c r="AT14" i="134" s="1"/>
  <c r="X55" i="134"/>
  <c r="AT55" i="134" s="1"/>
  <c r="T55" i="134"/>
  <c r="W57" i="134"/>
  <c r="S57" i="134"/>
  <c r="T12" i="134"/>
  <c r="AZ85" i="134"/>
  <c r="AN48" i="134"/>
  <c r="AB28" i="134"/>
  <c r="AZ54" i="134"/>
  <c r="W67" i="134"/>
  <c r="S67" i="134"/>
  <c r="W39" i="134"/>
  <c r="AJ39" i="134" s="1"/>
  <c r="S39" i="134"/>
  <c r="X21" i="134"/>
  <c r="T21" i="134"/>
  <c r="AB90" i="134"/>
  <c r="AD83" i="134"/>
  <c r="AC83" i="134"/>
  <c r="AH83" i="134"/>
  <c r="AG83" i="134"/>
  <c r="AF83" i="134"/>
  <c r="AB78" i="134"/>
  <c r="T80" i="134"/>
  <c r="X80" i="134"/>
  <c r="AT80" i="134" s="1"/>
  <c r="AJ86" i="134"/>
  <c r="AB89" i="134"/>
  <c r="AJ68" i="134"/>
  <c r="AZ70" i="134"/>
  <c r="AH60" i="134"/>
  <c r="W65" i="134"/>
  <c r="AJ65" i="134" s="1"/>
  <c r="S65" i="134"/>
  <c r="S58" i="134"/>
  <c r="W58" i="134"/>
  <c r="N101" i="134"/>
  <c r="W59" i="134"/>
  <c r="AH59" i="134" s="1"/>
  <c r="S59" i="134"/>
  <c r="AH66" i="134"/>
  <c r="T53" i="134"/>
  <c r="X53" i="134"/>
  <c r="AM48" i="134"/>
  <c r="AH36" i="134"/>
  <c r="AZ43" i="134"/>
  <c r="AT43" i="134"/>
  <c r="AD35" i="134"/>
  <c r="AG35" i="134"/>
  <c r="AF35" i="134"/>
  <c r="AC35" i="134"/>
  <c r="AJ36" i="134"/>
  <c r="AZ30" i="134"/>
  <c r="S32" i="134"/>
  <c r="W32" i="134"/>
  <c r="AJ32" i="134" s="1"/>
  <c r="AZ55" i="134"/>
  <c r="AZ63" i="134"/>
  <c r="AZ71" i="134"/>
  <c r="AG67" i="134"/>
  <c r="AF67" i="134"/>
  <c r="AD67" i="134"/>
  <c r="AC67" i="134"/>
  <c r="AT26" i="134"/>
  <c r="AZ26" i="134"/>
  <c r="AZ39" i="134"/>
  <c r="AN21" i="134"/>
  <c r="BG15" i="134"/>
  <c r="T22" i="134"/>
  <c r="X22" i="134"/>
  <c r="AR88" i="134"/>
  <c r="AR74" i="134"/>
  <c r="AR43" i="134"/>
  <c r="AR49" i="134"/>
  <c r="AW3" i="134"/>
  <c r="AK56" i="134"/>
  <c r="AK53" i="134"/>
  <c r="X11" i="134"/>
  <c r="T11" i="134"/>
  <c r="AH18" i="134"/>
  <c r="X40" i="134"/>
  <c r="T40" i="134"/>
  <c r="AJ17" i="134"/>
  <c r="BG84" i="134"/>
  <c r="AG16" i="134"/>
  <c r="AD16" i="134"/>
  <c r="AC16" i="134"/>
  <c r="AF16" i="134"/>
  <c r="AF57" i="134"/>
  <c r="AD57" i="134"/>
  <c r="AC57" i="134"/>
  <c r="AH57" i="134" s="1"/>
  <c r="AG57" i="134"/>
  <c r="AI48" i="134" l="1"/>
  <c r="AH61" i="134"/>
  <c r="AH72" i="134"/>
  <c r="AN72" i="134" s="1"/>
  <c r="AK64" i="134"/>
  <c r="AO50" i="134"/>
  <c r="AO48" i="134"/>
  <c r="AR48" i="134" s="1"/>
  <c r="V109" i="134"/>
  <c r="AB29" i="134"/>
  <c r="BX29" i="134" s="1"/>
  <c r="AK27" i="134"/>
  <c r="AN27" i="134"/>
  <c r="AJ27" i="134"/>
  <c r="AB55" i="134"/>
  <c r="AK13" i="134"/>
  <c r="AI13" i="134" s="1"/>
  <c r="BY13" i="134" s="1"/>
  <c r="AH35" i="134"/>
  <c r="AQ53" i="134"/>
  <c r="AV53" i="134" s="1"/>
  <c r="O100" i="134"/>
  <c r="AJ55" i="134"/>
  <c r="AH62" i="134"/>
  <c r="X13" i="134"/>
  <c r="BY88" i="134"/>
  <c r="AH16" i="134"/>
  <c r="AN24" i="134"/>
  <c r="BY24" i="134" s="1"/>
  <c r="N99" i="134"/>
  <c r="AH70" i="134"/>
  <c r="T90" i="134"/>
  <c r="BX12" i="134"/>
  <c r="AH67" i="134"/>
  <c r="AO24" i="134"/>
  <c r="AR24" i="134" s="1"/>
  <c r="AB27" i="134"/>
  <c r="M99" i="134"/>
  <c r="AJ47" i="134"/>
  <c r="AO47" i="134" s="1"/>
  <c r="BY90" i="134"/>
  <c r="O99" i="134"/>
  <c r="AH41" i="134"/>
  <c r="AO41" i="134" s="1"/>
  <c r="AQ61" i="134"/>
  <c r="AH30" i="134"/>
  <c r="AK30" i="134" s="1"/>
  <c r="AQ29" i="134"/>
  <c r="AH12" i="134"/>
  <c r="AT41" i="134"/>
  <c r="AH39" i="134"/>
  <c r="AH20" i="134"/>
  <c r="AJ20" i="134"/>
  <c r="AQ20" i="134" s="1"/>
  <c r="AB20" i="134"/>
  <c r="BX20" i="134" s="1"/>
  <c r="AM19" i="134"/>
  <c r="AM44" i="134"/>
  <c r="V100" i="134"/>
  <c r="X36" i="134"/>
  <c r="AH29" i="134"/>
  <c r="T63" i="134"/>
  <c r="BH17" i="134"/>
  <c r="AI42" i="134"/>
  <c r="BY42" i="134" s="1"/>
  <c r="AO21" i="134"/>
  <c r="AR21" i="134" s="1"/>
  <c r="AJ44" i="134"/>
  <c r="AI44" i="134" s="1"/>
  <c r="AJ67" i="134"/>
  <c r="N100" i="134"/>
  <c r="AN52" i="134"/>
  <c r="AO52" i="134"/>
  <c r="AK52" i="134"/>
  <c r="AI52" i="134" s="1"/>
  <c r="AJ82" i="134"/>
  <c r="X34" i="134"/>
  <c r="T34" i="134"/>
  <c r="AH45" i="134"/>
  <c r="AK45" i="134" s="1"/>
  <c r="AT19" i="134"/>
  <c r="W96" i="134"/>
  <c r="AN44" i="134"/>
  <c r="L99" i="134"/>
  <c r="AJ70" i="134"/>
  <c r="AO70" i="134" s="1"/>
  <c r="AJ23" i="134"/>
  <c r="AT44" i="134"/>
  <c r="AI64" i="134"/>
  <c r="BY64" i="134" s="1"/>
  <c r="AJ34" i="134"/>
  <c r="AM34" i="134"/>
  <c r="AH34" i="134"/>
  <c r="AN45" i="134"/>
  <c r="AU28" i="134"/>
  <c r="AR28" i="134"/>
  <c r="AN62" i="134"/>
  <c r="AK62" i="134"/>
  <c r="AN92" i="134"/>
  <c r="AK92" i="134"/>
  <c r="AN59" i="134"/>
  <c r="AK59" i="134"/>
  <c r="AU76" i="134"/>
  <c r="AR76" i="134"/>
  <c r="AN70" i="134"/>
  <c r="AK70" i="134"/>
  <c r="AN30" i="134"/>
  <c r="AN39" i="134"/>
  <c r="AO39" i="134"/>
  <c r="AK39" i="134"/>
  <c r="AN57" i="134"/>
  <c r="AK57" i="134"/>
  <c r="AN25" i="134"/>
  <c r="AK25" i="134"/>
  <c r="AU50" i="134"/>
  <c r="AR50" i="134"/>
  <c r="AN35" i="134"/>
  <c r="AK35" i="134"/>
  <c r="AN47" i="134"/>
  <c r="AK47" i="134"/>
  <c r="AU56" i="134"/>
  <c r="AR56" i="134"/>
  <c r="AK16" i="134"/>
  <c r="AN16" i="134"/>
  <c r="U22" i="134"/>
  <c r="Z22" i="134" s="1"/>
  <c r="Y22" i="134"/>
  <c r="AA22" i="134" s="1"/>
  <c r="AO66" i="134"/>
  <c r="AN66" i="134"/>
  <c r="AK66" i="134"/>
  <c r="AI66" i="134" s="1"/>
  <c r="BG54" i="134"/>
  <c r="U38" i="134"/>
  <c r="Z38" i="134" s="1"/>
  <c r="Y38" i="134"/>
  <c r="AN15" i="134"/>
  <c r="AK15" i="134"/>
  <c r="BG37" i="134"/>
  <c r="BX21" i="134"/>
  <c r="BG47" i="134"/>
  <c r="BA47" i="134"/>
  <c r="AN69" i="134"/>
  <c r="AO69" i="134"/>
  <c r="AK69" i="134"/>
  <c r="AB77" i="134"/>
  <c r="BG19" i="134"/>
  <c r="AQ28" i="134"/>
  <c r="U56" i="134"/>
  <c r="Z56" i="134" s="1"/>
  <c r="Y56" i="134"/>
  <c r="BX56" i="134"/>
  <c r="T73" i="134"/>
  <c r="X73" i="134"/>
  <c r="AJ75" i="134"/>
  <c r="AM75" i="134"/>
  <c r="AH75" i="134"/>
  <c r="AN19" i="134"/>
  <c r="AO19" i="134"/>
  <c r="AK19" i="134"/>
  <c r="Y43" i="134"/>
  <c r="BA43" i="134" s="1"/>
  <c r="U43" i="134"/>
  <c r="Z43" i="134" s="1"/>
  <c r="AT69" i="134"/>
  <c r="BG86" i="134"/>
  <c r="AO64" i="134"/>
  <c r="AB67" i="134"/>
  <c r="T32" i="134"/>
  <c r="X32" i="134"/>
  <c r="AQ32" i="134" s="1"/>
  <c r="AI86" i="134"/>
  <c r="BY86" i="134" s="1"/>
  <c r="Y13" i="134"/>
  <c r="BA13" i="134" s="1"/>
  <c r="U13" i="134"/>
  <c r="Z13" i="134" s="1"/>
  <c r="AO55" i="134"/>
  <c r="AN55" i="134"/>
  <c r="AK55" i="134"/>
  <c r="U60" i="134"/>
  <c r="Z60" i="134" s="1"/>
  <c r="Y60" i="134"/>
  <c r="AU74" i="134"/>
  <c r="BX13" i="134"/>
  <c r="AB14" i="134"/>
  <c r="AJ14" i="134"/>
  <c r="AQ14" i="134" s="1"/>
  <c r="AO31" i="134"/>
  <c r="BG61" i="134"/>
  <c r="Y47" i="134"/>
  <c r="U47" i="134"/>
  <c r="Z47" i="134" s="1"/>
  <c r="AB61" i="134"/>
  <c r="U89" i="134"/>
  <c r="Z89" i="134" s="1"/>
  <c r="Y89" i="134"/>
  <c r="AA17" i="134"/>
  <c r="Y69" i="134"/>
  <c r="AX69" i="134" s="1"/>
  <c r="U69" i="134"/>
  <c r="Z69" i="134" s="1"/>
  <c r="BG25" i="134"/>
  <c r="BX58" i="134"/>
  <c r="BG57" i="134"/>
  <c r="AK72" i="134"/>
  <c r="AO84" i="134"/>
  <c r="AN84" i="134"/>
  <c r="AK84" i="134"/>
  <c r="U41" i="134"/>
  <c r="Z41" i="134" s="1"/>
  <c r="Y41" i="134"/>
  <c r="BA41" i="134" s="1"/>
  <c r="BX31" i="134"/>
  <c r="BG27" i="134"/>
  <c r="Y46" i="134"/>
  <c r="U46" i="134"/>
  <c r="Z46" i="134" s="1"/>
  <c r="AU53" i="134"/>
  <c r="AJ77" i="134"/>
  <c r="AJ73" i="134"/>
  <c r="AQ90" i="134"/>
  <c r="AV90" i="134" s="1"/>
  <c r="AY90" i="134" s="1"/>
  <c r="AO22" i="134"/>
  <c r="AN22" i="134"/>
  <c r="AK22" i="134"/>
  <c r="BG77" i="134"/>
  <c r="BG41" i="134"/>
  <c r="BH41" i="134" s="1"/>
  <c r="AQ43" i="134"/>
  <c r="AV43" i="134" s="1"/>
  <c r="BX48" i="134"/>
  <c r="AB82" i="134"/>
  <c r="BX68" i="134"/>
  <c r="U15" i="134"/>
  <c r="Z15" i="134" s="1"/>
  <c r="Y15" i="134"/>
  <c r="AA15" i="134" s="1"/>
  <c r="X10" i="134"/>
  <c r="T10" i="134"/>
  <c r="BG48" i="134"/>
  <c r="BG29" i="134"/>
  <c r="BA38" i="134"/>
  <c r="BG38" i="134"/>
  <c r="AU42" i="134"/>
  <c r="AT22" i="134"/>
  <c r="AQ11" i="134"/>
  <c r="AT11" i="134"/>
  <c r="AN83" i="134"/>
  <c r="AK83" i="134"/>
  <c r="BG79" i="134"/>
  <c r="BX41" i="134"/>
  <c r="BN99" i="134" s="1"/>
  <c r="AU89" i="134"/>
  <c r="AB79" i="134"/>
  <c r="AQ89" i="134"/>
  <c r="AV89" i="134" s="1"/>
  <c r="Y68" i="134"/>
  <c r="U68" i="134"/>
  <c r="Z68" i="134" s="1"/>
  <c r="U36" i="134"/>
  <c r="Z36" i="134" s="1"/>
  <c r="Y36" i="134"/>
  <c r="BA36" i="134" s="1"/>
  <c r="BG73" i="134"/>
  <c r="AB26" i="134"/>
  <c r="AJ26" i="134"/>
  <c r="BG82" i="134"/>
  <c r="AQ63" i="134"/>
  <c r="Y90" i="134"/>
  <c r="U90" i="134"/>
  <c r="Z90" i="134" s="1"/>
  <c r="AB73" i="134"/>
  <c r="AT89" i="134"/>
  <c r="BG72" i="134"/>
  <c r="AT15" i="134"/>
  <c r="W99" i="134"/>
  <c r="W5" i="134"/>
  <c r="AJ10" i="134"/>
  <c r="AM10" i="134"/>
  <c r="AH10" i="134"/>
  <c r="BX50" i="134"/>
  <c r="AB16" i="134"/>
  <c r="AM67" i="134"/>
  <c r="BG63" i="134"/>
  <c r="BG30" i="134"/>
  <c r="X59" i="134"/>
  <c r="T59" i="134"/>
  <c r="AO60" i="134"/>
  <c r="AN60" i="134"/>
  <c r="AK60" i="134"/>
  <c r="AQ80" i="134"/>
  <c r="AV80" i="134" s="1"/>
  <c r="AB83" i="134"/>
  <c r="Y21" i="134"/>
  <c r="BA21" i="134" s="1"/>
  <c r="U21" i="134"/>
  <c r="Z21" i="134" s="1"/>
  <c r="AA21" i="134" s="1"/>
  <c r="BX28" i="134"/>
  <c r="Y12" i="134"/>
  <c r="BA12" i="134" s="1"/>
  <c r="U12" i="134"/>
  <c r="Z12" i="134" s="1"/>
  <c r="Y14" i="134"/>
  <c r="U14" i="134"/>
  <c r="Z14" i="134" s="1"/>
  <c r="BG67" i="134"/>
  <c r="BX49" i="134"/>
  <c r="U51" i="134"/>
  <c r="Z51" i="134" s="1"/>
  <c r="Y51" i="134"/>
  <c r="BA51" i="134" s="1"/>
  <c r="AQ60" i="134"/>
  <c r="BG91" i="134"/>
  <c r="Y19" i="134"/>
  <c r="U19" i="134"/>
  <c r="Z19" i="134" s="1"/>
  <c r="AH14" i="134"/>
  <c r="AH23" i="134"/>
  <c r="AT61" i="134"/>
  <c r="Y76" i="134"/>
  <c r="U76" i="134"/>
  <c r="Z76" i="134" s="1"/>
  <c r="AJ71" i="134"/>
  <c r="AM71" i="134"/>
  <c r="M102" i="134"/>
  <c r="P102" i="134" s="1"/>
  <c r="Q102" i="134" s="1"/>
  <c r="BY89" i="134"/>
  <c r="BG20" i="134"/>
  <c r="X23" i="134"/>
  <c r="T23" i="134"/>
  <c r="BG65" i="134"/>
  <c r="BX69" i="134"/>
  <c r="AB72" i="134"/>
  <c r="AQ41" i="134"/>
  <c r="AA41" i="134"/>
  <c r="AN29" i="134"/>
  <c r="AO29" i="134"/>
  <c r="AK29" i="134"/>
  <c r="Y29" i="134"/>
  <c r="BA29" i="134" s="1"/>
  <c r="U29" i="134"/>
  <c r="Z29" i="134" s="1"/>
  <c r="BG52" i="134"/>
  <c r="T77" i="134"/>
  <c r="X77" i="134"/>
  <c r="AQ86" i="134"/>
  <c r="AU88" i="134"/>
  <c r="BA17" i="134"/>
  <c r="BG51" i="134"/>
  <c r="BX17" i="134"/>
  <c r="AU49" i="134"/>
  <c r="AM82" i="134"/>
  <c r="BG74" i="134"/>
  <c r="BG66" i="134"/>
  <c r="AQ84" i="134"/>
  <c r="AT84" i="134"/>
  <c r="AA84" i="134"/>
  <c r="AO17" i="134"/>
  <c r="T45" i="134"/>
  <c r="X45" i="134"/>
  <c r="AO63" i="134"/>
  <c r="AO86" i="134"/>
  <c r="AH46" i="134"/>
  <c r="AG46" i="134"/>
  <c r="O98" i="134" s="1"/>
  <c r="AF46" i="134"/>
  <c r="AF5" i="134" s="1"/>
  <c r="G5" i="134" s="1"/>
  <c r="AD46" i="134"/>
  <c r="AC46" i="134"/>
  <c r="L98" i="134" s="1"/>
  <c r="AM46" i="134"/>
  <c r="BY48" i="134"/>
  <c r="X65" i="134"/>
  <c r="T65" i="134"/>
  <c r="Y40" i="134"/>
  <c r="AA40" i="134" s="1"/>
  <c r="U40" i="134"/>
  <c r="Z40" i="134" s="1"/>
  <c r="AQ74" i="134"/>
  <c r="AV74" i="134" s="1"/>
  <c r="T71" i="134"/>
  <c r="X71" i="134"/>
  <c r="AO87" i="134"/>
  <c r="AN87" i="134"/>
  <c r="AK87" i="134"/>
  <c r="AI87" i="134" s="1"/>
  <c r="BY87" i="134" s="1"/>
  <c r="Y24" i="134"/>
  <c r="BA24" i="134" s="1"/>
  <c r="U24" i="134"/>
  <c r="Z24" i="134" s="1"/>
  <c r="AN33" i="134"/>
  <c r="AK33" i="134"/>
  <c r="AH26" i="134"/>
  <c r="BG64" i="134"/>
  <c r="U86" i="134"/>
  <c r="Z86" i="134" s="1"/>
  <c r="Y86" i="134"/>
  <c r="BA86" i="134" s="1"/>
  <c r="BX22" i="134"/>
  <c r="M101" i="134"/>
  <c r="P101" i="134" s="1"/>
  <c r="Q101" i="134" s="1"/>
  <c r="Y91" i="134"/>
  <c r="U91" i="134"/>
  <c r="Z91" i="134" s="1"/>
  <c r="U84" i="134"/>
  <c r="Z84" i="134" s="1"/>
  <c r="Y84" i="134"/>
  <c r="BA84" i="134" s="1"/>
  <c r="BG24" i="134"/>
  <c r="BX55" i="134"/>
  <c r="U20" i="134"/>
  <c r="Z20" i="134" s="1"/>
  <c r="Y20" i="134"/>
  <c r="AA20" i="134" s="1"/>
  <c r="Y44" i="134"/>
  <c r="AA44" i="134" s="1"/>
  <c r="U44" i="134"/>
  <c r="Z44" i="134" s="1"/>
  <c r="AU21" i="134"/>
  <c r="BG55" i="134"/>
  <c r="BG43" i="134"/>
  <c r="BG70" i="134"/>
  <c r="BX90" i="134"/>
  <c r="X39" i="134"/>
  <c r="AQ39" i="134" s="1"/>
  <c r="T39" i="134"/>
  <c r="AJ57" i="134"/>
  <c r="AM57" i="134"/>
  <c r="W97" i="134"/>
  <c r="BG10" i="134"/>
  <c r="AJ79" i="134"/>
  <c r="AI43" i="134"/>
  <c r="BX10" i="134"/>
  <c r="AU37" i="134"/>
  <c r="U74" i="134"/>
  <c r="Z74" i="134" s="1"/>
  <c r="Y74" i="134"/>
  <c r="BA74" i="134" s="1"/>
  <c r="BX86" i="134"/>
  <c r="BX87" i="134"/>
  <c r="AJ35" i="134"/>
  <c r="AI35" i="134" s="1"/>
  <c r="AM35" i="134"/>
  <c r="U27" i="134"/>
  <c r="Z27" i="134" s="1"/>
  <c r="Y27" i="134"/>
  <c r="BA27" i="134" s="1"/>
  <c r="AQ24" i="134"/>
  <c r="BX18" i="134"/>
  <c r="AB33" i="134"/>
  <c r="BG60" i="134"/>
  <c r="BX37" i="134"/>
  <c r="U61" i="134"/>
  <c r="Z61" i="134" s="1"/>
  <c r="Y61" i="134"/>
  <c r="AM70" i="134"/>
  <c r="BX74" i="134"/>
  <c r="AO81" i="134"/>
  <c r="AN81" i="134"/>
  <c r="AK81" i="134"/>
  <c r="AI81" i="134" s="1"/>
  <c r="AB92" i="134"/>
  <c r="AA51" i="134"/>
  <c r="AQ18" i="134"/>
  <c r="V5" i="134"/>
  <c r="AQ37" i="134"/>
  <c r="BX36" i="134"/>
  <c r="AQ64" i="134"/>
  <c r="BX63" i="134"/>
  <c r="T72" i="134"/>
  <c r="X72" i="134"/>
  <c r="AN91" i="134"/>
  <c r="AO91" i="134"/>
  <c r="AK91" i="134"/>
  <c r="AH65" i="134"/>
  <c r="BX11" i="134"/>
  <c r="AO12" i="134"/>
  <c r="AN12" i="134"/>
  <c r="AK12" i="134"/>
  <c r="AI12" i="134" s="1"/>
  <c r="AB38" i="134"/>
  <c r="U48" i="134"/>
  <c r="Z48" i="134" s="1"/>
  <c r="Y48" i="134"/>
  <c r="AI53" i="134"/>
  <c r="T85" i="134"/>
  <c r="X85" i="134"/>
  <c r="BX88" i="134"/>
  <c r="AQ26" i="134"/>
  <c r="AJ25" i="134"/>
  <c r="AI25" i="134" s="1"/>
  <c r="BY25" i="134" s="1"/>
  <c r="AB39" i="134"/>
  <c r="AT53" i="134"/>
  <c r="AI55" i="134"/>
  <c r="BY55" i="134" s="1"/>
  <c r="U81" i="134"/>
  <c r="Z81" i="134" s="1"/>
  <c r="Y81" i="134"/>
  <c r="BA81" i="134" s="1"/>
  <c r="BG71" i="134"/>
  <c r="Y53" i="134"/>
  <c r="U53" i="134"/>
  <c r="Z53" i="134" s="1"/>
  <c r="AQ21" i="134"/>
  <c r="AV21" i="134" s="1"/>
  <c r="AT21" i="134"/>
  <c r="T57" i="134"/>
  <c r="X57" i="134"/>
  <c r="AN54" i="134"/>
  <c r="AK54" i="134"/>
  <c r="AI50" i="134"/>
  <c r="BY50" i="134" s="1"/>
  <c r="W105" i="134"/>
  <c r="Y18" i="134"/>
  <c r="U18" i="134"/>
  <c r="Z18" i="134" s="1"/>
  <c r="AI74" i="134"/>
  <c r="BY74" i="134" s="1"/>
  <c r="BX81" i="134"/>
  <c r="BG81" i="134"/>
  <c r="AB57" i="134"/>
  <c r="AQ40" i="134"/>
  <c r="BD3" i="134"/>
  <c r="AB35" i="134"/>
  <c r="AJ58" i="134"/>
  <c r="AM58" i="134"/>
  <c r="AH58" i="134"/>
  <c r="AI39" i="134"/>
  <c r="AU48" i="134"/>
  <c r="AV48" i="134"/>
  <c r="Y31" i="134"/>
  <c r="BA31" i="134" s="1"/>
  <c r="U31" i="134"/>
  <c r="Z31" i="134" s="1"/>
  <c r="BG76" i="134"/>
  <c r="BA46" i="134"/>
  <c r="BG46" i="134"/>
  <c r="BH46" i="134" s="1"/>
  <c r="AB54" i="134"/>
  <c r="AB47" i="134"/>
  <c r="AM65" i="134"/>
  <c r="T79" i="134"/>
  <c r="X79" i="134"/>
  <c r="Y52" i="134"/>
  <c r="U52" i="134"/>
  <c r="Z52" i="134" s="1"/>
  <c r="AB15" i="134"/>
  <c r="BG87" i="134"/>
  <c r="BG28" i="134"/>
  <c r="BA28" i="134"/>
  <c r="T54" i="134"/>
  <c r="X54" i="134"/>
  <c r="BX64" i="134"/>
  <c r="T70" i="134"/>
  <c r="X70" i="134"/>
  <c r="P103" i="134"/>
  <c r="Q103" i="134" s="1"/>
  <c r="T35" i="134"/>
  <c r="X35" i="134"/>
  <c r="AQ27" i="134"/>
  <c r="AN11" i="134"/>
  <c r="AO11" i="134"/>
  <c r="AK11" i="134"/>
  <c r="AT60" i="134"/>
  <c r="Y66" i="134"/>
  <c r="U66" i="134"/>
  <c r="Z66" i="134" s="1"/>
  <c r="AB62" i="134"/>
  <c r="BX75" i="134"/>
  <c r="W106" i="134"/>
  <c r="AJ16" i="134"/>
  <c r="AI16" i="134" s="1"/>
  <c r="AM16" i="134"/>
  <c r="AB51" i="134"/>
  <c r="AJ51" i="134"/>
  <c r="Y88" i="134"/>
  <c r="BA88" i="134" s="1"/>
  <c r="U88" i="134"/>
  <c r="Z88" i="134" s="1"/>
  <c r="BH21" i="134"/>
  <c r="BG56" i="134"/>
  <c r="U42" i="134"/>
  <c r="Z42" i="134" s="1"/>
  <c r="Y42" i="134"/>
  <c r="BA42" i="134" s="1"/>
  <c r="U64" i="134"/>
  <c r="Z64" i="134" s="1"/>
  <c r="Y64" i="134"/>
  <c r="AJ72" i="134"/>
  <c r="T92" i="134"/>
  <c r="X92" i="134"/>
  <c r="AT92" i="134" s="1"/>
  <c r="AB65" i="134"/>
  <c r="BG31" i="134"/>
  <c r="BG83" i="134"/>
  <c r="BX27" i="134"/>
  <c r="AH38" i="134"/>
  <c r="AB45" i="134"/>
  <c r="Y49" i="134"/>
  <c r="BA49" i="134" s="1"/>
  <c r="U49" i="134"/>
  <c r="Z49" i="134" s="1"/>
  <c r="AH73" i="134"/>
  <c r="AJ85" i="134"/>
  <c r="AO85" i="134" s="1"/>
  <c r="AM85" i="134"/>
  <c r="BG34" i="134"/>
  <c r="U26" i="134"/>
  <c r="Z26" i="134" s="1"/>
  <c r="Y26" i="134"/>
  <c r="BA26" i="134" s="1"/>
  <c r="AQ50" i="134"/>
  <c r="AP50" i="134" s="1"/>
  <c r="BZ50" i="134" s="1"/>
  <c r="BA53" i="134"/>
  <c r="BG53" i="134"/>
  <c r="AQ81" i="134"/>
  <c r="BX91" i="134"/>
  <c r="AD5" i="134"/>
  <c r="G4" i="134" s="1"/>
  <c r="BG88" i="134"/>
  <c r="AQ55" i="134"/>
  <c r="BG80" i="134"/>
  <c r="BX42" i="134"/>
  <c r="AI76" i="134"/>
  <c r="BA18" i="134"/>
  <c r="BG18" i="134"/>
  <c r="AB32" i="134"/>
  <c r="BG42" i="134"/>
  <c r="AQ76" i="134"/>
  <c r="AU43" i="134"/>
  <c r="AH77" i="134"/>
  <c r="AN51" i="134"/>
  <c r="AK51" i="134"/>
  <c r="Y37" i="134"/>
  <c r="BA37" i="134" s="1"/>
  <c r="U37" i="134"/>
  <c r="Z37" i="134" s="1"/>
  <c r="BG78" i="134"/>
  <c r="AQ48" i="134"/>
  <c r="T25" i="134"/>
  <c r="X25" i="134"/>
  <c r="BG75" i="134"/>
  <c r="AJ45" i="134"/>
  <c r="AM45" i="134"/>
  <c r="AU90" i="134"/>
  <c r="AM23" i="134"/>
  <c r="AO18" i="134"/>
  <c r="AN18" i="134"/>
  <c r="AK18" i="134"/>
  <c r="BG39" i="134"/>
  <c r="AO36" i="134"/>
  <c r="AN36" i="134"/>
  <c r="AK36" i="134"/>
  <c r="AI36" i="134" s="1"/>
  <c r="BY36" i="134" s="1"/>
  <c r="AR90" i="134"/>
  <c r="X58" i="134"/>
  <c r="AT58" i="134" s="1"/>
  <c r="T58" i="134"/>
  <c r="AN85" i="134"/>
  <c r="AK85" i="134"/>
  <c r="X67" i="134"/>
  <c r="AT67" i="134" s="1"/>
  <c r="T67" i="134"/>
  <c r="AT76" i="134"/>
  <c r="BG35" i="134"/>
  <c r="AT46" i="134"/>
  <c r="AB59" i="134"/>
  <c r="BG68" i="134"/>
  <c r="AJ83" i="134"/>
  <c r="AO83" i="134" s="1"/>
  <c r="AM32" i="134"/>
  <c r="AU80" i="134"/>
  <c r="AQ52" i="134"/>
  <c r="AT28" i="134"/>
  <c r="AJ54" i="134"/>
  <c r="AO54" i="134" s="1"/>
  <c r="X62" i="134"/>
  <c r="T62" i="134"/>
  <c r="AH79" i="134"/>
  <c r="U87" i="134"/>
  <c r="Z87" i="134" s="1"/>
  <c r="Y87" i="134"/>
  <c r="BX19" i="134"/>
  <c r="BY21" i="134"/>
  <c r="BG40" i="134"/>
  <c r="AQ66" i="134"/>
  <c r="BX66" i="134"/>
  <c r="X16" i="134"/>
  <c r="AT16" i="134" s="1"/>
  <c r="T16" i="134"/>
  <c r="AQ88" i="134"/>
  <c r="AA88" i="134"/>
  <c r="BG12" i="134"/>
  <c r="T33" i="134"/>
  <c r="X33" i="134"/>
  <c r="AQ42" i="134"/>
  <c r="AV42" i="134" s="1"/>
  <c r="AY42" i="134" s="1"/>
  <c r="BA44" i="134"/>
  <c r="BG44" i="134"/>
  <c r="AA69" i="134"/>
  <c r="AJ92" i="134"/>
  <c r="AI92" i="134" s="1"/>
  <c r="BY92" i="134" s="1"/>
  <c r="AT31" i="134"/>
  <c r="T30" i="134"/>
  <c r="X30" i="134"/>
  <c r="AQ49" i="134"/>
  <c r="AH82" i="134"/>
  <c r="AH71" i="134"/>
  <c r="AT49" i="134"/>
  <c r="AT23" i="134"/>
  <c r="AM39" i="134"/>
  <c r="Y50" i="134"/>
  <c r="U50" i="134"/>
  <c r="Z50" i="134" s="1"/>
  <c r="BG32" i="134"/>
  <c r="BG58" i="134"/>
  <c r="BY80" i="134"/>
  <c r="M98" i="134"/>
  <c r="T78" i="134"/>
  <c r="X78" i="134"/>
  <c r="AQ13" i="134"/>
  <c r="AT13" i="134"/>
  <c r="AJ59" i="134"/>
  <c r="AI59" i="134" s="1"/>
  <c r="AM59" i="134"/>
  <c r="U80" i="134"/>
  <c r="Z80" i="134" s="1"/>
  <c r="Y80" i="134"/>
  <c r="BA80" i="134" s="1"/>
  <c r="AI22" i="134"/>
  <c r="BY22" i="134" s="1"/>
  <c r="AI17" i="134"/>
  <c r="BY17" i="134" s="1"/>
  <c r="AQ17" i="134"/>
  <c r="Y11" i="134"/>
  <c r="AX11" i="134" s="1"/>
  <c r="U11" i="134"/>
  <c r="Z11" i="134" s="1"/>
  <c r="AQ22" i="134"/>
  <c r="BG26" i="134"/>
  <c r="AO67" i="134"/>
  <c r="AN67" i="134"/>
  <c r="AK67" i="134"/>
  <c r="AI67" i="134" s="1"/>
  <c r="AV24" i="134"/>
  <c r="AY24" i="134" s="1"/>
  <c r="AU24" i="134"/>
  <c r="BX89" i="134"/>
  <c r="BG85" i="134"/>
  <c r="Y55" i="134"/>
  <c r="AX55" i="134" s="1"/>
  <c r="U55" i="134"/>
  <c r="Z55" i="134" s="1"/>
  <c r="BG62" i="134"/>
  <c r="AQ38" i="134"/>
  <c r="T83" i="134"/>
  <c r="X83" i="134"/>
  <c r="AT83" i="134" s="1"/>
  <c r="AO27" i="134"/>
  <c r="AH32" i="134"/>
  <c r="AB23" i="134"/>
  <c r="BY31" i="134"/>
  <c r="BX40" i="134"/>
  <c r="AN41" i="134"/>
  <c r="AJ62" i="134"/>
  <c r="AI62" i="134" s="1"/>
  <c r="AM62" i="134"/>
  <c r="AN61" i="134"/>
  <c r="AO61" i="134"/>
  <c r="AK61" i="134"/>
  <c r="AQ87" i="134"/>
  <c r="AQ68" i="134"/>
  <c r="AB25" i="134"/>
  <c r="AQ36" i="134"/>
  <c r="AT36" i="134"/>
  <c r="AT40" i="134"/>
  <c r="AT47" i="134"/>
  <c r="AB70" i="134"/>
  <c r="Y28" i="134"/>
  <c r="AX28" i="134" s="1"/>
  <c r="U28" i="134"/>
  <c r="Z28" i="134" s="1"/>
  <c r="BE28" i="134" s="1"/>
  <c r="AQ56" i="134"/>
  <c r="AJ33" i="134"/>
  <c r="AI33" i="134" s="1"/>
  <c r="BY33" i="134" s="1"/>
  <c r="BG59" i="134"/>
  <c r="AB30" i="134"/>
  <c r="U63" i="134"/>
  <c r="Z63" i="134" s="1"/>
  <c r="Y63" i="134"/>
  <c r="X82" i="134"/>
  <c r="T82" i="134"/>
  <c r="X75" i="134"/>
  <c r="T75" i="134"/>
  <c r="BG90" i="134"/>
  <c r="BH90" i="134" s="1"/>
  <c r="AJ15" i="134"/>
  <c r="AI56" i="134"/>
  <c r="BY56" i="134" s="1"/>
  <c r="AJ30" i="134"/>
  <c r="AA38" i="134"/>
  <c r="AN68" i="134"/>
  <c r="AO68" i="134"/>
  <c r="AK68" i="134"/>
  <c r="BX71" i="134"/>
  <c r="BG89" i="134"/>
  <c r="BG49" i="134"/>
  <c r="BG23" i="134"/>
  <c r="BG69" i="134"/>
  <c r="BH69" i="134" s="1"/>
  <c r="BA69" i="134"/>
  <c r="AI28" i="134"/>
  <c r="BY28" i="134" s="1"/>
  <c r="BG45" i="134"/>
  <c r="BX60" i="134"/>
  <c r="AJ78" i="134"/>
  <c r="AM78" i="134"/>
  <c r="AU40" i="134"/>
  <c r="AH78" i="134"/>
  <c r="AO13" i="134"/>
  <c r="AQ47" i="134" l="1"/>
  <c r="AV47" i="134" s="1"/>
  <c r="AI47" i="134"/>
  <c r="BE69" i="134"/>
  <c r="BY52" i="134"/>
  <c r="AI51" i="134"/>
  <c r="BY51" i="134" s="1"/>
  <c r="O104" i="134"/>
  <c r="P100" i="134"/>
  <c r="Q100" i="134" s="1"/>
  <c r="M104" i="134"/>
  <c r="M105" i="134" s="1"/>
  <c r="BA40" i="134"/>
  <c r="BH24" i="134"/>
  <c r="AQ23" i="134"/>
  <c r="AA43" i="134"/>
  <c r="P99" i="134"/>
  <c r="Q99" i="134" s="1"/>
  <c r="AQ44" i="134"/>
  <c r="AO44" i="134"/>
  <c r="BH89" i="134"/>
  <c r="BH84" i="134"/>
  <c r="BM84" i="134" s="1"/>
  <c r="AP76" i="134"/>
  <c r="AQ79" i="134"/>
  <c r="AI57" i="134"/>
  <c r="AP53" i="134"/>
  <c r="AA90" i="134"/>
  <c r="AI15" i="134"/>
  <c r="BY15" i="134" s="1"/>
  <c r="AX87" i="134"/>
  <c r="AX68" i="134"/>
  <c r="AI27" i="134"/>
  <c r="BY27" i="134" s="1"/>
  <c r="AX53" i="134"/>
  <c r="BE53" i="134" s="1"/>
  <c r="BK53" i="134" s="1"/>
  <c r="AI70" i="134"/>
  <c r="BY70" i="134" s="1"/>
  <c r="AI72" i="134"/>
  <c r="BY72" i="134" s="1"/>
  <c r="AA14" i="134"/>
  <c r="BM24" i="134"/>
  <c r="AG5" i="134"/>
  <c r="G6" i="134" s="1"/>
  <c r="BH29" i="134"/>
  <c r="AK34" i="134"/>
  <c r="AI34" i="134" s="1"/>
  <c r="AN34" i="134"/>
  <c r="AO34" i="134"/>
  <c r="BA68" i="134"/>
  <c r="BH64" i="134"/>
  <c r="BM17" i="134"/>
  <c r="AA76" i="134"/>
  <c r="AX60" i="134"/>
  <c r="AO57" i="134"/>
  <c r="AU52" i="134"/>
  <c r="AR52" i="134"/>
  <c r="AP52" i="134" s="1"/>
  <c r="AK20" i="134"/>
  <c r="AI20" i="134" s="1"/>
  <c r="BY20" i="134" s="1"/>
  <c r="AN20" i="134"/>
  <c r="AO20" i="134"/>
  <c r="BH27" i="134"/>
  <c r="BM27" i="134" s="1"/>
  <c r="BY62" i="134"/>
  <c r="AQ75" i="134"/>
  <c r="AK41" i="134"/>
  <c r="AI41" i="134" s="1"/>
  <c r="AI45" i="134"/>
  <c r="BY45" i="134" s="1"/>
  <c r="BH88" i="134"/>
  <c r="BM46" i="134"/>
  <c r="BH22" i="134"/>
  <c r="AA47" i="134"/>
  <c r="BH20" i="134"/>
  <c r="BH61" i="134"/>
  <c r="AX56" i="134"/>
  <c r="BA22" i="134"/>
  <c r="AX52" i="134"/>
  <c r="AX48" i="134"/>
  <c r="BY47" i="134"/>
  <c r="BK69" i="134"/>
  <c r="BS69" i="134" s="1"/>
  <c r="U34" i="134"/>
  <c r="Z34" i="134" s="1"/>
  <c r="Y34" i="134"/>
  <c r="BA34" i="134" s="1"/>
  <c r="AA13" i="134"/>
  <c r="AX80" i="134"/>
  <c r="BC80" i="134" s="1"/>
  <c r="BF80" i="134" s="1"/>
  <c r="AX63" i="134"/>
  <c r="AA27" i="134"/>
  <c r="AA24" i="134"/>
  <c r="AT34" i="134"/>
  <c r="AQ34" i="134"/>
  <c r="BE63" i="134"/>
  <c r="BE55" i="134"/>
  <c r="BK55" i="134" s="1"/>
  <c r="BY59" i="134"/>
  <c r="BH40" i="134"/>
  <c r="BM40" i="134" s="1"/>
  <c r="BZ76" i="134"/>
  <c r="AA31" i="134"/>
  <c r="AA80" i="134"/>
  <c r="AA89" i="134"/>
  <c r="BH13" i="134"/>
  <c r="BM13" i="134" s="1"/>
  <c r="BH19" i="134"/>
  <c r="BY81" i="134"/>
  <c r="AX43" i="134"/>
  <c r="BC43" i="134" s="1"/>
  <c r="BB43" i="134"/>
  <c r="AY43" i="134"/>
  <c r="AU83" i="134"/>
  <c r="AR83" i="134"/>
  <c r="L104" i="134"/>
  <c r="BY66" i="134"/>
  <c r="BB74" i="134"/>
  <c r="AY74" i="134"/>
  <c r="U85" i="134"/>
  <c r="Z85" i="134" s="1"/>
  <c r="Y85" i="134"/>
  <c r="AN26" i="134"/>
  <c r="AO26" i="134"/>
  <c r="AK26" i="134"/>
  <c r="AI26" i="134" s="1"/>
  <c r="BY26" i="134" s="1"/>
  <c r="U65" i="134"/>
  <c r="Z65" i="134" s="1"/>
  <c r="Y65" i="134"/>
  <c r="AQ45" i="134"/>
  <c r="AT45" i="134"/>
  <c r="BB89" i="134"/>
  <c r="AX89" i="134"/>
  <c r="BC89" i="134" s="1"/>
  <c r="BF89" i="134" s="1"/>
  <c r="BB42" i="134"/>
  <c r="AX42" i="134"/>
  <c r="AW42" i="134" s="1"/>
  <c r="N98" i="134"/>
  <c r="N104" i="134" s="1"/>
  <c r="N105" i="134" s="1"/>
  <c r="BM69" i="134"/>
  <c r="BA89" i="134"/>
  <c r="BM89" i="134" s="1"/>
  <c r="AI30" i="134"/>
  <c r="BY30" i="134" s="1"/>
  <c r="AQ82" i="134"/>
  <c r="AT82" i="134"/>
  <c r="AA56" i="134"/>
  <c r="AA68" i="134"/>
  <c r="AU67" i="134"/>
  <c r="AR67" i="134"/>
  <c r="AA49" i="134"/>
  <c r="AA42" i="134"/>
  <c r="BE87" i="134"/>
  <c r="BK87" i="134" s="1"/>
  <c r="BX59" i="134"/>
  <c r="U67" i="134"/>
  <c r="Z67" i="134" s="1"/>
  <c r="Y67" i="134"/>
  <c r="AT39" i="134"/>
  <c r="AI18" i="134"/>
  <c r="BX32" i="134"/>
  <c r="BH80" i="134"/>
  <c r="BM80" i="134" s="1"/>
  <c r="BX45" i="134"/>
  <c r="BH31" i="134"/>
  <c r="BM31" i="134" s="1"/>
  <c r="AX64" i="134"/>
  <c r="BE64" i="134" s="1"/>
  <c r="AA64" i="134"/>
  <c r="BY16" i="134"/>
  <c r="AX66" i="134"/>
  <c r="BE66" i="134" s="1"/>
  <c r="AQ35" i="134"/>
  <c r="AT35" i="134"/>
  <c r="AQ54" i="134"/>
  <c r="AT54" i="134"/>
  <c r="BX15" i="134"/>
  <c r="BX54" i="134"/>
  <c r="AO58" i="134"/>
  <c r="AN58" i="134"/>
  <c r="AK58" i="134"/>
  <c r="AI58" i="134" s="1"/>
  <c r="BX39" i="134"/>
  <c r="AV91" i="134"/>
  <c r="AU91" i="134"/>
  <c r="AR91" i="134"/>
  <c r="AP91" i="134" s="1"/>
  <c r="BX92" i="134"/>
  <c r="AX61" i="134"/>
  <c r="BE61" i="134" s="1"/>
  <c r="AA61" i="134"/>
  <c r="BY35" i="134"/>
  <c r="BY57" i="134"/>
  <c r="BH43" i="134"/>
  <c r="BM43" i="134" s="1"/>
  <c r="AQ71" i="134"/>
  <c r="AT71" i="134"/>
  <c r="AQ65" i="134"/>
  <c r="AT65" i="134"/>
  <c r="AA65" i="134"/>
  <c r="U45" i="134"/>
  <c r="Z45" i="134" s="1"/>
  <c r="BH45" i="134" s="1"/>
  <c r="BM45" i="134" s="1"/>
  <c r="Y45" i="134"/>
  <c r="BH74" i="134"/>
  <c r="BM74" i="134" s="1"/>
  <c r="AQ77" i="134"/>
  <c r="AT77" i="134"/>
  <c r="AV29" i="134"/>
  <c r="AU29" i="134"/>
  <c r="AR29" i="134"/>
  <c r="AP29" i="134" s="1"/>
  <c r="BA20" i="134"/>
  <c r="AX12" i="134"/>
  <c r="BE12" i="134" s="1"/>
  <c r="AA12" i="134"/>
  <c r="AP80" i="134"/>
  <c r="BX73" i="134"/>
  <c r="Y10" i="134"/>
  <c r="U10" i="134"/>
  <c r="Z10" i="134" s="1"/>
  <c r="BH10" i="134" s="1"/>
  <c r="BE89" i="134"/>
  <c r="AV31" i="134"/>
  <c r="AU31" i="134"/>
  <c r="AR31" i="134"/>
  <c r="U32" i="134"/>
  <c r="Z32" i="134" s="1"/>
  <c r="Y32" i="134"/>
  <c r="BE56" i="134"/>
  <c r="BK56" i="134" s="1"/>
  <c r="AI69" i="134"/>
  <c r="BH37" i="134"/>
  <c r="BM37" i="134" s="1"/>
  <c r="AO35" i="134"/>
  <c r="AO30" i="134"/>
  <c r="AO92" i="134"/>
  <c r="BM21" i="134"/>
  <c r="AI91" i="134"/>
  <c r="BX33" i="134"/>
  <c r="AX21" i="134"/>
  <c r="BC21" i="134" s="1"/>
  <c r="BF21" i="134" s="1"/>
  <c r="BB21" i="134"/>
  <c r="AV87" i="134"/>
  <c r="AU87" i="134"/>
  <c r="AR87" i="134"/>
  <c r="AO14" i="134"/>
  <c r="AN14" i="134"/>
  <c r="AK14" i="134"/>
  <c r="AI14" i="134" s="1"/>
  <c r="BY14" i="134" s="1"/>
  <c r="BX16" i="134"/>
  <c r="BM41" i="134"/>
  <c r="AU84" i="134"/>
  <c r="AV84" i="134"/>
  <c r="AR84" i="134"/>
  <c r="AV55" i="134"/>
  <c r="AU55" i="134"/>
  <c r="AR55" i="134"/>
  <c r="BX77" i="134"/>
  <c r="AU70" i="134"/>
  <c r="AR70" i="134"/>
  <c r="AP56" i="134"/>
  <c r="BZ56" i="134" s="1"/>
  <c r="AO32" i="134"/>
  <c r="AN32" i="134"/>
  <c r="AK32" i="134"/>
  <c r="AP49" i="134"/>
  <c r="AP42" i="134"/>
  <c r="U16" i="134"/>
  <c r="Z16" i="134" s="1"/>
  <c r="BH16" i="134" s="1"/>
  <c r="Y16" i="134"/>
  <c r="AA16" i="134" s="1"/>
  <c r="AN79" i="134"/>
  <c r="AO79" i="134"/>
  <c r="AK79" i="134"/>
  <c r="AI79" i="134" s="1"/>
  <c r="AA52" i="134"/>
  <c r="AQ67" i="134"/>
  <c r="BH18" i="134"/>
  <c r="BM18" i="134" s="1"/>
  <c r="BM88" i="134"/>
  <c r="BH53" i="134"/>
  <c r="BM53" i="134" s="1"/>
  <c r="BH36" i="134"/>
  <c r="BM36" i="134" s="1"/>
  <c r="Y35" i="134"/>
  <c r="BA35" i="134" s="1"/>
  <c r="U35" i="134"/>
  <c r="Z35" i="134" s="1"/>
  <c r="U54" i="134"/>
  <c r="Z54" i="134" s="1"/>
  <c r="BE54" i="134" s="1"/>
  <c r="Y54" i="134"/>
  <c r="AX54" i="134" s="1"/>
  <c r="BE52" i="134"/>
  <c r="AP21" i="134"/>
  <c r="AX81" i="134"/>
  <c r="AA37" i="134"/>
  <c r="BY43" i="134"/>
  <c r="U39" i="134"/>
  <c r="Z39" i="134" s="1"/>
  <c r="BH39" i="134" s="1"/>
  <c r="Y39" i="134"/>
  <c r="AX39" i="134" s="1"/>
  <c r="AX86" i="134"/>
  <c r="BE86" i="134" s="1"/>
  <c r="AO33" i="134"/>
  <c r="U71" i="134"/>
  <c r="Z71" i="134" s="1"/>
  <c r="Y71" i="134"/>
  <c r="AN46" i="134"/>
  <c r="AK46" i="134"/>
  <c r="AU17" i="134"/>
  <c r="AV17" i="134"/>
  <c r="AR17" i="134"/>
  <c r="BH51" i="134"/>
  <c r="BM51" i="134" s="1"/>
  <c r="Y77" i="134"/>
  <c r="U77" i="134"/>
  <c r="Z77" i="134" s="1"/>
  <c r="AA19" i="134"/>
  <c r="AI60" i="134"/>
  <c r="BA63" i="134"/>
  <c r="BE68" i="134"/>
  <c r="BK68" i="134" s="1"/>
  <c r="BH38" i="134"/>
  <c r="BM38" i="134" s="1"/>
  <c r="X99" i="134"/>
  <c r="X5" i="134"/>
  <c r="AQ10" i="134"/>
  <c r="AT10" i="134"/>
  <c r="AO72" i="134"/>
  <c r="BX61" i="134"/>
  <c r="AA28" i="134"/>
  <c r="AV69" i="134"/>
  <c r="AU69" i="134"/>
  <c r="AR69" i="134"/>
  <c r="AP69" i="134" s="1"/>
  <c r="BA54" i="134"/>
  <c r="AO16" i="134"/>
  <c r="Y78" i="134"/>
  <c r="BA78" i="134" s="1"/>
  <c r="U78" i="134"/>
  <c r="Z78" i="134" s="1"/>
  <c r="AP88" i="134"/>
  <c r="BH26" i="134"/>
  <c r="BM26" i="134" s="1"/>
  <c r="X106" i="134"/>
  <c r="AQ16" i="134"/>
  <c r="AU12" i="134"/>
  <c r="AV12" i="134"/>
  <c r="AR12" i="134"/>
  <c r="AP12" i="134" s="1"/>
  <c r="AA74" i="134"/>
  <c r="AV86" i="134"/>
  <c r="AU86" i="134"/>
  <c r="AR86" i="134"/>
  <c r="AP86" i="134" s="1"/>
  <c r="BH52" i="134"/>
  <c r="X105" i="134"/>
  <c r="AX76" i="134"/>
  <c r="BE76" i="134" s="1"/>
  <c r="AA32" i="134"/>
  <c r="BH63" i="134"/>
  <c r="BC53" i="134"/>
  <c r="BB53" i="134"/>
  <c r="X97" i="134"/>
  <c r="BX67" i="134"/>
  <c r="AQ73" i="134"/>
  <c r="AT73" i="134"/>
  <c r="AP28" i="134"/>
  <c r="BZ28" i="134" s="1"/>
  <c r="BK28" i="134"/>
  <c r="BH11" i="134"/>
  <c r="BA15" i="134"/>
  <c r="AV52" i="134"/>
  <c r="AA87" i="134"/>
  <c r="AV76" i="134"/>
  <c r="Y82" i="134"/>
  <c r="U82" i="134"/>
  <c r="Z82" i="134" s="1"/>
  <c r="BX25" i="134"/>
  <c r="AO82" i="134"/>
  <c r="AN82" i="134"/>
  <c r="AK82" i="134"/>
  <c r="AU27" i="134"/>
  <c r="AV27" i="134"/>
  <c r="AR27" i="134"/>
  <c r="AN38" i="134"/>
  <c r="AO38" i="134"/>
  <c r="AK38" i="134"/>
  <c r="AP40" i="134"/>
  <c r="AP37" i="134"/>
  <c r="BM90" i="134"/>
  <c r="U72" i="134"/>
  <c r="Z72" i="134" s="1"/>
  <c r="Y72" i="134"/>
  <c r="AV37" i="134"/>
  <c r="BE21" i="134"/>
  <c r="BX26" i="134"/>
  <c r="BM29" i="134"/>
  <c r="AI61" i="134"/>
  <c r="BY61" i="134" s="1"/>
  <c r="BE60" i="134"/>
  <c r="AI19" i="134"/>
  <c r="AO15" i="134"/>
  <c r="AO25" i="134"/>
  <c r="AU57" i="134"/>
  <c r="AR57" i="134"/>
  <c r="AV28" i="134"/>
  <c r="AN77" i="134"/>
  <c r="AO77" i="134"/>
  <c r="AK77" i="134"/>
  <c r="AI77" i="134" s="1"/>
  <c r="AU41" i="134"/>
  <c r="AV41" i="134"/>
  <c r="AR41" i="134"/>
  <c r="BX65" i="134"/>
  <c r="BY53" i="134"/>
  <c r="AA53" i="134"/>
  <c r="AO78" i="134"/>
  <c r="AN78" i="134"/>
  <c r="AK78" i="134"/>
  <c r="AI78" i="134" s="1"/>
  <c r="BX30" i="134"/>
  <c r="AQ83" i="134"/>
  <c r="AQ25" i="134"/>
  <c r="AT25" i="134"/>
  <c r="AI11" i="134"/>
  <c r="AQ70" i="134"/>
  <c r="AT70" i="134"/>
  <c r="AV54" i="134"/>
  <c r="AU54" i="134"/>
  <c r="AR54" i="134"/>
  <c r="AP74" i="134"/>
  <c r="BZ74" i="134" s="1"/>
  <c r="BA52" i="134"/>
  <c r="BH65" i="134"/>
  <c r="BH91" i="134"/>
  <c r="AV60" i="134"/>
  <c r="AU60" i="134"/>
  <c r="AR60" i="134"/>
  <c r="AQ15" i="134"/>
  <c r="AX15" i="134" s="1"/>
  <c r="AA63" i="134"/>
  <c r="AP43" i="134"/>
  <c r="BZ43" i="134" s="1"/>
  <c r="Y73" i="134"/>
  <c r="U73" i="134"/>
  <c r="Z73" i="134" s="1"/>
  <c r="AV40" i="134"/>
  <c r="BA45" i="134"/>
  <c r="BA90" i="134"/>
  <c r="AA36" i="134"/>
  <c r="AV61" i="134"/>
  <c r="AU61" i="134"/>
  <c r="AR61" i="134"/>
  <c r="AP61" i="134" s="1"/>
  <c r="U83" i="134"/>
  <c r="Z83" i="134" s="1"/>
  <c r="Y83" i="134"/>
  <c r="BH83" i="134" s="1"/>
  <c r="BH32" i="134"/>
  <c r="AQ30" i="134"/>
  <c r="AT30" i="134"/>
  <c r="BH12" i="134"/>
  <c r="BM12" i="134" s="1"/>
  <c r="AQ62" i="134"/>
  <c r="AT62" i="134"/>
  <c r="Y25" i="134"/>
  <c r="BA25" i="134" s="1"/>
  <c r="U25" i="134"/>
  <c r="Z25" i="134" s="1"/>
  <c r="BH42" i="134"/>
  <c r="BM42" i="134" s="1"/>
  <c r="AA55" i="134"/>
  <c r="AQ92" i="134"/>
  <c r="AV11" i="134"/>
  <c r="AU11" i="134"/>
  <c r="AR11" i="134"/>
  <c r="AP11" i="134" s="1"/>
  <c r="U70" i="134"/>
  <c r="Z70" i="134" s="1"/>
  <c r="Y70" i="134"/>
  <c r="BA70" i="134" s="1"/>
  <c r="BH87" i="134"/>
  <c r="U79" i="134"/>
  <c r="Z79" i="134" s="1"/>
  <c r="Y79" i="134"/>
  <c r="AX79" i="134" s="1"/>
  <c r="BA76" i="134"/>
  <c r="BY39" i="134"/>
  <c r="AY89" i="134"/>
  <c r="AA18" i="134"/>
  <c r="BE48" i="134"/>
  <c r="BK48" i="134" s="1"/>
  <c r="V111" i="134"/>
  <c r="AV81" i="134"/>
  <c r="AU81" i="134"/>
  <c r="AR81" i="134"/>
  <c r="AP24" i="134"/>
  <c r="BH55" i="134"/>
  <c r="BM55" i="134" s="1"/>
  <c r="AA91" i="134"/>
  <c r="BA64" i="134"/>
  <c r="BM64" i="134" s="1"/>
  <c r="V101" i="134"/>
  <c r="AB46" i="134"/>
  <c r="AB5" i="134" s="1"/>
  <c r="G2" i="134" s="1"/>
  <c r="AJ46" i="134"/>
  <c r="AC5" i="134"/>
  <c r="G3" i="134" s="1"/>
  <c r="AP84" i="134"/>
  <c r="AV88" i="134"/>
  <c r="BA65" i="134"/>
  <c r="BA91" i="134"/>
  <c r="BH67" i="134"/>
  <c r="U59" i="134"/>
  <c r="Z59" i="134" s="1"/>
  <c r="BH59" i="134" s="1"/>
  <c r="Y59" i="134"/>
  <c r="BH15" i="134"/>
  <c r="BM15" i="134" s="1"/>
  <c r="AO10" i="134"/>
  <c r="AH5" i="134"/>
  <c r="AN10" i="134"/>
  <c r="AK10" i="134"/>
  <c r="AI10" i="134" s="1"/>
  <c r="AP89" i="134"/>
  <c r="BA11" i="134"/>
  <c r="AV22" i="134"/>
  <c r="AU22" i="134"/>
  <c r="AR22" i="134"/>
  <c r="AP22" i="134" s="1"/>
  <c r="BX14" i="134"/>
  <c r="AQ51" i="134"/>
  <c r="AX13" i="134"/>
  <c r="AU64" i="134"/>
  <c r="AV64" i="134"/>
  <c r="AR64" i="134"/>
  <c r="AP64" i="134" s="1"/>
  <c r="AV19" i="134"/>
  <c r="AU19" i="134"/>
  <c r="AR19" i="134"/>
  <c r="AP19" i="134" s="1"/>
  <c r="BA19" i="134"/>
  <c r="BM19" i="134" s="1"/>
  <c r="BH47" i="134"/>
  <c r="BM47" i="134" s="1"/>
  <c r="AV66" i="134"/>
  <c r="AU66" i="134"/>
  <c r="AR66" i="134"/>
  <c r="AP66" i="134" s="1"/>
  <c r="AV56" i="134"/>
  <c r="AO62" i="134"/>
  <c r="BX23" i="134"/>
  <c r="BY12" i="134"/>
  <c r="AQ33" i="134"/>
  <c r="AT33" i="134"/>
  <c r="BE81" i="134"/>
  <c r="AQ72" i="134"/>
  <c r="U62" i="134"/>
  <c r="Z62" i="134" s="1"/>
  <c r="Y62" i="134"/>
  <c r="AX37" i="134"/>
  <c r="AI85" i="134"/>
  <c r="BX51" i="134"/>
  <c r="BH28" i="134"/>
  <c r="BM28" i="134" s="1"/>
  <c r="BF53" i="134"/>
  <c r="BX57" i="134"/>
  <c r="AT32" i="134"/>
  <c r="AU68" i="134"/>
  <c r="AV68" i="134"/>
  <c r="AR68" i="134"/>
  <c r="AP68" i="134" s="1"/>
  <c r="BX70" i="134"/>
  <c r="AT79" i="134"/>
  <c r="AX24" i="134"/>
  <c r="AW24" i="134" s="1"/>
  <c r="BC24" i="134"/>
  <c r="BB24" i="134"/>
  <c r="AA66" i="134"/>
  <c r="BA32" i="134"/>
  <c r="U30" i="134"/>
  <c r="Z30" i="134" s="1"/>
  <c r="Y30" i="134"/>
  <c r="AI54" i="134"/>
  <c r="BY54" i="134" s="1"/>
  <c r="AI83" i="134"/>
  <c r="BY83" i="134" s="1"/>
  <c r="U58" i="134"/>
  <c r="Z58" i="134" s="1"/>
  <c r="Y58" i="134"/>
  <c r="AU36" i="134"/>
  <c r="AV36" i="134"/>
  <c r="AR36" i="134"/>
  <c r="AP36" i="134" s="1"/>
  <c r="AA48" i="134"/>
  <c r="BY76" i="134"/>
  <c r="AP55" i="134"/>
  <c r="AA81" i="134"/>
  <c r="AO73" i="134"/>
  <c r="AN73" i="134"/>
  <c r="AK73" i="134"/>
  <c r="U92" i="134"/>
  <c r="Z92" i="134" s="1"/>
  <c r="Y92" i="134"/>
  <c r="BA92" i="134" s="1"/>
  <c r="BH56" i="134"/>
  <c r="BA16" i="134"/>
  <c r="BX62" i="134"/>
  <c r="BA87" i="134"/>
  <c r="BH76" i="134"/>
  <c r="BM76" i="134" s="1"/>
  <c r="AY21" i="134"/>
  <c r="AY53" i="134"/>
  <c r="BH81" i="134"/>
  <c r="BM81" i="134" s="1"/>
  <c r="AQ57" i="134"/>
  <c r="AV57" i="134" s="1"/>
  <c r="AT57" i="134"/>
  <c r="BH71" i="134"/>
  <c r="AT75" i="134"/>
  <c r="X96" i="134"/>
  <c r="BH60" i="134"/>
  <c r="BM22" i="134"/>
  <c r="AA46" i="134"/>
  <c r="BA66" i="134"/>
  <c r="AV49" i="134"/>
  <c r="BX72" i="134"/>
  <c r="U23" i="134"/>
  <c r="Z23" i="134" s="1"/>
  <c r="Y23" i="134"/>
  <c r="AO23" i="134"/>
  <c r="AN23" i="134"/>
  <c r="AK23" i="134"/>
  <c r="AA60" i="134"/>
  <c r="AQ59" i="134"/>
  <c r="AM5" i="134"/>
  <c r="H5" i="134" s="1"/>
  <c r="BA72" i="134"/>
  <c r="BA73" i="134"/>
  <c r="BH48" i="134"/>
  <c r="AI29" i="134"/>
  <c r="AI84" i="134"/>
  <c r="AT72" i="134"/>
  <c r="AU47" i="134"/>
  <c r="AR47" i="134"/>
  <c r="AP47" i="134" s="1"/>
  <c r="AV39" i="134"/>
  <c r="AU39" i="134"/>
  <c r="AR39" i="134"/>
  <c r="AP39" i="134" s="1"/>
  <c r="AO59" i="134"/>
  <c r="AO45" i="134"/>
  <c r="BA50" i="134"/>
  <c r="BH50" i="134"/>
  <c r="AA50" i="134"/>
  <c r="AV13" i="134"/>
  <c r="AU13" i="134"/>
  <c r="AR13" i="134"/>
  <c r="AP13" i="134" s="1"/>
  <c r="BY44" i="134"/>
  <c r="BB80" i="134"/>
  <c r="AU18" i="134"/>
  <c r="AV18" i="134"/>
  <c r="AR18" i="134"/>
  <c r="BC48" i="134"/>
  <c r="BF48" i="134" s="1"/>
  <c r="BB48" i="134"/>
  <c r="U33" i="134"/>
  <c r="Z33" i="134" s="1"/>
  <c r="AA33" i="134" s="1"/>
  <c r="Y33" i="134"/>
  <c r="AU85" i="134"/>
  <c r="AR85" i="134"/>
  <c r="BX35" i="134"/>
  <c r="BA55" i="134"/>
  <c r="BH49" i="134"/>
  <c r="BM49" i="134" s="1"/>
  <c r="U75" i="134"/>
  <c r="Z75" i="134" s="1"/>
  <c r="Y75" i="134"/>
  <c r="BY67" i="134"/>
  <c r="BE11" i="134"/>
  <c r="AQ78" i="134"/>
  <c r="AT78" i="134"/>
  <c r="AO71" i="134"/>
  <c r="AN71" i="134"/>
  <c r="AK71" i="134"/>
  <c r="AI71" i="134" s="1"/>
  <c r="BH44" i="134"/>
  <c r="BM44" i="134" s="1"/>
  <c r="BH68" i="134"/>
  <c r="AQ58" i="134"/>
  <c r="BA39" i="134"/>
  <c r="AX90" i="134"/>
  <c r="AW90" i="134" s="1"/>
  <c r="BB90" i="134"/>
  <c r="AP48" i="134"/>
  <c r="AO51" i="134"/>
  <c r="AP81" i="134"/>
  <c r="BK81" i="134"/>
  <c r="AA26" i="134"/>
  <c r="BA83" i="134"/>
  <c r="BA56" i="134"/>
  <c r="BX47" i="134"/>
  <c r="AI68" i="134"/>
  <c r="AY48" i="134"/>
  <c r="AY80" i="134"/>
  <c r="U57" i="134"/>
  <c r="Z57" i="134" s="1"/>
  <c r="Y57" i="134"/>
  <c r="AQ85" i="134"/>
  <c r="AV85" i="134" s="1"/>
  <c r="AT85" i="134"/>
  <c r="BX38" i="134"/>
  <c r="AO65" i="134"/>
  <c r="AN65" i="134"/>
  <c r="AK65" i="134"/>
  <c r="BA60" i="134"/>
  <c r="AX74" i="134"/>
  <c r="AX40" i="134"/>
  <c r="AV63" i="134"/>
  <c r="AU63" i="134"/>
  <c r="AR63" i="134"/>
  <c r="AP63" i="134" s="1"/>
  <c r="BH66" i="134"/>
  <c r="AA86" i="134"/>
  <c r="AX29" i="134"/>
  <c r="BE29" i="134" s="1"/>
  <c r="AA29" i="134"/>
  <c r="AA11" i="134"/>
  <c r="AP60" i="134"/>
  <c r="BZ60" i="134" s="1"/>
  <c r="BK60" i="134"/>
  <c r="AX14" i="134"/>
  <c r="BE14" i="134" s="1"/>
  <c r="BH14" i="134"/>
  <c r="BA14" i="134"/>
  <c r="BX83" i="134"/>
  <c r="BZ53" i="134"/>
  <c r="AX36" i="134"/>
  <c r="BE36" i="134" s="1"/>
  <c r="BX79" i="134"/>
  <c r="AV44" i="134"/>
  <c r="BA48" i="134"/>
  <c r="BX82" i="134"/>
  <c r="AP90" i="134"/>
  <c r="Y96" i="134"/>
  <c r="BA61" i="134"/>
  <c r="BH86" i="134"/>
  <c r="BM86" i="134" s="1"/>
  <c r="AN75" i="134"/>
  <c r="AO75" i="134"/>
  <c r="AK75" i="134"/>
  <c r="AT59" i="134"/>
  <c r="AX38" i="134"/>
  <c r="BE38" i="134" s="1"/>
  <c r="AV50" i="134"/>
  <c r="BS48" i="134" l="1"/>
  <c r="AP83" i="134"/>
  <c r="BZ83" i="134" s="1"/>
  <c r="O105" i="134"/>
  <c r="G7" i="134"/>
  <c r="G8" i="134" s="1"/>
  <c r="BM61" i="134"/>
  <c r="BZ36" i="134"/>
  <c r="BY34" i="134"/>
  <c r="BZ29" i="134"/>
  <c r="BZ11" i="134"/>
  <c r="BS53" i="134"/>
  <c r="BE80" i="134"/>
  <c r="BD80" i="134" s="1"/>
  <c r="BQ80" i="134" s="1"/>
  <c r="AR44" i="134"/>
  <c r="AP44" i="134" s="1"/>
  <c r="BZ44" i="134" s="1"/>
  <c r="AU44" i="134"/>
  <c r="BD53" i="134"/>
  <c r="AX57" i="134"/>
  <c r="BH23" i="134"/>
  <c r="BZ69" i="134"/>
  <c r="AX77" i="134"/>
  <c r="BK80" i="134"/>
  <c r="BS80" i="134" s="1"/>
  <c r="BH82" i="134"/>
  <c r="BM82" i="134" s="1"/>
  <c r="BE57" i="134"/>
  <c r="BK57" i="134" s="1"/>
  <c r="BH70" i="134"/>
  <c r="BM70" i="134" s="1"/>
  <c r="AA72" i="134"/>
  <c r="BZ12" i="134"/>
  <c r="BK63" i="134"/>
  <c r="AR34" i="134"/>
  <c r="AV34" i="134"/>
  <c r="AU34" i="134"/>
  <c r="BA82" i="134"/>
  <c r="BZ81" i="134"/>
  <c r="BH62" i="134"/>
  <c r="BS63" i="134"/>
  <c r="AT5" i="134"/>
  <c r="I5" i="134" s="1"/>
  <c r="BS68" i="134"/>
  <c r="AA45" i="134"/>
  <c r="BM83" i="134"/>
  <c r="BM68" i="134"/>
  <c r="BH30" i="134"/>
  <c r="BS87" i="134"/>
  <c r="AA71" i="134"/>
  <c r="BH34" i="134"/>
  <c r="BM34" i="134" s="1"/>
  <c r="Y97" i="134"/>
  <c r="BH72" i="134"/>
  <c r="BM72" i="134" s="1"/>
  <c r="BE42" i="134"/>
  <c r="BK42" i="134" s="1"/>
  <c r="BS42" i="134" s="1"/>
  <c r="BS28" i="134"/>
  <c r="AA77" i="134"/>
  <c r="BZ91" i="134"/>
  <c r="BK64" i="134"/>
  <c r="BE79" i="134"/>
  <c r="BK79" i="134" s="1"/>
  <c r="AA92" i="134"/>
  <c r="AA83" i="134"/>
  <c r="BE24" i="134"/>
  <c r="BE43" i="134"/>
  <c r="BK43" i="134" s="1"/>
  <c r="BS43" i="134" s="1"/>
  <c r="AP34" i="134"/>
  <c r="BZ34" i="134" s="1"/>
  <c r="AR20" i="134"/>
  <c r="AP20" i="134" s="1"/>
  <c r="BZ20" i="134" s="1"/>
  <c r="AV20" i="134"/>
  <c r="AU20" i="134"/>
  <c r="AW74" i="134"/>
  <c r="AA75" i="134"/>
  <c r="BH33" i="134"/>
  <c r="BM50" i="134"/>
  <c r="BH35" i="134"/>
  <c r="BM35" i="134" s="1"/>
  <c r="AA34" i="134"/>
  <c r="BC90" i="134"/>
  <c r="BF90" i="134" s="1"/>
  <c r="BL90" i="134" s="1"/>
  <c r="BS55" i="134"/>
  <c r="BE37" i="134"/>
  <c r="BK37" i="134" s="1"/>
  <c r="BS37" i="134" s="1"/>
  <c r="BM16" i="134"/>
  <c r="BE90" i="134"/>
  <c r="BK90" i="134" s="1"/>
  <c r="BS90" i="134" s="1"/>
  <c r="BM99" i="134"/>
  <c r="BM100" i="134" s="1"/>
  <c r="BM102" i="134" s="1"/>
  <c r="BM103" i="134" s="1"/>
  <c r="BM20" i="134"/>
  <c r="BE15" i="134"/>
  <c r="BZ47" i="134"/>
  <c r="BY10" i="134"/>
  <c r="BC57" i="134"/>
  <c r="BB57" i="134"/>
  <c r="AY57" i="134"/>
  <c r="BZ22" i="134"/>
  <c r="BZ66" i="134"/>
  <c r="BY71" i="134"/>
  <c r="BY77" i="134"/>
  <c r="BY79" i="134"/>
  <c r="BI43" i="134"/>
  <c r="BN43" i="134" s="1"/>
  <c r="BJ43" i="134"/>
  <c r="BF43" i="134"/>
  <c r="BO90" i="134"/>
  <c r="BZ39" i="134"/>
  <c r="AI65" i="134"/>
  <c r="AV75" i="134"/>
  <c r="AU75" i="134"/>
  <c r="AR75" i="134"/>
  <c r="AP75" i="134" s="1"/>
  <c r="BZ75" i="134" s="1"/>
  <c r="BA85" i="134"/>
  <c r="AA85" i="134"/>
  <c r="BM66" i="134"/>
  <c r="AV65" i="134"/>
  <c r="AU65" i="134"/>
  <c r="AR65" i="134"/>
  <c r="AP65" i="134" s="1"/>
  <c r="BZ65" i="134" s="1"/>
  <c r="BL80" i="134"/>
  <c r="AX18" i="134"/>
  <c r="BB18" i="134"/>
  <c r="AY18" i="134"/>
  <c r="AP87" i="134"/>
  <c r="AV45" i="134"/>
  <c r="AU45" i="134"/>
  <c r="AR45" i="134"/>
  <c r="BY29" i="134"/>
  <c r="BA23" i="134"/>
  <c r="BM23" i="134" s="1"/>
  <c r="AA23" i="134"/>
  <c r="AA79" i="134"/>
  <c r="AA57" i="134"/>
  <c r="AV73" i="134"/>
  <c r="AU73" i="134"/>
  <c r="AR73" i="134"/>
  <c r="AP73" i="134" s="1"/>
  <c r="BZ19" i="134"/>
  <c r="AN5" i="134"/>
  <c r="H6" i="134" s="1"/>
  <c r="BX46" i="134"/>
  <c r="BD48" i="134"/>
  <c r="AX70" i="134"/>
  <c r="AA70" i="134"/>
  <c r="BH92" i="134"/>
  <c r="BM92" i="134" s="1"/>
  <c r="BM32" i="134"/>
  <c r="BB61" i="134"/>
  <c r="BC61" i="134"/>
  <c r="AY61" i="134"/>
  <c r="AW61" i="134" s="1"/>
  <c r="BB41" i="134"/>
  <c r="AX41" i="134"/>
  <c r="BC41" i="134" s="1"/>
  <c r="AY41" i="134"/>
  <c r="AU82" i="134"/>
  <c r="AV82" i="134"/>
  <c r="AR82" i="134"/>
  <c r="BM52" i="134"/>
  <c r="BC12" i="134"/>
  <c r="BB12" i="134"/>
  <c r="AY12" i="134"/>
  <c r="AW12" i="134" s="1"/>
  <c r="AI75" i="134"/>
  <c r="AV33" i="134"/>
  <c r="AU33" i="134"/>
  <c r="AR33" i="134"/>
  <c r="AV79" i="134"/>
  <c r="AU79" i="134"/>
  <c r="AR79" i="134"/>
  <c r="AP79" i="134" s="1"/>
  <c r="BH25" i="134"/>
  <c r="BM25" i="134" s="1"/>
  <c r="BS56" i="134"/>
  <c r="AA39" i="134"/>
  <c r="AX65" i="134"/>
  <c r="BE65" i="134" s="1"/>
  <c r="BK65" i="134" s="1"/>
  <c r="BS65" i="134" s="1"/>
  <c r="AX47" i="134"/>
  <c r="BC47" i="134" s="1"/>
  <c r="BB47" i="134"/>
  <c r="AY47" i="134"/>
  <c r="AU23" i="134"/>
  <c r="AV23" i="134"/>
  <c r="AR23" i="134"/>
  <c r="AP23" i="134" s="1"/>
  <c r="BI24" i="134"/>
  <c r="BN24" i="134" s="1"/>
  <c r="BJ24" i="134"/>
  <c r="BB40" i="134"/>
  <c r="BC40" i="134"/>
  <c r="AY40" i="134"/>
  <c r="BC37" i="134"/>
  <c r="BB37" i="134"/>
  <c r="AY37" i="134"/>
  <c r="BC52" i="134"/>
  <c r="BB52" i="134"/>
  <c r="AY52" i="134"/>
  <c r="BY60" i="134"/>
  <c r="BL48" i="134"/>
  <c r="BO48" i="134" s="1"/>
  <c r="BZ48" i="134"/>
  <c r="BB85" i="134"/>
  <c r="AX85" i="134"/>
  <c r="AY85" i="134"/>
  <c r="AU59" i="134"/>
  <c r="AV59" i="134"/>
  <c r="AR59" i="134"/>
  <c r="BM48" i="134"/>
  <c r="BM60" i="134"/>
  <c r="AP57" i="134"/>
  <c r="BS81" i="134"/>
  <c r="AX58" i="134"/>
  <c r="BA58" i="134"/>
  <c r="AA58" i="134"/>
  <c r="AX30" i="134"/>
  <c r="BA30" i="134"/>
  <c r="BM30" i="134" s="1"/>
  <c r="AU62" i="134"/>
  <c r="AV62" i="134"/>
  <c r="AR62" i="134"/>
  <c r="BH79" i="134"/>
  <c r="BK24" i="134"/>
  <c r="AW80" i="134"/>
  <c r="AX73" i="134"/>
  <c r="BE73" i="134" s="1"/>
  <c r="AA73" i="134"/>
  <c r="BY11" i="134"/>
  <c r="BK14" i="134"/>
  <c r="AX72" i="134"/>
  <c r="BZ37" i="134"/>
  <c r="BM11" i="134"/>
  <c r="AU16" i="134"/>
  <c r="AV16" i="134"/>
  <c r="AR16" i="134"/>
  <c r="AP16" i="134" s="1"/>
  <c r="BB17" i="134"/>
  <c r="AX17" i="134"/>
  <c r="BC17" i="134" s="1"/>
  <c r="AY17" i="134"/>
  <c r="BH75" i="134"/>
  <c r="AX84" i="134"/>
  <c r="BC84" i="134" s="1"/>
  <c r="BB84" i="134"/>
  <c r="AY84" i="134"/>
  <c r="BC87" i="134"/>
  <c r="BB87" i="134"/>
  <c r="AY87" i="134"/>
  <c r="AW87" i="134" s="1"/>
  <c r="BY91" i="134"/>
  <c r="AV92" i="134"/>
  <c r="AU92" i="134"/>
  <c r="AR92" i="134"/>
  <c r="AP92" i="134" s="1"/>
  <c r="BO80" i="134"/>
  <c r="AA54" i="134"/>
  <c r="BS64" i="134"/>
  <c r="AP27" i="134"/>
  <c r="BC74" i="134"/>
  <c r="AW43" i="134"/>
  <c r="BC36" i="134"/>
  <c r="BB36" i="134"/>
  <c r="AY36" i="134"/>
  <c r="AW36" i="134" s="1"/>
  <c r="AK5" i="134"/>
  <c r="H4" i="134" s="1"/>
  <c r="AI46" i="134"/>
  <c r="BY46" i="134" s="1"/>
  <c r="AQ46" i="134"/>
  <c r="BD89" i="134"/>
  <c r="BK61" i="134"/>
  <c r="AX67" i="134"/>
  <c r="BA67" i="134"/>
  <c r="BM67" i="134" s="1"/>
  <c r="AV94" i="134"/>
  <c r="AV95" i="134" s="1"/>
  <c r="AX50" i="134"/>
  <c r="BC50" i="134" s="1"/>
  <c r="BB50" i="134"/>
  <c r="AY50" i="134"/>
  <c r="AX44" i="134"/>
  <c r="BC44" i="134" s="1"/>
  <c r="BB44" i="134"/>
  <c r="AY44" i="134"/>
  <c r="BY68" i="134"/>
  <c r="BJ80" i="134"/>
  <c r="BI80" i="134"/>
  <c r="BN80" i="134" s="1"/>
  <c r="BK11" i="134"/>
  <c r="BE40" i="134"/>
  <c r="BK40" i="134" s="1"/>
  <c r="BM56" i="134"/>
  <c r="BZ55" i="134"/>
  <c r="BE30" i="134"/>
  <c r="BH58" i="134"/>
  <c r="BM58" i="134" s="1"/>
  <c r="BB56" i="134"/>
  <c r="BC56" i="134"/>
  <c r="AY56" i="134"/>
  <c r="AX19" i="134"/>
  <c r="BC19" i="134" s="1"/>
  <c r="BB19" i="134"/>
  <c r="AY19" i="134"/>
  <c r="BK89" i="134"/>
  <c r="AU10" i="134"/>
  <c r="AV10" i="134"/>
  <c r="AR10" i="134"/>
  <c r="AP10" i="134" s="1"/>
  <c r="AP41" i="134"/>
  <c r="BZ41" i="134" s="1"/>
  <c r="BT99" i="134" s="1"/>
  <c r="BZ24" i="134"/>
  <c r="BL89" i="134"/>
  <c r="BB60" i="134"/>
  <c r="BC60" i="134"/>
  <c r="AY60" i="134"/>
  <c r="AW60" i="134" s="1"/>
  <c r="AW48" i="134"/>
  <c r="BQ48" i="134" s="1"/>
  <c r="BR48" i="134" s="1"/>
  <c r="AV25" i="134"/>
  <c r="AU25" i="134"/>
  <c r="AR25" i="134"/>
  <c r="AP25" i="134" s="1"/>
  <c r="BD21" i="134"/>
  <c r="BB27" i="134"/>
  <c r="BC27" i="134"/>
  <c r="AX27" i="134"/>
  <c r="AY27" i="134"/>
  <c r="AX16" i="134"/>
  <c r="Y106" i="134"/>
  <c r="AI32" i="134"/>
  <c r="BJ21" i="134"/>
  <c r="BI21" i="134"/>
  <c r="BN21" i="134" s="1"/>
  <c r="AV30" i="134"/>
  <c r="AU30" i="134"/>
  <c r="AR30" i="134"/>
  <c r="AP30" i="134" s="1"/>
  <c r="BA77" i="134"/>
  <c r="BZ80" i="134"/>
  <c r="AP54" i="134"/>
  <c r="BZ54" i="134" s="1"/>
  <c r="BH78" i="134"/>
  <c r="BM78" i="134" s="1"/>
  <c r="AP17" i="134"/>
  <c r="AP82" i="134"/>
  <c r="BZ82" i="134" s="1"/>
  <c r="AJ5" i="134"/>
  <c r="H3" i="134" s="1"/>
  <c r="P98" i="134"/>
  <c r="BK54" i="134"/>
  <c r="Z97" i="134"/>
  <c r="BY41" i="134"/>
  <c r="BQ99" i="134" s="1"/>
  <c r="BL53" i="134"/>
  <c r="BO53" i="134" s="1"/>
  <c r="AW37" i="134"/>
  <c r="BZ89" i="134"/>
  <c r="AX88" i="134"/>
  <c r="BC88" i="134" s="1"/>
  <c r="BB88" i="134"/>
  <c r="AY88" i="134"/>
  <c r="BK76" i="134"/>
  <c r="AA30" i="134"/>
  <c r="BH85" i="134"/>
  <c r="BM91" i="134"/>
  <c r="AA25" i="134"/>
  <c r="AV77" i="134"/>
  <c r="AU77" i="134"/>
  <c r="AR77" i="134"/>
  <c r="AP77" i="134" s="1"/>
  <c r="BZ77" i="134" s="1"/>
  <c r="AV15" i="134"/>
  <c r="AU15" i="134"/>
  <c r="AR15" i="134"/>
  <c r="BZ40" i="134"/>
  <c r="BB86" i="134"/>
  <c r="BC86" i="134"/>
  <c r="AY86" i="134"/>
  <c r="BY58" i="134"/>
  <c r="Y105" i="134"/>
  <c r="AA67" i="134"/>
  <c r="Z106" i="134"/>
  <c r="AI73" i="134"/>
  <c r="AV14" i="134"/>
  <c r="AU14" i="134"/>
  <c r="AR14" i="134"/>
  <c r="AP14" i="134" s="1"/>
  <c r="AU35" i="134"/>
  <c r="AV35" i="134"/>
  <c r="AR35" i="134"/>
  <c r="AP35" i="134" s="1"/>
  <c r="Z99" i="134"/>
  <c r="Z5" i="134"/>
  <c r="Z96" i="134"/>
  <c r="AU58" i="134"/>
  <c r="AV58" i="134"/>
  <c r="AR58" i="134"/>
  <c r="AP58" i="134" s="1"/>
  <c r="AA35" i="134"/>
  <c r="BK52" i="134"/>
  <c r="BS52" i="134" s="1"/>
  <c r="BC42" i="134"/>
  <c r="AV26" i="134"/>
  <c r="AU26" i="134"/>
  <c r="AR26" i="134"/>
  <c r="AP26" i="134" s="1"/>
  <c r="L105" i="134"/>
  <c r="AV83" i="134"/>
  <c r="BA57" i="134"/>
  <c r="BJ48" i="134"/>
  <c r="BI48" i="134"/>
  <c r="BN48" i="134" s="1"/>
  <c r="AU51" i="134"/>
  <c r="AV51" i="134"/>
  <c r="AR51" i="134"/>
  <c r="AP51" i="134" s="1"/>
  <c r="AX75" i="134"/>
  <c r="BE75" i="134" s="1"/>
  <c r="BA75" i="134"/>
  <c r="BB22" i="134"/>
  <c r="AX22" i="134"/>
  <c r="BC22" i="134" s="1"/>
  <c r="AY22" i="134"/>
  <c r="BM87" i="134"/>
  <c r="AP70" i="134"/>
  <c r="BE13" i="134"/>
  <c r="BK13" i="134" s="1"/>
  <c r="BZ49" i="134"/>
  <c r="BB63" i="134"/>
  <c r="BC63" i="134"/>
  <c r="AY63" i="134"/>
  <c r="AW63" i="134" s="1"/>
  <c r="BI90" i="134"/>
  <c r="BN90" i="134" s="1"/>
  <c r="BP90" i="134" s="1"/>
  <c r="BJ90" i="134"/>
  <c r="BB13" i="134"/>
  <c r="BC13" i="134"/>
  <c r="AY13" i="134"/>
  <c r="AW13" i="134" s="1"/>
  <c r="BK36" i="134"/>
  <c r="BM14" i="134"/>
  <c r="AP18" i="134"/>
  <c r="BZ18" i="134" s="1"/>
  <c r="AP85" i="134"/>
  <c r="BM39" i="134"/>
  <c r="BC39" i="134"/>
  <c r="BB39" i="134"/>
  <c r="AY39" i="134"/>
  <c r="BS60" i="134"/>
  <c r="BK38" i="134"/>
  <c r="BL21" i="134"/>
  <c r="AA62" i="134"/>
  <c r="BA62" i="134"/>
  <c r="BM62" i="134" s="1"/>
  <c r="BB64" i="134"/>
  <c r="BC64" i="134"/>
  <c r="AY64" i="134"/>
  <c r="AW64" i="134" s="1"/>
  <c r="BH73" i="134"/>
  <c r="BM73" i="134" s="1"/>
  <c r="AX59" i="134"/>
  <c r="BA59" i="134"/>
  <c r="BM59" i="134" s="1"/>
  <c r="AA59" i="134"/>
  <c r="BC11" i="134"/>
  <c r="BB11" i="134"/>
  <c r="AY11" i="134"/>
  <c r="AW11" i="134" s="1"/>
  <c r="BM65" i="134"/>
  <c r="BH57" i="134"/>
  <c r="AW53" i="134"/>
  <c r="BQ53" i="134" s="1"/>
  <c r="BR53" i="134" s="1"/>
  <c r="AI38" i="134"/>
  <c r="AX82" i="134"/>
  <c r="BE82" i="134" s="1"/>
  <c r="AA82" i="134"/>
  <c r="BM63" i="134"/>
  <c r="BZ88" i="134"/>
  <c r="AV72" i="134"/>
  <c r="AU72" i="134"/>
  <c r="AR72" i="134"/>
  <c r="BE39" i="134"/>
  <c r="BK39" i="134" s="1"/>
  <c r="BK21" i="134"/>
  <c r="AP67" i="134"/>
  <c r="AV32" i="134"/>
  <c r="AU32" i="134"/>
  <c r="AR32" i="134"/>
  <c r="AP32" i="134" s="1"/>
  <c r="AW21" i="134"/>
  <c r="BH54" i="134"/>
  <c r="BM54" i="134" s="1"/>
  <c r="AP31" i="134"/>
  <c r="Y99" i="134"/>
  <c r="AX10" i="134"/>
  <c r="BE10" i="134" s="1"/>
  <c r="Y5" i="134"/>
  <c r="V3" i="134" s="1"/>
  <c r="AA10" i="134"/>
  <c r="BA10" i="134"/>
  <c r="BM10" i="134" s="1"/>
  <c r="BK12" i="134"/>
  <c r="BS12" i="134" s="1"/>
  <c r="BY18" i="134"/>
  <c r="BZ52" i="134"/>
  <c r="AV67" i="134"/>
  <c r="AW89" i="134"/>
  <c r="BQ89" i="134" s="1"/>
  <c r="BZ90" i="134"/>
  <c r="AW40" i="134"/>
  <c r="BZ64" i="134"/>
  <c r="AW57" i="134"/>
  <c r="AV71" i="134"/>
  <c r="AU71" i="134"/>
  <c r="AR71" i="134"/>
  <c r="AP71" i="134" s="1"/>
  <c r="BZ13" i="134"/>
  <c r="AI23" i="134"/>
  <c r="AX49" i="134"/>
  <c r="BC49" i="134"/>
  <c r="BB49" i="134"/>
  <c r="AY49" i="134"/>
  <c r="BC68" i="134"/>
  <c r="BB68" i="134"/>
  <c r="AY68" i="134"/>
  <c r="AW68" i="134" s="1"/>
  <c r="BF24" i="134"/>
  <c r="BL24" i="134" s="1"/>
  <c r="BB66" i="134"/>
  <c r="BC66" i="134"/>
  <c r="AY66" i="134"/>
  <c r="BZ63" i="134"/>
  <c r="BB81" i="134"/>
  <c r="BC81" i="134"/>
  <c r="AY81" i="134"/>
  <c r="BA79" i="134"/>
  <c r="BC54" i="134"/>
  <c r="BB54" i="134"/>
  <c r="AY54" i="134"/>
  <c r="AW54" i="134" s="1"/>
  <c r="BY19" i="134"/>
  <c r="AV38" i="134"/>
  <c r="AU38" i="134"/>
  <c r="AR38" i="134"/>
  <c r="AP38" i="134" s="1"/>
  <c r="BZ38" i="134" s="1"/>
  <c r="BC76" i="134"/>
  <c r="BB76" i="134"/>
  <c r="AY76" i="134"/>
  <c r="AW76" i="134" s="1"/>
  <c r="BI53" i="134"/>
  <c r="BN53" i="134" s="1"/>
  <c r="BP53" i="134" s="1"/>
  <c r="BJ53" i="134"/>
  <c r="BC69" i="134"/>
  <c r="BB69" i="134"/>
  <c r="AY69" i="134"/>
  <c r="BH77" i="134"/>
  <c r="BD90" i="134"/>
  <c r="BQ90" i="134" s="1"/>
  <c r="BR90" i="134" s="1"/>
  <c r="BE77" i="134"/>
  <c r="AO46" i="134"/>
  <c r="AO5" i="134" s="1"/>
  <c r="BZ21" i="134"/>
  <c r="BZ42" i="134"/>
  <c r="BK86" i="134"/>
  <c r="BC29" i="134"/>
  <c r="BB29" i="134"/>
  <c r="AY29" i="134"/>
  <c r="AW29" i="134" s="1"/>
  <c r="AX91" i="134"/>
  <c r="BC91" i="134" s="1"/>
  <c r="BB91" i="134"/>
  <c r="AY91" i="134"/>
  <c r="BA33" i="134"/>
  <c r="BM33" i="134" s="1"/>
  <c r="BK29" i="134"/>
  <c r="BS29" i="134" s="1"/>
  <c r="BZ61" i="134"/>
  <c r="BK74" i="134"/>
  <c r="AV78" i="134"/>
  <c r="AU78" i="134"/>
  <c r="AR78" i="134"/>
  <c r="AP78" i="134" s="1"/>
  <c r="BB28" i="134"/>
  <c r="BC28" i="134"/>
  <c r="AY28" i="134"/>
  <c r="AI82" i="134"/>
  <c r="AX78" i="134"/>
  <c r="BE78" i="134" s="1"/>
  <c r="AA78" i="134"/>
  <c r="AX71" i="134"/>
  <c r="BE71" i="134" s="1"/>
  <c r="BA71" i="134"/>
  <c r="BM71" i="134" s="1"/>
  <c r="BZ68" i="134"/>
  <c r="AV70" i="134"/>
  <c r="BC55" i="134"/>
  <c r="BB55" i="134"/>
  <c r="AY55" i="134"/>
  <c r="BZ86" i="134"/>
  <c r="BY69" i="134"/>
  <c r="AX31" i="134"/>
  <c r="BC31" i="134" s="1"/>
  <c r="BB31" i="134"/>
  <c r="AY31" i="134"/>
  <c r="Z105" i="134"/>
  <c r="BS61" i="134"/>
  <c r="BK66" i="134"/>
  <c r="BJ89" i="134"/>
  <c r="BI89" i="134"/>
  <c r="BN89" i="134" s="1"/>
  <c r="BE74" i="134"/>
  <c r="BL43" i="134"/>
  <c r="BO43" i="134" s="1"/>
  <c r="BQ21" i="134" l="1"/>
  <c r="BM85" i="134"/>
  <c r="BP43" i="134"/>
  <c r="BD24" i="134"/>
  <c r="BQ24" i="134" s="1"/>
  <c r="BZ32" i="134"/>
  <c r="BC85" i="134"/>
  <c r="BZ79" i="134"/>
  <c r="BN100" i="134"/>
  <c r="BN102" i="134" s="1"/>
  <c r="BN103" i="134" s="1"/>
  <c r="H7" i="134"/>
  <c r="H8" i="134" s="1"/>
  <c r="BE85" i="134"/>
  <c r="BK85" i="134" s="1"/>
  <c r="BS85" i="134" s="1"/>
  <c r="BS79" i="134"/>
  <c r="BA5" i="134"/>
  <c r="J5" i="134" s="1"/>
  <c r="BZ23" i="134"/>
  <c r="BP80" i="134"/>
  <c r="BM75" i="134"/>
  <c r="AY34" i="134"/>
  <c r="BB34" i="134"/>
  <c r="AX34" i="134"/>
  <c r="BM79" i="134"/>
  <c r="AY20" i="134"/>
  <c r="AX20" i="134"/>
  <c r="BC20" i="134" s="1"/>
  <c r="BB20" i="134"/>
  <c r="BZ73" i="134"/>
  <c r="BD43" i="134"/>
  <c r="BQ43" i="134" s="1"/>
  <c r="BR43" i="134" s="1"/>
  <c r="BZ58" i="134"/>
  <c r="BZ25" i="134"/>
  <c r="BS13" i="134"/>
  <c r="BZ51" i="134"/>
  <c r="BI88" i="134"/>
  <c r="BN88" i="134" s="1"/>
  <c r="BF88" i="134"/>
  <c r="BL88" i="134" s="1"/>
  <c r="BI44" i="134"/>
  <c r="BN44" i="134" s="1"/>
  <c r="BF44" i="134"/>
  <c r="BZ92" i="134"/>
  <c r="BS40" i="134"/>
  <c r="BI22" i="134"/>
  <c r="BN22" i="134" s="1"/>
  <c r="BF22" i="134"/>
  <c r="BL22" i="134" s="1"/>
  <c r="BZ35" i="134"/>
  <c r="AW55" i="134"/>
  <c r="BT48" i="134"/>
  <c r="BU48" i="134" s="1"/>
  <c r="BV48" i="134" s="1"/>
  <c r="BB15" i="134"/>
  <c r="BC15" i="134"/>
  <c r="AY15" i="134"/>
  <c r="AW15" i="134" s="1"/>
  <c r="BZ17" i="134"/>
  <c r="BP48" i="134"/>
  <c r="BJ55" i="134"/>
  <c r="BI55" i="134"/>
  <c r="BN55" i="134" s="1"/>
  <c r="BF55" i="134"/>
  <c r="BD55" i="134" s="1"/>
  <c r="BJ76" i="134"/>
  <c r="BI76" i="134"/>
  <c r="BN76" i="134" s="1"/>
  <c r="BF76" i="134"/>
  <c r="BD76" i="134" s="1"/>
  <c r="BQ76" i="134" s="1"/>
  <c r="BJ66" i="134"/>
  <c r="BI66" i="134"/>
  <c r="BN66" i="134" s="1"/>
  <c r="BF66" i="134"/>
  <c r="BD66" i="134" s="1"/>
  <c r="BY38" i="134"/>
  <c r="BJ42" i="134"/>
  <c r="BI42" i="134"/>
  <c r="BN42" i="134" s="1"/>
  <c r="BF42" i="134"/>
  <c r="AW81" i="134"/>
  <c r="BS76" i="134"/>
  <c r="AX25" i="134"/>
  <c r="BB25" i="134"/>
  <c r="AY25" i="134"/>
  <c r="AW58" i="134"/>
  <c r="AX23" i="134"/>
  <c r="BB23" i="134"/>
  <c r="AY23" i="134"/>
  <c r="BC73" i="134"/>
  <c r="BB73" i="134"/>
  <c r="AY73" i="134"/>
  <c r="BK10" i="134"/>
  <c r="BS10" i="134" s="1"/>
  <c r="BB78" i="134"/>
  <c r="BC78" i="134"/>
  <c r="AY78" i="134"/>
  <c r="AW91" i="134"/>
  <c r="BE91" i="134"/>
  <c r="BI68" i="134"/>
  <c r="BN68" i="134" s="1"/>
  <c r="BJ68" i="134"/>
  <c r="BF68" i="134"/>
  <c r="BD68" i="134" s="1"/>
  <c r="BQ68" i="134" s="1"/>
  <c r="BZ30" i="134"/>
  <c r="AX35" i="134"/>
  <c r="BC35" i="134" s="1"/>
  <c r="BB35" i="134"/>
  <c r="AY35" i="134"/>
  <c r="BC65" i="134"/>
  <c r="BB65" i="134"/>
  <c r="AY65" i="134"/>
  <c r="AW65" i="134" s="1"/>
  <c r="AW66" i="134"/>
  <c r="BZ70" i="134"/>
  <c r="AW50" i="134"/>
  <c r="BE50" i="134"/>
  <c r="BK50" i="134" s="1"/>
  <c r="BS36" i="134"/>
  <c r="AW31" i="134"/>
  <c r="BE31" i="134"/>
  <c r="BC70" i="134"/>
  <c r="BB70" i="134"/>
  <c r="AY70" i="134"/>
  <c r="AW70" i="134" s="1"/>
  <c r="AV46" i="134"/>
  <c r="AV5" i="134" s="1"/>
  <c r="AU46" i="134"/>
  <c r="AU5" i="134" s="1"/>
  <c r="I6" i="134" s="1"/>
  <c r="AR46" i="134"/>
  <c r="AR5" i="134" s="1"/>
  <c r="I4" i="134" s="1"/>
  <c r="BJ54" i="134"/>
  <c r="BI54" i="134"/>
  <c r="BN54" i="134" s="1"/>
  <c r="BF54" i="134"/>
  <c r="BD54" i="134" s="1"/>
  <c r="BQ54" i="134" s="1"/>
  <c r="BJ81" i="134"/>
  <c r="BI81" i="134"/>
  <c r="BN81" i="134" s="1"/>
  <c r="BF81" i="134"/>
  <c r="BD81" i="134" s="1"/>
  <c r="BZ31" i="134"/>
  <c r="BB32" i="134"/>
  <c r="AX32" i="134"/>
  <c r="BC32" i="134" s="1"/>
  <c r="AY32" i="134"/>
  <c r="BB72" i="134"/>
  <c r="BC72" i="134"/>
  <c r="AY72" i="134"/>
  <c r="AW72" i="134" s="1"/>
  <c r="BS66" i="134"/>
  <c r="BJ39" i="134"/>
  <c r="BI39" i="134"/>
  <c r="BN39" i="134" s="1"/>
  <c r="BF39" i="134"/>
  <c r="BL39" i="134" s="1"/>
  <c r="BO39" i="134" s="1"/>
  <c r="BJ63" i="134"/>
  <c r="BI63" i="134"/>
  <c r="BN63" i="134" s="1"/>
  <c r="BF63" i="134"/>
  <c r="BD63" i="134" s="1"/>
  <c r="BQ63" i="134" s="1"/>
  <c r="BK75" i="134"/>
  <c r="BZ14" i="134"/>
  <c r="AW39" i="134"/>
  <c r="AP72" i="134"/>
  <c r="AW27" i="134"/>
  <c r="BE27" i="134"/>
  <c r="BL44" i="134"/>
  <c r="BJ87" i="134"/>
  <c r="BI87" i="134"/>
  <c r="BN87" i="134" s="1"/>
  <c r="BF87" i="134"/>
  <c r="BD87" i="134" s="1"/>
  <c r="BQ87" i="134" s="1"/>
  <c r="BB62" i="134"/>
  <c r="AX62" i="134"/>
  <c r="BC62" i="134" s="1"/>
  <c r="AY62" i="134"/>
  <c r="BC59" i="134"/>
  <c r="BB59" i="134"/>
  <c r="AY59" i="134"/>
  <c r="AW59" i="134" s="1"/>
  <c r="BJ52" i="134"/>
  <c r="BI52" i="134"/>
  <c r="BN52" i="134" s="1"/>
  <c r="BF52" i="134"/>
  <c r="BD52" i="134" s="1"/>
  <c r="BH5" i="134"/>
  <c r="K5" i="134" s="1"/>
  <c r="BB33" i="134"/>
  <c r="AX33" i="134"/>
  <c r="BC33" i="134" s="1"/>
  <c r="AY33" i="134"/>
  <c r="BC82" i="134"/>
  <c r="BB82" i="134"/>
  <c r="AY82" i="134"/>
  <c r="BS57" i="134"/>
  <c r="BS86" i="134"/>
  <c r="AI5" i="134"/>
  <c r="H2" i="134" s="1"/>
  <c r="BO89" i="134"/>
  <c r="BP89" i="134" s="1"/>
  <c r="BS89" i="134"/>
  <c r="BT89" i="134" s="1"/>
  <c r="BU89" i="134" s="1"/>
  <c r="BV89" i="134" s="1"/>
  <c r="BI50" i="134"/>
  <c r="BN50" i="134" s="1"/>
  <c r="BF50" i="134"/>
  <c r="BL50" i="134" s="1"/>
  <c r="BJ85" i="134"/>
  <c r="BI85" i="134"/>
  <c r="BN85" i="134" s="1"/>
  <c r="BF85" i="134"/>
  <c r="BL85" i="134" s="1"/>
  <c r="AW18" i="134"/>
  <c r="BE18" i="134"/>
  <c r="BK18" i="134" s="1"/>
  <c r="Q98" i="134"/>
  <c r="Q104" i="134" s="1"/>
  <c r="Q105" i="134" s="1"/>
  <c r="P104" i="134"/>
  <c r="P105" i="134" s="1"/>
  <c r="BC30" i="134"/>
  <c r="BB30" i="134"/>
  <c r="AY30" i="134"/>
  <c r="AW30" i="134" s="1"/>
  <c r="BI74" i="134"/>
  <c r="BN74" i="134" s="1"/>
  <c r="BJ74" i="134"/>
  <c r="BF74" i="134"/>
  <c r="BL74" i="134" s="1"/>
  <c r="BO74" i="134" s="1"/>
  <c r="BJ61" i="134"/>
  <c r="BI61" i="134"/>
  <c r="BN61" i="134" s="1"/>
  <c r="BF61" i="134"/>
  <c r="BB45" i="134"/>
  <c r="AX45" i="134"/>
  <c r="BC45" i="134" s="1"/>
  <c r="AY45" i="134"/>
  <c r="BJ28" i="134"/>
  <c r="BI28" i="134"/>
  <c r="BN28" i="134" s="1"/>
  <c r="BF28" i="134"/>
  <c r="BD28" i="134" s="1"/>
  <c r="BI29" i="134"/>
  <c r="BN29" i="134" s="1"/>
  <c r="BJ29" i="134"/>
  <c r="BF29" i="134"/>
  <c r="BZ67" i="134"/>
  <c r="BM57" i="134"/>
  <c r="BJ11" i="134"/>
  <c r="BI11" i="134"/>
  <c r="BN11" i="134" s="1"/>
  <c r="BF11" i="134"/>
  <c r="BD11" i="134" s="1"/>
  <c r="BQ11" i="134" s="1"/>
  <c r="AQ5" i="134"/>
  <c r="I3" i="134" s="1"/>
  <c r="BB51" i="134"/>
  <c r="AX51" i="134"/>
  <c r="BC51" i="134" s="1"/>
  <c r="AY51" i="134"/>
  <c r="AX83" i="134"/>
  <c r="BC83" i="134" s="1"/>
  <c r="BB83" i="134"/>
  <c r="AY83" i="134"/>
  <c r="BB14" i="134"/>
  <c r="BC14" i="134"/>
  <c r="AY14" i="134"/>
  <c r="AW19" i="134"/>
  <c r="BE19" i="134"/>
  <c r="BE58" i="134"/>
  <c r="BT80" i="134"/>
  <c r="BU80" i="134" s="1"/>
  <c r="BV80" i="134" s="1"/>
  <c r="BZ27" i="134"/>
  <c r="BS14" i="134"/>
  <c r="AP33" i="134"/>
  <c r="BZ57" i="134"/>
  <c r="BY75" i="134"/>
  <c r="BZ87" i="134"/>
  <c r="BL11" i="134"/>
  <c r="BO11" i="134" s="1"/>
  <c r="BP11" i="134" s="1"/>
  <c r="BT43" i="134"/>
  <c r="BU43" i="134" s="1"/>
  <c r="BV43" i="134" s="1"/>
  <c r="BK71" i="134"/>
  <c r="BI91" i="134"/>
  <c r="BN91" i="134" s="1"/>
  <c r="BF91" i="134"/>
  <c r="BL91" i="134" s="1"/>
  <c r="BY82" i="134"/>
  <c r="BI69" i="134"/>
  <c r="BN69" i="134" s="1"/>
  <c r="BJ69" i="134"/>
  <c r="BF69" i="134"/>
  <c r="BD69" i="134" s="1"/>
  <c r="BY23" i="134"/>
  <c r="AW10" i="134"/>
  <c r="AW82" i="134"/>
  <c r="BB26" i="134"/>
  <c r="AX26" i="134"/>
  <c r="AY26" i="134"/>
  <c r="BJ86" i="134"/>
  <c r="BI86" i="134"/>
  <c r="BN86" i="134" s="1"/>
  <c r="BF86" i="134"/>
  <c r="BD86" i="134" s="1"/>
  <c r="AW52" i="134"/>
  <c r="BI41" i="134"/>
  <c r="BN41" i="134" s="1"/>
  <c r="BF41" i="134"/>
  <c r="BL41" i="134" s="1"/>
  <c r="BY65" i="134"/>
  <c r="AW28" i="134"/>
  <c r="BJ64" i="134"/>
  <c r="BI64" i="134"/>
  <c r="BN64" i="134" s="1"/>
  <c r="BF64" i="134"/>
  <c r="BJ13" i="134"/>
  <c r="BI13" i="134"/>
  <c r="BN13" i="134" s="1"/>
  <c r="BF13" i="134"/>
  <c r="BL13" i="134" s="1"/>
  <c r="BO13" i="134" s="1"/>
  <c r="AW86" i="134"/>
  <c r="BS39" i="134"/>
  <c r="BK73" i="134"/>
  <c r="BS73" i="134" s="1"/>
  <c r="BM77" i="134"/>
  <c r="BM5" i="134" s="1"/>
  <c r="BV53" i="134"/>
  <c r="BT53" i="134"/>
  <c r="BU53" i="134" s="1"/>
  <c r="BC38" i="134"/>
  <c r="BB38" i="134"/>
  <c r="AY38" i="134"/>
  <c r="AW38" i="134" s="1"/>
  <c r="BE59" i="134"/>
  <c r="BK59" i="134" s="1"/>
  <c r="BI49" i="134"/>
  <c r="BN49" i="134" s="1"/>
  <c r="BF49" i="134"/>
  <c r="BL49" i="134" s="1"/>
  <c r="BB67" i="134"/>
  <c r="BC67" i="134"/>
  <c r="AY67" i="134"/>
  <c r="BS74" i="134"/>
  <c r="BS38" i="134"/>
  <c r="BZ10" i="134"/>
  <c r="BY73" i="134"/>
  <c r="AW88" i="134"/>
  <c r="BE88" i="134"/>
  <c r="BD88" i="134" s="1"/>
  <c r="BE72" i="134"/>
  <c r="BJ60" i="134"/>
  <c r="BI60" i="134"/>
  <c r="BN60" i="134" s="1"/>
  <c r="BF60" i="134"/>
  <c r="BC10" i="134"/>
  <c r="BB10" i="134"/>
  <c r="AY10" i="134"/>
  <c r="AW56" i="134"/>
  <c r="AW44" i="134"/>
  <c r="BE44" i="134"/>
  <c r="BK15" i="134"/>
  <c r="BC92" i="134"/>
  <c r="BB92" i="134"/>
  <c r="AX92" i="134"/>
  <c r="AY92" i="134"/>
  <c r="AW17" i="134"/>
  <c r="BE17" i="134"/>
  <c r="BD17" i="134" s="1"/>
  <c r="BE70" i="134"/>
  <c r="BI37" i="134"/>
  <c r="BN37" i="134" s="1"/>
  <c r="BJ37" i="134"/>
  <c r="BF37" i="134"/>
  <c r="BD37" i="134" s="1"/>
  <c r="BQ37" i="134" s="1"/>
  <c r="BI47" i="134"/>
  <c r="BN47" i="134" s="1"/>
  <c r="BF47" i="134"/>
  <c r="BL47" i="134" s="1"/>
  <c r="BB79" i="134"/>
  <c r="BC79" i="134"/>
  <c r="AY79" i="134"/>
  <c r="AP45" i="134"/>
  <c r="BC75" i="134"/>
  <c r="BB75" i="134"/>
  <c r="AY75" i="134"/>
  <c r="AW75" i="134" s="1"/>
  <c r="BI31" i="134"/>
  <c r="BN31" i="134" s="1"/>
  <c r="BF31" i="134"/>
  <c r="BL31" i="134" s="1"/>
  <c r="BB77" i="134"/>
  <c r="BC77" i="134"/>
  <c r="AY77" i="134"/>
  <c r="AW77" i="134" s="1"/>
  <c r="BJ27" i="134"/>
  <c r="BI27" i="134"/>
  <c r="BN27" i="134" s="1"/>
  <c r="BF27" i="134"/>
  <c r="BL27" i="134" s="1"/>
  <c r="BI19" i="134"/>
  <c r="BN19" i="134" s="1"/>
  <c r="BF19" i="134"/>
  <c r="BL19" i="134" s="1"/>
  <c r="BC16" i="134"/>
  <c r="BB16" i="134"/>
  <c r="AY16" i="134"/>
  <c r="AW16" i="134" s="1"/>
  <c r="AW69" i="134"/>
  <c r="AW49" i="134"/>
  <c r="BE49" i="134"/>
  <c r="BB71" i="134"/>
  <c r="BC71" i="134"/>
  <c r="AY71" i="134"/>
  <c r="AW71" i="134" s="1"/>
  <c r="AA5" i="134"/>
  <c r="BO21" i="134"/>
  <c r="BP21" i="134" s="1"/>
  <c r="BS21" i="134"/>
  <c r="BT21" i="134" s="1"/>
  <c r="BU21" i="134" s="1"/>
  <c r="BV21" i="134" s="1"/>
  <c r="BZ26" i="134"/>
  <c r="BC58" i="134"/>
  <c r="BB58" i="134"/>
  <c r="AY58" i="134"/>
  <c r="BE16" i="134"/>
  <c r="BK82" i="134"/>
  <c r="BS82" i="134" s="1"/>
  <c r="BR80" i="134"/>
  <c r="BK78" i="134"/>
  <c r="BJ56" i="134"/>
  <c r="BI56" i="134"/>
  <c r="BN56" i="134" s="1"/>
  <c r="BF56" i="134"/>
  <c r="BD56" i="134" s="1"/>
  <c r="AP15" i="134"/>
  <c r="BJ36" i="134"/>
  <c r="BI36" i="134"/>
  <c r="BN36" i="134" s="1"/>
  <c r="BF36" i="134"/>
  <c r="BD36" i="134" s="1"/>
  <c r="BQ36" i="134" s="1"/>
  <c r="AW84" i="134"/>
  <c r="BE84" i="134"/>
  <c r="BK84" i="134" s="1"/>
  <c r="BK30" i="134"/>
  <c r="AW85" i="134"/>
  <c r="AW47" i="134"/>
  <c r="BE47" i="134"/>
  <c r="BE67" i="134"/>
  <c r="AW41" i="134"/>
  <c r="BE41" i="134"/>
  <c r="AP62" i="134"/>
  <c r="AP59" i="134"/>
  <c r="BK77" i="134"/>
  <c r="BL76" i="134"/>
  <c r="BO76" i="134" s="1"/>
  <c r="BT90" i="134"/>
  <c r="BU90" i="134" s="1"/>
  <c r="BV90" i="134" s="1"/>
  <c r="AW22" i="134"/>
  <c r="BE22" i="134"/>
  <c r="BR89" i="134"/>
  <c r="BY32" i="134"/>
  <c r="AP46" i="134"/>
  <c r="BS54" i="134"/>
  <c r="BJ84" i="134"/>
  <c r="BI84" i="134"/>
  <c r="BN84" i="134" s="1"/>
  <c r="BF84" i="134"/>
  <c r="BL84" i="134" s="1"/>
  <c r="BI17" i="134"/>
  <c r="BN17" i="134" s="1"/>
  <c r="BF17" i="134"/>
  <c r="BL17" i="134" s="1"/>
  <c r="BO24" i="134"/>
  <c r="BP24" i="134" s="1"/>
  <c r="BS24" i="134"/>
  <c r="BT24" i="134" s="1"/>
  <c r="BU24" i="134" s="1"/>
  <c r="BV24" i="134" s="1"/>
  <c r="BS11" i="134"/>
  <c r="BZ16" i="134"/>
  <c r="BJ40" i="134"/>
  <c r="BI40" i="134"/>
  <c r="BN40" i="134" s="1"/>
  <c r="BF40" i="134"/>
  <c r="BD40" i="134" s="1"/>
  <c r="BQ40" i="134" s="1"/>
  <c r="BZ71" i="134"/>
  <c r="BI12" i="134"/>
  <c r="BN12" i="134" s="1"/>
  <c r="BJ12" i="134"/>
  <c r="BF12" i="134"/>
  <c r="BC18" i="134"/>
  <c r="BI57" i="134"/>
  <c r="BN57" i="134" s="1"/>
  <c r="BJ57" i="134"/>
  <c r="BF57" i="134"/>
  <c r="BD49" i="134" l="1"/>
  <c r="BD41" i="134"/>
  <c r="BP39" i="134"/>
  <c r="BD22" i="134"/>
  <c r="BJ17" i="134"/>
  <c r="BQ69" i="134"/>
  <c r="BL40" i="134"/>
  <c r="BO40" i="134" s="1"/>
  <c r="BD31" i="134"/>
  <c r="BQ31" i="134" s="1"/>
  <c r="BL63" i="134"/>
  <c r="BO63" i="134" s="1"/>
  <c r="BP63" i="134" s="1"/>
  <c r="BL56" i="134"/>
  <c r="BO56" i="134" s="1"/>
  <c r="BP56" i="134" s="1"/>
  <c r="BD13" i="134"/>
  <c r="BQ13" i="134" s="1"/>
  <c r="BR13" i="134" s="1"/>
  <c r="BF20" i="134"/>
  <c r="BL20" i="134" s="1"/>
  <c r="BI20" i="134"/>
  <c r="BN20" i="134" s="1"/>
  <c r="BD44" i="134"/>
  <c r="BD91" i="134"/>
  <c r="BC34" i="134"/>
  <c r="AW34" i="134"/>
  <c r="BE34" i="134"/>
  <c r="BK34" i="134" s="1"/>
  <c r="BQ41" i="134"/>
  <c r="BQ17" i="134"/>
  <c r="BD27" i="134"/>
  <c r="BQ27" i="134" s="1"/>
  <c r="BD19" i="134"/>
  <c r="BJ49" i="134"/>
  <c r="BO85" i="134"/>
  <c r="BP85" i="134" s="1"/>
  <c r="BJ31" i="134"/>
  <c r="BZ46" i="134"/>
  <c r="BD39" i="134"/>
  <c r="BD47" i="134"/>
  <c r="BK49" i="134"/>
  <c r="BR40" i="134"/>
  <c r="BP99" i="134"/>
  <c r="BP100" i="134" s="1"/>
  <c r="BP102" i="134" s="1"/>
  <c r="BP103" i="134" s="1"/>
  <c r="BQ66" i="134"/>
  <c r="AW20" i="134"/>
  <c r="BE20" i="134"/>
  <c r="BK20" i="134"/>
  <c r="BS20" i="134" s="1"/>
  <c r="BR11" i="134"/>
  <c r="BO50" i="134"/>
  <c r="BP50" i="134" s="1"/>
  <c r="BS50" i="134"/>
  <c r="BI62" i="134"/>
  <c r="BN62" i="134" s="1"/>
  <c r="BF62" i="134"/>
  <c r="BL62" i="134" s="1"/>
  <c r="BI35" i="134"/>
  <c r="BN35" i="134" s="1"/>
  <c r="BF35" i="134"/>
  <c r="BL35" i="134" s="1"/>
  <c r="BO84" i="134"/>
  <c r="BP84" i="134" s="1"/>
  <c r="BS84" i="134"/>
  <c r="BT84" i="134" s="1"/>
  <c r="BU84" i="134" s="1"/>
  <c r="BV84" i="134" s="1"/>
  <c r="BR76" i="134"/>
  <c r="BI33" i="134"/>
  <c r="BN33" i="134" s="1"/>
  <c r="BF33" i="134"/>
  <c r="BL33" i="134" s="1"/>
  <c r="BS77" i="134"/>
  <c r="BZ15" i="134"/>
  <c r="BI58" i="134"/>
  <c r="BN58" i="134" s="1"/>
  <c r="BJ58" i="134"/>
  <c r="BF58" i="134"/>
  <c r="BK16" i="134"/>
  <c r="BO49" i="134"/>
  <c r="BP49" i="134" s="1"/>
  <c r="BS49" i="134"/>
  <c r="BI79" i="134"/>
  <c r="BN79" i="134" s="1"/>
  <c r="BJ79" i="134"/>
  <c r="BF79" i="134"/>
  <c r="BD79" i="134" s="1"/>
  <c r="BI38" i="134"/>
  <c r="BN38" i="134" s="1"/>
  <c r="BJ38" i="134"/>
  <c r="BF38" i="134"/>
  <c r="BK72" i="134"/>
  <c r="BI32" i="134"/>
  <c r="BN32" i="134" s="1"/>
  <c r="BF32" i="134"/>
  <c r="BL32" i="134" s="1"/>
  <c r="AW23" i="134"/>
  <c r="BE23" i="134"/>
  <c r="BK23" i="134" s="1"/>
  <c r="AW25" i="134"/>
  <c r="BE25" i="134"/>
  <c r="BL42" i="134"/>
  <c r="BO42" i="134" s="1"/>
  <c r="BP42" i="134" s="1"/>
  <c r="BD42" i="134"/>
  <c r="BQ42" i="134" s="1"/>
  <c r="BQ55" i="134"/>
  <c r="BL36" i="134"/>
  <c r="BO36" i="134" s="1"/>
  <c r="BR36" i="134" s="1"/>
  <c r="BD12" i="134"/>
  <c r="BQ12" i="134" s="1"/>
  <c r="BL12" i="134"/>
  <c r="BO12" i="134" s="1"/>
  <c r="BK22" i="134"/>
  <c r="BL58" i="134"/>
  <c r="BQ49" i="134"/>
  <c r="BK70" i="134"/>
  <c r="BL37" i="134"/>
  <c r="BO37" i="134" s="1"/>
  <c r="BR37" i="134" s="1"/>
  <c r="BD64" i="134"/>
  <c r="BQ64" i="134" s="1"/>
  <c r="BL64" i="134"/>
  <c r="BO64" i="134" s="1"/>
  <c r="BP64" i="134" s="1"/>
  <c r="BT86" i="134"/>
  <c r="BU86" i="134" s="1"/>
  <c r="BV86" i="134" s="1"/>
  <c r="BJ91" i="134"/>
  <c r="BZ33" i="134"/>
  <c r="AW14" i="134"/>
  <c r="BT11" i="134"/>
  <c r="BU11" i="134" s="1"/>
  <c r="BV11" i="134" s="1"/>
  <c r="BT29" i="134"/>
  <c r="BU29" i="134" s="1"/>
  <c r="BV29" i="134" s="1"/>
  <c r="BT85" i="134"/>
  <c r="BU85" i="134" s="1"/>
  <c r="BV85" i="134" s="1"/>
  <c r="BI82" i="134"/>
  <c r="BN82" i="134" s="1"/>
  <c r="BJ82" i="134"/>
  <c r="BF82" i="134"/>
  <c r="BD82" i="134" s="1"/>
  <c r="BQ82" i="134" s="1"/>
  <c r="BK27" i="134"/>
  <c r="BT39" i="134"/>
  <c r="BU39" i="134" s="1"/>
  <c r="BV39" i="134" s="1"/>
  <c r="AW32" i="134"/>
  <c r="BE32" i="134"/>
  <c r="BT68" i="134"/>
  <c r="BU68" i="134" s="1"/>
  <c r="BV68" i="134" s="1"/>
  <c r="BC23" i="134"/>
  <c r="BC25" i="134"/>
  <c r="BL81" i="134"/>
  <c r="BO81" i="134" s="1"/>
  <c r="BL66" i="134"/>
  <c r="BO66" i="134" s="1"/>
  <c r="BP66" i="134" s="1"/>
  <c r="BP12" i="134"/>
  <c r="BT40" i="134"/>
  <c r="BU40" i="134" s="1"/>
  <c r="BV40" i="134" s="1"/>
  <c r="BT56" i="134"/>
  <c r="BU56" i="134" s="1"/>
  <c r="BV56" i="134" s="1"/>
  <c r="BI92" i="134"/>
  <c r="BN92" i="134" s="1"/>
  <c r="BF92" i="134"/>
  <c r="BL92" i="134" s="1"/>
  <c r="BJ67" i="134"/>
  <c r="BI67" i="134"/>
  <c r="BN67" i="134" s="1"/>
  <c r="BF67" i="134"/>
  <c r="BL67" i="134" s="1"/>
  <c r="BT13" i="134"/>
  <c r="BU13" i="134" s="1"/>
  <c r="BV13" i="134" s="1"/>
  <c r="BI83" i="134"/>
  <c r="BN83" i="134" s="1"/>
  <c r="BF83" i="134"/>
  <c r="BD29" i="134"/>
  <c r="BQ29" i="134" s="1"/>
  <c r="BL29" i="134"/>
  <c r="BO29" i="134" s="1"/>
  <c r="BP29" i="134" s="1"/>
  <c r="BJ30" i="134"/>
  <c r="BI30" i="134"/>
  <c r="BN30" i="134" s="1"/>
  <c r="BF30" i="134"/>
  <c r="BD30" i="134" s="1"/>
  <c r="BQ30" i="134" s="1"/>
  <c r="BD50" i="134"/>
  <c r="BQ50" i="134" s="1"/>
  <c r="BR50" i="134" s="1"/>
  <c r="BT66" i="134"/>
  <c r="BU66" i="134" s="1"/>
  <c r="BV66" i="134" s="1"/>
  <c r="BT12" i="134"/>
  <c r="BU12" i="134" s="1"/>
  <c r="BV12" i="134" s="1"/>
  <c r="BQ22" i="134"/>
  <c r="BK67" i="134"/>
  <c r="BT36" i="134"/>
  <c r="BU36" i="134" s="1"/>
  <c r="BV36" i="134" s="1"/>
  <c r="BL69" i="134"/>
  <c r="BO69" i="134" s="1"/>
  <c r="BP69" i="134" s="1"/>
  <c r="BK17" i="134"/>
  <c r="BS15" i="134"/>
  <c r="AP5" i="134"/>
  <c r="I2" i="134" s="1"/>
  <c r="BQ86" i="134"/>
  <c r="BD58" i="134"/>
  <c r="BQ58" i="134" s="1"/>
  <c r="BK58" i="134"/>
  <c r="BI14" i="134"/>
  <c r="BN14" i="134" s="1"/>
  <c r="BJ14" i="134"/>
  <c r="BF14" i="134"/>
  <c r="BD14" i="134" s="1"/>
  <c r="AW51" i="134"/>
  <c r="BE51" i="134"/>
  <c r="BK51" i="134" s="1"/>
  <c r="AW45" i="134"/>
  <c r="BE45" i="134"/>
  <c r="BT52" i="134"/>
  <c r="BU52" i="134" s="1"/>
  <c r="BV52" i="134" s="1"/>
  <c r="BS75" i="134"/>
  <c r="BT54" i="134"/>
  <c r="BU54" i="134" s="1"/>
  <c r="BV54" i="134" s="1"/>
  <c r="BJ70" i="134"/>
  <c r="BI70" i="134"/>
  <c r="BN70" i="134" s="1"/>
  <c r="BF70" i="134"/>
  <c r="BL70" i="134" s="1"/>
  <c r="BI73" i="134"/>
  <c r="BN73" i="134" s="1"/>
  <c r="BJ73" i="134"/>
  <c r="BF73" i="134"/>
  <c r="BD73" i="134" s="1"/>
  <c r="BT42" i="134"/>
  <c r="BU42" i="134" s="1"/>
  <c r="BV42" i="134" s="1"/>
  <c r="BT55" i="134"/>
  <c r="BU55" i="134" s="1"/>
  <c r="BV55" i="134" s="1"/>
  <c r="BJ44" i="134"/>
  <c r="BL86" i="134"/>
  <c r="BO86" i="134" s="1"/>
  <c r="BP86" i="134" s="1"/>
  <c r="BZ72" i="134"/>
  <c r="BK31" i="134"/>
  <c r="BK91" i="134"/>
  <c r="BT76" i="134"/>
  <c r="BU76" i="134" s="1"/>
  <c r="BV76" i="134" s="1"/>
  <c r="BR24" i="134"/>
  <c r="BL57" i="134"/>
  <c r="BO57" i="134" s="1"/>
  <c r="BP57" i="134" s="1"/>
  <c r="BD57" i="134"/>
  <c r="BQ57" i="134" s="1"/>
  <c r="BT64" i="134"/>
  <c r="BU64" i="134" s="1"/>
  <c r="BV64" i="134" s="1"/>
  <c r="AW26" i="134"/>
  <c r="BE26" i="134"/>
  <c r="BK26" i="134" s="1"/>
  <c r="BP76" i="134"/>
  <c r="BJ16" i="134"/>
  <c r="BI16" i="134"/>
  <c r="BN16" i="134" s="1"/>
  <c r="BF16" i="134"/>
  <c r="BD16" i="134" s="1"/>
  <c r="BQ16" i="134" s="1"/>
  <c r="BJ75" i="134"/>
  <c r="BI75" i="134"/>
  <c r="BN75" i="134" s="1"/>
  <c r="BF75" i="134"/>
  <c r="BD75" i="134" s="1"/>
  <c r="BQ75" i="134" s="1"/>
  <c r="BJ47" i="134"/>
  <c r="BI10" i="134"/>
  <c r="BJ10" i="134"/>
  <c r="BF10" i="134"/>
  <c r="BK88" i="134"/>
  <c r="BQ52" i="134"/>
  <c r="BT69" i="134"/>
  <c r="BU69" i="134" s="1"/>
  <c r="BV69" i="134" s="1"/>
  <c r="BK19" i="134"/>
  <c r="BI51" i="134"/>
  <c r="BN51" i="134" s="1"/>
  <c r="BF51" i="134"/>
  <c r="BL51" i="134" s="1"/>
  <c r="BJ45" i="134"/>
  <c r="BI45" i="134"/>
  <c r="BN45" i="134" s="1"/>
  <c r="BF45" i="134"/>
  <c r="BL45" i="134" s="1"/>
  <c r="BP74" i="134"/>
  <c r="BJ50" i="134"/>
  <c r="BZ59" i="134"/>
  <c r="BS99" i="134" s="1"/>
  <c r="BQ47" i="134"/>
  <c r="BJ71" i="134"/>
  <c r="BI71" i="134"/>
  <c r="BN71" i="134" s="1"/>
  <c r="BF71" i="134"/>
  <c r="BD71" i="134" s="1"/>
  <c r="BQ71" i="134" s="1"/>
  <c r="BJ77" i="134"/>
  <c r="BI77" i="134"/>
  <c r="BN77" i="134" s="1"/>
  <c r="BF77" i="134"/>
  <c r="BD77" i="134" s="1"/>
  <c r="BQ77" i="134" s="1"/>
  <c r="BZ45" i="134"/>
  <c r="BK44" i="134"/>
  <c r="BL60" i="134"/>
  <c r="BO60" i="134" s="1"/>
  <c r="BP60" i="134" s="1"/>
  <c r="BD60" i="134"/>
  <c r="BQ60" i="134" s="1"/>
  <c r="BQ88" i="134"/>
  <c r="BQ28" i="134"/>
  <c r="BL52" i="134"/>
  <c r="BO52" i="134" s="1"/>
  <c r="BP52" i="134" s="1"/>
  <c r="BC26" i="134"/>
  <c r="BL68" i="134"/>
  <c r="BO68" i="134" s="1"/>
  <c r="BR68" i="134" s="1"/>
  <c r="BQ19" i="134"/>
  <c r="BL83" i="134"/>
  <c r="BD61" i="134"/>
  <c r="BQ61" i="134" s="1"/>
  <c r="BL61" i="134"/>
  <c r="BO61" i="134" s="1"/>
  <c r="BP61" i="134" s="1"/>
  <c r="BJ59" i="134"/>
  <c r="BI59" i="134"/>
  <c r="BN59" i="134" s="1"/>
  <c r="BF59" i="134"/>
  <c r="BL59" i="134" s="1"/>
  <c r="BO59" i="134" s="1"/>
  <c r="BT87" i="134"/>
  <c r="BU87" i="134" s="1"/>
  <c r="BV87" i="134" s="1"/>
  <c r="BJ72" i="134"/>
  <c r="BI72" i="134"/>
  <c r="BN72" i="134" s="1"/>
  <c r="BF72" i="134"/>
  <c r="BD72" i="134" s="1"/>
  <c r="BQ72" i="134" s="1"/>
  <c r="AX46" i="134"/>
  <c r="BC46" i="134" s="1"/>
  <c r="BB46" i="134"/>
  <c r="BB5" i="134" s="1"/>
  <c r="J6" i="134" s="1"/>
  <c r="AY46" i="134"/>
  <c r="AY5" i="134" s="1"/>
  <c r="J4" i="134" s="1"/>
  <c r="BQ91" i="134"/>
  <c r="BD85" i="134"/>
  <c r="BQ85" i="134" s="1"/>
  <c r="BR21" i="134"/>
  <c r="BJ22" i="134"/>
  <c r="BS18" i="134"/>
  <c r="BL87" i="134"/>
  <c r="BO87" i="134" s="1"/>
  <c r="BP87" i="134" s="1"/>
  <c r="BK47" i="134"/>
  <c r="BZ62" i="134"/>
  <c r="BS59" i="134"/>
  <c r="BT37" i="134"/>
  <c r="BU37" i="134" s="1"/>
  <c r="BV37" i="134" s="1"/>
  <c r="AW92" i="134"/>
  <c r="BE92" i="134"/>
  <c r="BD92" i="134" s="1"/>
  <c r="BQ44" i="134"/>
  <c r="BL54" i="134"/>
  <c r="BO54" i="134" s="1"/>
  <c r="BP54" i="134" s="1"/>
  <c r="BL28" i="134"/>
  <c r="BO28" i="134" s="1"/>
  <c r="BP28" i="134" s="1"/>
  <c r="AW73" i="134"/>
  <c r="I7" i="134"/>
  <c r="I8" i="134" s="1"/>
  <c r="BT28" i="134"/>
  <c r="BU28" i="134" s="1"/>
  <c r="BV28" i="134" s="1"/>
  <c r="BQ39" i="134"/>
  <c r="BR39" i="134" s="1"/>
  <c r="BT63" i="134"/>
  <c r="BU63" i="134" s="1"/>
  <c r="BV63" i="134" s="1"/>
  <c r="BP81" i="134"/>
  <c r="BD74" i="134"/>
  <c r="BQ74" i="134" s="1"/>
  <c r="BR74" i="134" s="1"/>
  <c r="BS78" i="134"/>
  <c r="BJ88" i="134"/>
  <c r="BJ41" i="134"/>
  <c r="BS71" i="134"/>
  <c r="BT74" i="134"/>
  <c r="BU74" i="134" s="1"/>
  <c r="BV74" i="134" s="1"/>
  <c r="AW33" i="134"/>
  <c r="BE33" i="134"/>
  <c r="BJ65" i="134"/>
  <c r="BI65" i="134"/>
  <c r="BN65" i="134" s="1"/>
  <c r="BF65" i="134"/>
  <c r="BD65" i="134" s="1"/>
  <c r="BQ65" i="134" s="1"/>
  <c r="AW35" i="134"/>
  <c r="BE35" i="134"/>
  <c r="BD35" i="134" s="1"/>
  <c r="BK35" i="134"/>
  <c r="BT57" i="134"/>
  <c r="BU57" i="134" s="1"/>
  <c r="BV57" i="134" s="1"/>
  <c r="BD84" i="134"/>
  <c r="BQ84" i="134" s="1"/>
  <c r="BI18" i="134"/>
  <c r="BN18" i="134" s="1"/>
  <c r="BJ18" i="134"/>
  <c r="BF18" i="134"/>
  <c r="BL18" i="134" s="1"/>
  <c r="BO18" i="134" s="1"/>
  <c r="BP40" i="134"/>
  <c r="BK41" i="134"/>
  <c r="BJ19" i="134"/>
  <c r="BL79" i="134"/>
  <c r="BO79" i="134" s="1"/>
  <c r="AW79" i="134"/>
  <c r="BQ79" i="134" s="1"/>
  <c r="BQ56" i="134"/>
  <c r="BT60" i="134"/>
  <c r="BU60" i="134" s="1"/>
  <c r="BV60" i="134" s="1"/>
  <c r="BP13" i="134"/>
  <c r="AW67" i="134"/>
  <c r="AW83" i="134"/>
  <c r="BE83" i="134"/>
  <c r="BD83" i="134" s="1"/>
  <c r="BT61" i="134"/>
  <c r="BU61" i="134" s="1"/>
  <c r="BV61" i="134" s="1"/>
  <c r="BL82" i="134"/>
  <c r="BO82" i="134" s="1"/>
  <c r="AW62" i="134"/>
  <c r="BE62" i="134"/>
  <c r="BT81" i="134"/>
  <c r="BU81" i="134" s="1"/>
  <c r="BV81" i="134"/>
  <c r="AW78" i="134"/>
  <c r="BS30" i="134"/>
  <c r="BI78" i="134"/>
  <c r="BN78" i="134" s="1"/>
  <c r="BJ78" i="134"/>
  <c r="BF78" i="134"/>
  <c r="BD78" i="134" s="1"/>
  <c r="BQ81" i="134"/>
  <c r="BR81" i="134" s="1"/>
  <c r="BJ15" i="134"/>
  <c r="BI15" i="134"/>
  <c r="BN15" i="134" s="1"/>
  <c r="BF15" i="134"/>
  <c r="BL55" i="134"/>
  <c r="BO55" i="134" s="1"/>
  <c r="BP55" i="134" s="1"/>
  <c r="BT49" i="134" l="1"/>
  <c r="BU49" i="134" s="1"/>
  <c r="BV49" i="134" s="1"/>
  <c r="BP36" i="134"/>
  <c r="BD20" i="134"/>
  <c r="BQ20" i="134" s="1"/>
  <c r="BD62" i="134"/>
  <c r="BQ62" i="134" s="1"/>
  <c r="BL72" i="134"/>
  <c r="BO72" i="134" s="1"/>
  <c r="BP72" i="134" s="1"/>
  <c r="BR56" i="134"/>
  <c r="BR61" i="134"/>
  <c r="BR85" i="134"/>
  <c r="BR12" i="134"/>
  <c r="BR63" i="134"/>
  <c r="BD32" i="134"/>
  <c r="BJ51" i="134"/>
  <c r="BR64" i="134"/>
  <c r="BJ35" i="134"/>
  <c r="BP68" i="134"/>
  <c r="BI34" i="134"/>
  <c r="BN34" i="134" s="1"/>
  <c r="BF34" i="134"/>
  <c r="BL34" i="134" s="1"/>
  <c r="BO34" i="134" s="1"/>
  <c r="BP34" i="134" s="1"/>
  <c r="BK62" i="134"/>
  <c r="BO62" i="134" s="1"/>
  <c r="BQ35" i="134"/>
  <c r="BD18" i="134"/>
  <c r="BQ18" i="134" s="1"/>
  <c r="BR18" i="134" s="1"/>
  <c r="BR87" i="134"/>
  <c r="BL78" i="134"/>
  <c r="BO78" i="134" s="1"/>
  <c r="BR28" i="134"/>
  <c r="BL14" i="134"/>
  <c r="BO14" i="134" s="1"/>
  <c r="BP14" i="134" s="1"/>
  <c r="BQ100" i="134"/>
  <c r="BQ102" i="134" s="1"/>
  <c r="BQ103" i="134" s="1"/>
  <c r="BR84" i="134"/>
  <c r="BD51" i="134"/>
  <c r="BQ14" i="134"/>
  <c r="BD70" i="134"/>
  <c r="BQ70" i="134" s="1"/>
  <c r="BJ20" i="134"/>
  <c r="BS34" i="134"/>
  <c r="BD33" i="134"/>
  <c r="BQ33" i="134" s="1"/>
  <c r="BR60" i="134"/>
  <c r="BR52" i="134"/>
  <c r="BR49" i="134"/>
  <c r="BJ62" i="134"/>
  <c r="BJ34" i="134"/>
  <c r="BO20" i="134"/>
  <c r="BP20" i="134" s="1"/>
  <c r="BR82" i="134"/>
  <c r="BT15" i="134"/>
  <c r="BU15" i="134" s="1"/>
  <c r="BV15" i="134" s="1"/>
  <c r="BO35" i="134"/>
  <c r="BP35" i="134" s="1"/>
  <c r="BS35" i="134"/>
  <c r="BO67" i="134"/>
  <c r="BS67" i="134"/>
  <c r="BT67" i="134" s="1"/>
  <c r="BU67" i="134" s="1"/>
  <c r="BV67" i="134" s="1"/>
  <c r="BJ83" i="134"/>
  <c r="BS23" i="134"/>
  <c r="BP79" i="134"/>
  <c r="BJ33" i="134"/>
  <c r="BL16" i="134"/>
  <c r="BO16" i="134" s="1"/>
  <c r="BP16" i="134" s="1"/>
  <c r="BK83" i="134"/>
  <c r="BP37" i="134"/>
  <c r="BR69" i="134"/>
  <c r="BT73" i="134"/>
  <c r="BU73" i="134" s="1"/>
  <c r="BV73" i="134" s="1"/>
  <c r="BO58" i="134"/>
  <c r="BR58" i="134" s="1"/>
  <c r="BS58" i="134"/>
  <c r="BT58" i="134" s="1"/>
  <c r="BU58" i="134" s="1"/>
  <c r="BV58" i="134" s="1"/>
  <c r="BD67" i="134"/>
  <c r="BQ67" i="134" s="1"/>
  <c r="BJ92" i="134"/>
  <c r="BO27" i="134"/>
  <c r="BS27" i="134"/>
  <c r="BT27" i="134" s="1"/>
  <c r="BU27" i="134" s="1"/>
  <c r="BV27" i="134" s="1"/>
  <c r="BR55" i="134"/>
  <c r="BP58" i="134"/>
  <c r="BD10" i="134"/>
  <c r="BI23" i="134"/>
  <c r="BN23" i="134" s="1"/>
  <c r="BJ23" i="134"/>
  <c r="BF23" i="134"/>
  <c r="BL23" i="134" s="1"/>
  <c r="BO23" i="134" s="1"/>
  <c r="BS72" i="134"/>
  <c r="BT72" i="134" s="1"/>
  <c r="BU72" i="134" s="1"/>
  <c r="BV72" i="134" s="1"/>
  <c r="BT35" i="134"/>
  <c r="BU35" i="134" s="1"/>
  <c r="BV35" i="134" s="1"/>
  <c r="BQ83" i="134"/>
  <c r="BR79" i="134"/>
  <c r="BT18" i="134"/>
  <c r="BU18" i="134" s="1"/>
  <c r="BV18" i="134" s="1"/>
  <c r="BK92" i="134"/>
  <c r="BR54" i="134"/>
  <c r="BD59" i="134"/>
  <c r="BQ59" i="134" s="1"/>
  <c r="BR59" i="134" s="1"/>
  <c r="BO88" i="134"/>
  <c r="BP88" i="134" s="1"/>
  <c r="BS88" i="134"/>
  <c r="BT88" i="134" s="1"/>
  <c r="BU88" i="134" s="1"/>
  <c r="BV88" i="134" s="1"/>
  <c r="BT75" i="134"/>
  <c r="BU75" i="134" s="1"/>
  <c r="BV75" i="134" s="1"/>
  <c r="BS26" i="134"/>
  <c r="BL71" i="134"/>
  <c r="BO71" i="134" s="1"/>
  <c r="BR71" i="134" s="1"/>
  <c r="BP73" i="134"/>
  <c r="BO17" i="134"/>
  <c r="BS17" i="134"/>
  <c r="BR42" i="134"/>
  <c r="BL73" i="134"/>
  <c r="BO73" i="134" s="1"/>
  <c r="BD38" i="134"/>
  <c r="BQ38" i="134" s="1"/>
  <c r="BL38" i="134"/>
  <c r="BO38" i="134" s="1"/>
  <c r="BL75" i="134"/>
  <c r="BO75" i="134" s="1"/>
  <c r="BR75" i="134" s="1"/>
  <c r="BS100" i="134"/>
  <c r="BS102" i="134" s="1"/>
  <c r="BS103" i="134" s="1"/>
  <c r="BT100" i="134"/>
  <c r="BT102" i="134" s="1"/>
  <c r="BT103" i="134" s="1"/>
  <c r="BT77" i="134"/>
  <c r="BU77" i="134" s="1"/>
  <c r="BV77" i="134" s="1"/>
  <c r="BL65" i="134"/>
  <c r="BO65" i="134" s="1"/>
  <c r="BP65" i="134" s="1"/>
  <c r="BT38" i="134"/>
  <c r="BU38" i="134" s="1"/>
  <c r="BV38" i="134"/>
  <c r="BR65" i="134"/>
  <c r="BP18" i="134"/>
  <c r="BI46" i="134"/>
  <c r="BN46" i="134" s="1"/>
  <c r="BF46" i="134"/>
  <c r="BL46" i="134" s="1"/>
  <c r="BT30" i="134"/>
  <c r="BU30" i="134" s="1"/>
  <c r="BV30" i="134" s="1"/>
  <c r="BP78" i="134"/>
  <c r="BQ92" i="134"/>
  <c r="AW46" i="134"/>
  <c r="BE46" i="134"/>
  <c r="BK46" i="134" s="1"/>
  <c r="AX5" i="134"/>
  <c r="J3" i="134" s="1"/>
  <c r="J7" i="134" s="1"/>
  <c r="J8" i="134" s="1"/>
  <c r="BT10" i="134"/>
  <c r="BO31" i="134"/>
  <c r="BS31" i="134"/>
  <c r="BT31" i="134" s="1"/>
  <c r="BU31" i="134" s="1"/>
  <c r="BV31" i="134" s="1"/>
  <c r="BD25" i="134"/>
  <c r="BQ25" i="134" s="1"/>
  <c r="BP38" i="134"/>
  <c r="BT65" i="134"/>
  <c r="BU65" i="134" s="1"/>
  <c r="BV65" i="134" s="1"/>
  <c r="BP71" i="134"/>
  <c r="BC5" i="134"/>
  <c r="BR57" i="134"/>
  <c r="BQ51" i="134"/>
  <c r="BR86" i="134"/>
  <c r="BR29" i="134"/>
  <c r="BP67" i="134"/>
  <c r="BK32" i="134"/>
  <c r="BL10" i="134"/>
  <c r="BK25" i="134"/>
  <c r="BL30" i="134"/>
  <c r="BO30" i="134" s="1"/>
  <c r="BP30" i="134" s="1"/>
  <c r="BT78" i="134"/>
  <c r="BU78" i="134" s="1"/>
  <c r="BV78" i="134" s="1"/>
  <c r="BS16" i="134"/>
  <c r="BT16" i="134" s="1"/>
  <c r="BU16" i="134" s="1"/>
  <c r="BV16" i="134" s="1"/>
  <c r="BO47" i="134"/>
  <c r="BP47" i="134" s="1"/>
  <c r="BS47" i="134"/>
  <c r="BT47" i="134" s="1"/>
  <c r="BU47" i="134" s="1"/>
  <c r="BV47" i="134" s="1"/>
  <c r="BT59" i="134"/>
  <c r="BU59" i="134" s="1"/>
  <c r="BV59" i="134" s="1"/>
  <c r="BO19" i="134"/>
  <c r="BP19" i="134" s="1"/>
  <c r="BS19" i="134"/>
  <c r="BT19" i="134" s="1"/>
  <c r="BU19" i="134" s="1"/>
  <c r="BV19" i="134" s="1"/>
  <c r="BP82" i="134"/>
  <c r="BO22" i="134"/>
  <c r="BP22" i="134" s="1"/>
  <c r="BS22" i="134"/>
  <c r="BT22" i="134" s="1"/>
  <c r="BU22" i="134" s="1"/>
  <c r="BV22" i="134" s="1"/>
  <c r="BL15" i="134"/>
  <c r="BO15" i="134" s="1"/>
  <c r="BD15" i="134"/>
  <c r="BQ15" i="134" s="1"/>
  <c r="BR15" i="134" s="1"/>
  <c r="BR66" i="134"/>
  <c r="BQ73" i="134"/>
  <c r="BR73" i="134" s="1"/>
  <c r="BI26" i="134"/>
  <c r="BN26" i="134" s="1"/>
  <c r="BJ26" i="134"/>
  <c r="BF26" i="134"/>
  <c r="BL26" i="134" s="1"/>
  <c r="BO26" i="134" s="1"/>
  <c r="BO44" i="134"/>
  <c r="BP44" i="134" s="1"/>
  <c r="BS44" i="134"/>
  <c r="BT44" i="134" s="1"/>
  <c r="BU44" i="134" s="1"/>
  <c r="BV44" i="134" s="1"/>
  <c r="BT71" i="134"/>
  <c r="BU71" i="134" s="1"/>
  <c r="BV71" i="134" s="1"/>
  <c r="BN10" i="134"/>
  <c r="BD45" i="134"/>
  <c r="BQ45" i="134" s="1"/>
  <c r="BQ32" i="134"/>
  <c r="BP59" i="134"/>
  <c r="BT50" i="134"/>
  <c r="BU50" i="134" s="1"/>
  <c r="BV50" i="134" s="1"/>
  <c r="BO91" i="134"/>
  <c r="BP91" i="134" s="1"/>
  <c r="BS91" i="134"/>
  <c r="BT91" i="134" s="1"/>
  <c r="BU91" i="134" s="1"/>
  <c r="BV91" i="134" s="1"/>
  <c r="BO51" i="134"/>
  <c r="BP51" i="134" s="1"/>
  <c r="BS51" i="134"/>
  <c r="BT51" i="134" s="1"/>
  <c r="BU51" i="134" s="1"/>
  <c r="BV51" i="134" s="1"/>
  <c r="BT82" i="134"/>
  <c r="BU82" i="134" s="1"/>
  <c r="BV82" i="134" s="1"/>
  <c r="BP15" i="134"/>
  <c r="BQ78" i="134"/>
  <c r="BR78" i="134" s="1"/>
  <c r="BO41" i="134"/>
  <c r="BS41" i="134"/>
  <c r="BT41" i="134" s="1"/>
  <c r="BU41" i="134" s="1"/>
  <c r="BV41" i="134" s="1"/>
  <c r="BK33" i="134"/>
  <c r="BR47" i="134"/>
  <c r="BL77" i="134"/>
  <c r="BO77" i="134" s="1"/>
  <c r="BP77" i="134" s="1"/>
  <c r="BK45" i="134"/>
  <c r="BT14" i="134"/>
  <c r="BU14" i="134" s="1"/>
  <c r="BV14" i="134"/>
  <c r="BI25" i="134"/>
  <c r="BN25" i="134" s="1"/>
  <c r="BJ25" i="134"/>
  <c r="BF25" i="134"/>
  <c r="BL25" i="134" s="1"/>
  <c r="BO70" i="134"/>
  <c r="BR70" i="134" s="1"/>
  <c r="BS70" i="134"/>
  <c r="BT70" i="134" s="1"/>
  <c r="BU70" i="134" s="1"/>
  <c r="BV70" i="134" s="1"/>
  <c r="BJ32" i="134"/>
  <c r="BT79" i="134"/>
  <c r="BU79" i="134" s="1"/>
  <c r="BV79" i="134" s="1"/>
  <c r="BD34" i="134" l="1"/>
  <c r="BQ34" i="134" s="1"/>
  <c r="BR77" i="134"/>
  <c r="BR35" i="134"/>
  <c r="BR14" i="134"/>
  <c r="BR62" i="134"/>
  <c r="BP62" i="134"/>
  <c r="BR30" i="134"/>
  <c r="BR34" i="134"/>
  <c r="BD26" i="134"/>
  <c r="BQ26" i="134" s="1"/>
  <c r="BR26" i="134" s="1"/>
  <c r="BT34" i="134"/>
  <c r="BU34" i="134" s="1"/>
  <c r="BV34" i="134" s="1"/>
  <c r="BR20" i="134"/>
  <c r="BT20" i="134"/>
  <c r="BU20" i="134" s="1"/>
  <c r="BV20" i="134" s="1"/>
  <c r="BD23" i="134"/>
  <c r="BQ23" i="134" s="1"/>
  <c r="BR23" i="134" s="1"/>
  <c r="BR72" i="134"/>
  <c r="BS62" i="134"/>
  <c r="BT62" i="134" s="1"/>
  <c r="BU62" i="134" s="1"/>
  <c r="BV62" i="134" s="1"/>
  <c r="BR67" i="134"/>
  <c r="BR41" i="134"/>
  <c r="BP41" i="134"/>
  <c r="BO83" i="134"/>
  <c r="BP83" i="134" s="1"/>
  <c r="BS83" i="134"/>
  <c r="BT83" i="134" s="1"/>
  <c r="BU83" i="134" s="1"/>
  <c r="BV83" i="134" s="1"/>
  <c r="BP75" i="134"/>
  <c r="BR88" i="134"/>
  <c r="BD46" i="134"/>
  <c r="BQ46" i="134" s="1"/>
  <c r="BR46" i="134" s="1"/>
  <c r="BE5" i="134"/>
  <c r="K3" i="134" s="1"/>
  <c r="BR38" i="134"/>
  <c r="BR16" i="134"/>
  <c r="BJ46" i="134"/>
  <c r="BP70" i="134"/>
  <c r="BT26" i="134"/>
  <c r="BU26" i="134" s="1"/>
  <c r="BV26" i="134"/>
  <c r="BP31" i="134"/>
  <c r="BR31" i="134"/>
  <c r="BO92" i="134"/>
  <c r="BP92" i="134" s="1"/>
  <c r="BS92" i="134"/>
  <c r="BT92" i="134" s="1"/>
  <c r="BU92" i="134" s="1"/>
  <c r="BV92" i="134" s="1"/>
  <c r="BR91" i="134"/>
  <c r="BO33" i="134"/>
  <c r="BS33" i="134"/>
  <c r="BT33" i="134" s="1"/>
  <c r="BU33" i="134" s="1"/>
  <c r="BV33" i="134" s="1"/>
  <c r="BI5" i="134"/>
  <c r="K6" i="134" s="1"/>
  <c r="BP26" i="134"/>
  <c r="BQ10" i="134"/>
  <c r="BL5" i="134"/>
  <c r="BO10" i="134"/>
  <c r="BO46" i="134"/>
  <c r="BP46" i="134" s="1"/>
  <c r="BS46" i="134"/>
  <c r="BP17" i="134"/>
  <c r="BR17" i="134"/>
  <c r="BP23" i="134"/>
  <c r="BO45" i="134"/>
  <c r="BP45" i="134" s="1"/>
  <c r="BS45" i="134"/>
  <c r="BT45" i="134" s="1"/>
  <c r="BU45" i="134" s="1"/>
  <c r="BV45" i="134" s="1"/>
  <c r="AW5" i="134"/>
  <c r="J2" i="134" s="1"/>
  <c r="BR44" i="134"/>
  <c r="BK5" i="134"/>
  <c r="BR51" i="134"/>
  <c r="BR92" i="134"/>
  <c r="BN5" i="134"/>
  <c r="BP10" i="134"/>
  <c r="BO25" i="134"/>
  <c r="BP25" i="134" s="1"/>
  <c r="BS25" i="134"/>
  <c r="BT25" i="134" s="1"/>
  <c r="BU25" i="134" s="1"/>
  <c r="BV25" i="134" s="1"/>
  <c r="BU10" i="134"/>
  <c r="BV10" i="134" s="1"/>
  <c r="BR19" i="134"/>
  <c r="BR22" i="134"/>
  <c r="BF5" i="134"/>
  <c r="K4" i="134" s="1"/>
  <c r="BP27" i="134"/>
  <c r="BR27" i="134"/>
  <c r="BT23" i="134"/>
  <c r="BU23" i="134" s="1"/>
  <c r="BV23" i="134" s="1"/>
  <c r="BO32" i="134"/>
  <c r="BP32" i="134" s="1"/>
  <c r="BS32" i="134"/>
  <c r="BT32" i="134" s="1"/>
  <c r="BU32" i="134" s="1"/>
  <c r="BV32" i="134" s="1"/>
  <c r="BT17" i="134"/>
  <c r="BU17" i="134" s="1"/>
  <c r="BV17" i="134" s="1"/>
  <c r="BD5" i="134" l="1"/>
  <c r="K2" i="134" s="1"/>
  <c r="BR83" i="134"/>
  <c r="BO5" i="134"/>
  <c r="BR32" i="134"/>
  <c r="BS5" i="134"/>
  <c r="BR25" i="134"/>
  <c r="BQ5" i="134"/>
  <c r="BR10" i="134"/>
  <c r="BR5" i="134" s="1"/>
  <c r="BT46" i="134"/>
  <c r="BU46" i="134" s="1"/>
  <c r="BV46" i="134" s="1"/>
  <c r="BJ5" i="134"/>
  <c r="BR45" i="134"/>
  <c r="K7" i="134"/>
  <c r="K8" i="134" s="1"/>
  <c r="BR33" i="134"/>
  <c r="BP33" i="134"/>
  <c r="BP5" i="134"/>
  <c r="BT5" i="134" l="1"/>
  <c r="C25" i="133" l="1"/>
  <c r="C22" i="133"/>
  <c r="C21" i="133"/>
  <c r="D6" i="133"/>
  <c r="C28" i="61"/>
  <c r="D74" i="107" s="1"/>
  <c r="D45" i="108"/>
  <c r="D4" i="109" s="1"/>
  <c r="D58" i="108"/>
  <c r="D15" i="109" s="1"/>
  <c r="D56" i="108"/>
  <c r="D48" i="108"/>
  <c r="D47" i="108"/>
  <c r="D6" i="109" s="1"/>
  <c r="D46" i="108"/>
  <c r="K39" i="108"/>
  <c r="J39" i="108"/>
  <c r="K37" i="108"/>
  <c r="J37" i="108"/>
  <c r="J11" i="133"/>
  <c r="J10" i="133"/>
  <c r="J9" i="133"/>
  <c r="H9" i="133"/>
  <c r="K32" i="108"/>
  <c r="K33" i="108" s="1"/>
  <c r="J32" i="108"/>
  <c r="J33" i="108" s="1"/>
  <c r="I32" i="108"/>
  <c r="K9" i="133"/>
  <c r="I11" i="133"/>
  <c r="K38" i="108" s="1"/>
  <c r="K11" i="133"/>
  <c r="K30" i="108" s="1"/>
  <c r="K36" i="108" s="1"/>
  <c r="H11" i="133"/>
  <c r="K10" i="133"/>
  <c r="H10" i="133"/>
  <c r="K5" i="133"/>
  <c r="K19" i="108" s="1"/>
  <c r="K4" i="133"/>
  <c r="J26" i="108" s="1"/>
  <c r="K3" i="133"/>
  <c r="K25" i="108"/>
  <c r="D19" i="108"/>
  <c r="K22" i="108"/>
  <c r="K27" i="108" s="1"/>
  <c r="J25" i="108"/>
  <c r="I22" i="108"/>
  <c r="K21" i="108"/>
  <c r="K23" i="108" s="1"/>
  <c r="J21" i="108"/>
  <c r="J23" i="108" s="1"/>
  <c r="I20" i="108"/>
  <c r="J5" i="133"/>
  <c r="K20" i="108" s="1"/>
  <c r="J4" i="133"/>
  <c r="J3" i="133"/>
  <c r="J20" i="108" s="1"/>
  <c r="D66" i="107"/>
  <c r="D65" i="107"/>
  <c r="D64" i="107"/>
  <c r="D63" i="107"/>
  <c r="D62" i="107"/>
  <c r="D61" i="107"/>
  <c r="D60" i="107"/>
  <c r="C26" i="133"/>
  <c r="C24" i="133"/>
  <c r="C23" i="133" s="1"/>
  <c r="C3" i="133"/>
  <c r="D24" i="133"/>
  <c r="D21" i="133"/>
  <c r="D9" i="133"/>
  <c r="D37" i="107"/>
  <c r="D34" i="107"/>
  <c r="D31" i="107"/>
  <c r="I2" i="133"/>
  <c r="I3" i="133" s="1"/>
  <c r="H5" i="133"/>
  <c r="H4" i="133"/>
  <c r="H3" i="133"/>
  <c r="C15" i="133"/>
  <c r="C11" i="133"/>
  <c r="D36" i="107" s="1"/>
  <c r="C8" i="133"/>
  <c r="D33" i="107" s="1"/>
  <c r="G16" i="127"/>
  <c r="G15" i="127"/>
  <c r="G14" i="127"/>
  <c r="G8" i="127"/>
  <c r="G7" i="127"/>
  <c r="G6" i="127"/>
  <c r="G3" i="127"/>
  <c r="D3" i="123"/>
  <c r="G3" i="123" s="1"/>
  <c r="J3" i="123" s="1"/>
  <c r="D5" i="109" l="1"/>
  <c r="K26" i="108"/>
  <c r="J30" i="108"/>
  <c r="J36" i="108" s="1"/>
  <c r="J19" i="108"/>
  <c r="F4" i="109"/>
  <c r="K34" i="108"/>
  <c r="K35" i="108" s="1"/>
  <c r="J40" i="108"/>
  <c r="K40" i="108"/>
  <c r="J28" i="108"/>
  <c r="J29" i="108"/>
  <c r="K29" i="108"/>
  <c r="J27" i="108"/>
  <c r="K24" i="108"/>
  <c r="K28" i="108"/>
  <c r="I10" i="133"/>
  <c r="I9" i="133"/>
  <c r="J24" i="108"/>
  <c r="C20" i="133"/>
  <c r="D59" i="107" s="1"/>
  <c r="D35" i="107"/>
  <c r="D38" i="107" s="1"/>
  <c r="D30" i="107"/>
  <c r="I5" i="133"/>
  <c r="J34" i="108" l="1"/>
  <c r="J35" i="108" s="1"/>
  <c r="D44" i="107"/>
  <c r="P5" i="122" l="1"/>
  <c r="Q5" i="122" s="1"/>
  <c r="D23" i="107"/>
  <c r="AA3" i="123"/>
  <c r="F36" i="116" l="1"/>
  <c r="F35" i="116"/>
  <c r="D7" i="116" l="1"/>
  <c r="D37" i="116"/>
  <c r="C66" i="108"/>
  <c r="X12" i="127" l="1"/>
  <c r="X9" i="127"/>
  <c r="X18" i="127"/>
  <c r="X17" i="127"/>
  <c r="X16" i="127"/>
  <c r="X15" i="127"/>
  <c r="X13" i="127"/>
  <c r="X11" i="127"/>
  <c r="X10" i="127"/>
  <c r="X8" i="127"/>
  <c r="X7" i="127"/>
  <c r="X6" i="127"/>
  <c r="X5" i="127"/>
  <c r="X4" i="127"/>
  <c r="X3" i="127"/>
  <c r="AK3" i="123"/>
  <c r="AK3" i="132"/>
  <c r="AM3" i="123"/>
  <c r="AL3" i="123"/>
  <c r="V4" i="123"/>
  <c r="V5" i="123"/>
  <c r="V6" i="123"/>
  <c r="V7" i="123"/>
  <c r="V8" i="123"/>
  <c r="V9" i="123"/>
  <c r="V10" i="123"/>
  <c r="V11" i="123"/>
  <c r="V12" i="123"/>
  <c r="V13" i="123"/>
  <c r="V14" i="123"/>
  <c r="V15" i="123"/>
  <c r="V16" i="123"/>
  <c r="V17" i="123"/>
  <c r="V18" i="123"/>
  <c r="V19" i="123"/>
  <c r="V20" i="123"/>
  <c r="V21" i="123"/>
  <c r="V22" i="123"/>
  <c r="V23" i="123"/>
  <c r="V24" i="123"/>
  <c r="V25" i="123"/>
  <c r="V26" i="123"/>
  <c r="V27" i="123"/>
  <c r="V28" i="123"/>
  <c r="V29" i="123"/>
  <c r="V30" i="123"/>
  <c r="V31" i="123"/>
  <c r="V32" i="123"/>
  <c r="V33" i="123"/>
  <c r="V34" i="123"/>
  <c r="V35" i="123"/>
  <c r="V36" i="123"/>
  <c r="V37" i="123"/>
  <c r="V38" i="123"/>
  <c r="V39" i="123"/>
  <c r="V40" i="123"/>
  <c r="V41" i="123"/>
  <c r="V42" i="123"/>
  <c r="V43" i="123"/>
  <c r="V44" i="123"/>
  <c r="V45" i="123"/>
  <c r="V46" i="123"/>
  <c r="V47" i="123"/>
  <c r="V48" i="123"/>
  <c r="V49" i="123"/>
  <c r="V50" i="123"/>
  <c r="V51" i="123"/>
  <c r="V52" i="123"/>
  <c r="V53" i="123"/>
  <c r="V54" i="123"/>
  <c r="V55" i="123"/>
  <c r="V56" i="123"/>
  <c r="V57" i="123"/>
  <c r="V58" i="123"/>
  <c r="V59" i="123"/>
  <c r="V60" i="123"/>
  <c r="V61" i="123"/>
  <c r="V62" i="123"/>
  <c r="V63" i="123"/>
  <c r="V64" i="123"/>
  <c r="V65" i="123"/>
  <c r="V66" i="123"/>
  <c r="V67" i="123"/>
  <c r="V68" i="123"/>
  <c r="V69" i="123"/>
  <c r="V70" i="123"/>
  <c r="V71" i="123"/>
  <c r="V72" i="123"/>
  <c r="V73" i="123"/>
  <c r="V74" i="123"/>
  <c r="V75" i="123"/>
  <c r="V76" i="123"/>
  <c r="V77" i="123"/>
  <c r="V78" i="123"/>
  <c r="V79" i="123"/>
  <c r="V80" i="123"/>
  <c r="V81" i="123"/>
  <c r="V82" i="123"/>
  <c r="V83" i="123"/>
  <c r="V84" i="123"/>
  <c r="V85" i="123"/>
  <c r="V86" i="123"/>
  <c r="V87" i="123"/>
  <c r="V88" i="123"/>
  <c r="V89" i="123"/>
  <c r="V90" i="123"/>
  <c r="V91" i="123"/>
  <c r="V92" i="123"/>
  <c r="V93" i="123"/>
  <c r="V94" i="123"/>
  <c r="V95" i="123"/>
  <c r="V96" i="123"/>
  <c r="V97" i="123"/>
  <c r="V98" i="123"/>
  <c r="V99" i="123"/>
  <c r="V100" i="123"/>
  <c r="V101" i="123"/>
  <c r="V102" i="123"/>
  <c r="V103" i="123"/>
  <c r="V104" i="123"/>
  <c r="V105" i="123"/>
  <c r="V106" i="123"/>
  <c r="V107" i="123"/>
  <c r="V108" i="123"/>
  <c r="V109" i="123"/>
  <c r="V110" i="123"/>
  <c r="V111" i="123"/>
  <c r="V112" i="123"/>
  <c r="V113" i="123"/>
  <c r="V114" i="123"/>
  <c r="V115" i="123"/>
  <c r="V116" i="123"/>
  <c r="V117" i="123"/>
  <c r="V118" i="123"/>
  <c r="V119" i="123"/>
  <c r="V120" i="123"/>
  <c r="V121" i="123"/>
  <c r="V122" i="123"/>
  <c r="V123" i="123"/>
  <c r="V124" i="123"/>
  <c r="V125" i="123"/>
  <c r="V126" i="123"/>
  <c r="V127" i="123"/>
  <c r="V128" i="123"/>
  <c r="V129" i="123"/>
  <c r="V130" i="123"/>
  <c r="V131" i="123"/>
  <c r="V132" i="123"/>
  <c r="V133" i="123"/>
  <c r="V134" i="123"/>
  <c r="V135" i="123"/>
  <c r="V136" i="123"/>
  <c r="V137" i="123"/>
  <c r="V138" i="123"/>
  <c r="V139" i="123"/>
  <c r="V140" i="123"/>
  <c r="V141" i="123"/>
  <c r="V142" i="123"/>
  <c r="V143" i="123"/>
  <c r="V144" i="123"/>
  <c r="V145" i="123"/>
  <c r="V146" i="123"/>
  <c r="V147" i="123"/>
  <c r="V148" i="123"/>
  <c r="V3" i="123"/>
  <c r="S3" i="123" s="1"/>
  <c r="AO3" i="132"/>
  <c r="AK4" i="132"/>
  <c r="AL4" i="132"/>
  <c r="AM4" i="132"/>
  <c r="AN4" i="132"/>
  <c r="AK5" i="132"/>
  <c r="AL5" i="132"/>
  <c r="AM5" i="132"/>
  <c r="AO5" i="132" s="1"/>
  <c r="AN5" i="132"/>
  <c r="AK6" i="132"/>
  <c r="AL6" i="132"/>
  <c r="AM6" i="132"/>
  <c r="AN6" i="132"/>
  <c r="AK7" i="132"/>
  <c r="AL7" i="132"/>
  <c r="AM7" i="132"/>
  <c r="AO7" i="132" s="1"/>
  <c r="AN7" i="132"/>
  <c r="AK8" i="132"/>
  <c r="AL8" i="132"/>
  <c r="AM8" i="132"/>
  <c r="AN8" i="132"/>
  <c r="AK9" i="132"/>
  <c r="AL9" i="132"/>
  <c r="AM9" i="132"/>
  <c r="AO9" i="132" s="1"/>
  <c r="AN9" i="132"/>
  <c r="AK10" i="132"/>
  <c r="AL10" i="132"/>
  <c r="AM10" i="132"/>
  <c r="AN10" i="132"/>
  <c r="AK11" i="132"/>
  <c r="AL11" i="132"/>
  <c r="AM11" i="132"/>
  <c r="AO11" i="132" s="1"/>
  <c r="AN11" i="132"/>
  <c r="AK12" i="132"/>
  <c r="AL12" i="132"/>
  <c r="AM12" i="132"/>
  <c r="AN12" i="132"/>
  <c r="AK13" i="132"/>
  <c r="AL13" i="132"/>
  <c r="AM13" i="132"/>
  <c r="AN13" i="132"/>
  <c r="AO13" i="132" s="1"/>
  <c r="AK14" i="132"/>
  <c r="AL14" i="132"/>
  <c r="AM14" i="132"/>
  <c r="AN14" i="132"/>
  <c r="AK15" i="132"/>
  <c r="AL15" i="132"/>
  <c r="AM15" i="132"/>
  <c r="AN15" i="132"/>
  <c r="AK16" i="132"/>
  <c r="AL16" i="132"/>
  <c r="AM16" i="132"/>
  <c r="AN16" i="132"/>
  <c r="AK17" i="132"/>
  <c r="AL17" i="132"/>
  <c r="AM17" i="132"/>
  <c r="AO17" i="132" s="1"/>
  <c r="AN17" i="132"/>
  <c r="AK18" i="132"/>
  <c r="AL18" i="132"/>
  <c r="AM18" i="132"/>
  <c r="AN18" i="132"/>
  <c r="AK19" i="132"/>
  <c r="AL19" i="132"/>
  <c r="AM19" i="132"/>
  <c r="AO19" i="132" s="1"/>
  <c r="AN19" i="132"/>
  <c r="AK20" i="132"/>
  <c r="AL20" i="132"/>
  <c r="AM20" i="132"/>
  <c r="AN20" i="132"/>
  <c r="AK21" i="132"/>
  <c r="AL21" i="132"/>
  <c r="AM21" i="132"/>
  <c r="AO21" i="132" s="1"/>
  <c r="AN21" i="132"/>
  <c r="AK22" i="132"/>
  <c r="AL22" i="132"/>
  <c r="AM22" i="132"/>
  <c r="AN22" i="132"/>
  <c r="AK23" i="132"/>
  <c r="AL23" i="132"/>
  <c r="AM23" i="132"/>
  <c r="AO23" i="132" s="1"/>
  <c r="AN23" i="132"/>
  <c r="AK24" i="132"/>
  <c r="AL24" i="132"/>
  <c r="AM24" i="132"/>
  <c r="AN24" i="132"/>
  <c r="AK25" i="132"/>
  <c r="AL25" i="132"/>
  <c r="AM25" i="132"/>
  <c r="AN25" i="132"/>
  <c r="AO25" i="132" s="1"/>
  <c r="AK26" i="132"/>
  <c r="AL26" i="132"/>
  <c r="AM26" i="132"/>
  <c r="AN26" i="132"/>
  <c r="AK27" i="132"/>
  <c r="AL27" i="132"/>
  <c r="AM27" i="132"/>
  <c r="AO27" i="132" s="1"/>
  <c r="AN27" i="132"/>
  <c r="AK28" i="132"/>
  <c r="AL28" i="132"/>
  <c r="AM28" i="132"/>
  <c r="AN28" i="132"/>
  <c r="AK29" i="132"/>
  <c r="AL29" i="132"/>
  <c r="AM29" i="132"/>
  <c r="AO29" i="132" s="1"/>
  <c r="AN29" i="132"/>
  <c r="AK30" i="132"/>
  <c r="AL30" i="132"/>
  <c r="AM30" i="132"/>
  <c r="AN30" i="132"/>
  <c r="AK31" i="132"/>
  <c r="AL31" i="132"/>
  <c r="AM31" i="132"/>
  <c r="AO31" i="132" s="1"/>
  <c r="AN31" i="132"/>
  <c r="AK32" i="132"/>
  <c r="AL32" i="132"/>
  <c r="AM32" i="132"/>
  <c r="AN32" i="132"/>
  <c r="AK33" i="132"/>
  <c r="AL33" i="132"/>
  <c r="AM33" i="132"/>
  <c r="AO33" i="132" s="1"/>
  <c r="AN33" i="132"/>
  <c r="AK34" i="132"/>
  <c r="AL34" i="132"/>
  <c r="AM34" i="132"/>
  <c r="AN34" i="132"/>
  <c r="AK35" i="132"/>
  <c r="AL35" i="132"/>
  <c r="AM35" i="132"/>
  <c r="AO35" i="132" s="1"/>
  <c r="AN35" i="132"/>
  <c r="AK36" i="132"/>
  <c r="AL36" i="132"/>
  <c r="AM36" i="132"/>
  <c r="AN36" i="132"/>
  <c r="AK37" i="132"/>
  <c r="AL37" i="132"/>
  <c r="AM37" i="132"/>
  <c r="AO37" i="132" s="1"/>
  <c r="AN37" i="132"/>
  <c r="AK38" i="132"/>
  <c r="AL38" i="132"/>
  <c r="AM38" i="132"/>
  <c r="AN38" i="132"/>
  <c r="AK39" i="132"/>
  <c r="AL39" i="132"/>
  <c r="AM39" i="132"/>
  <c r="AN39" i="132"/>
  <c r="AO39" i="132" s="1"/>
  <c r="AK40" i="132"/>
  <c r="AL40" i="132"/>
  <c r="AM40" i="132"/>
  <c r="AN40" i="132"/>
  <c r="AK41" i="132"/>
  <c r="AL41" i="132"/>
  <c r="AM41" i="132"/>
  <c r="AO41" i="132" s="1"/>
  <c r="AN41" i="132"/>
  <c r="AK42" i="132"/>
  <c r="AL42" i="132"/>
  <c r="AM42" i="132"/>
  <c r="AN42" i="132"/>
  <c r="AK43" i="132"/>
  <c r="AL43" i="132"/>
  <c r="AM43" i="132"/>
  <c r="AN43" i="132"/>
  <c r="AO43" i="132" s="1"/>
  <c r="AK44" i="132"/>
  <c r="AL44" i="132"/>
  <c r="AM44" i="132"/>
  <c r="AN44" i="132"/>
  <c r="AK45" i="132"/>
  <c r="AL45" i="132"/>
  <c r="AM45" i="132"/>
  <c r="AO45" i="132" s="1"/>
  <c r="AN45" i="132"/>
  <c r="AK46" i="132"/>
  <c r="AL46" i="132"/>
  <c r="AM46" i="132"/>
  <c r="AN46" i="132"/>
  <c r="AK47" i="132"/>
  <c r="AL47" i="132"/>
  <c r="AM47" i="132"/>
  <c r="AO47" i="132" s="1"/>
  <c r="AN47" i="132"/>
  <c r="AK48" i="132"/>
  <c r="AL48" i="132"/>
  <c r="AM48" i="132"/>
  <c r="AN48" i="132"/>
  <c r="AK49" i="132"/>
  <c r="AL49" i="132"/>
  <c r="AM49" i="132"/>
  <c r="AO49" i="132" s="1"/>
  <c r="AN49" i="132"/>
  <c r="AK50" i="132"/>
  <c r="AL50" i="132"/>
  <c r="AM50" i="132"/>
  <c r="AN50" i="132"/>
  <c r="AK51" i="132"/>
  <c r="AL51" i="132"/>
  <c r="AM51" i="132"/>
  <c r="AO51" i="132" s="1"/>
  <c r="AN51" i="132"/>
  <c r="AK52" i="132"/>
  <c r="AL52" i="132"/>
  <c r="AM52" i="132"/>
  <c r="AN52" i="132"/>
  <c r="AK53" i="132"/>
  <c r="AL53" i="132"/>
  <c r="AM53" i="132"/>
  <c r="AN53" i="132"/>
  <c r="AK54" i="132"/>
  <c r="AL54" i="132"/>
  <c r="AM54" i="132"/>
  <c r="AN54" i="132"/>
  <c r="AK55" i="132"/>
  <c r="AL55" i="132"/>
  <c r="AM55" i="132"/>
  <c r="AO55" i="132" s="1"/>
  <c r="AN55" i="132"/>
  <c r="AK56" i="132"/>
  <c r="AL56" i="132"/>
  <c r="AM56" i="132"/>
  <c r="AN56" i="132"/>
  <c r="AK57" i="132"/>
  <c r="AL57" i="132"/>
  <c r="AM57" i="132"/>
  <c r="AO57" i="132" s="1"/>
  <c r="AN57" i="132"/>
  <c r="AK58" i="132"/>
  <c r="AL58" i="132"/>
  <c r="AM58" i="132"/>
  <c r="AN58" i="132"/>
  <c r="AK59" i="132"/>
  <c r="AL59" i="132"/>
  <c r="AM59" i="132"/>
  <c r="AO59" i="132" s="1"/>
  <c r="AN59" i="132"/>
  <c r="AK60" i="132"/>
  <c r="AL60" i="132"/>
  <c r="AM60" i="132"/>
  <c r="AN60" i="132"/>
  <c r="AK61" i="132"/>
  <c r="AL61" i="132"/>
  <c r="AM61" i="132"/>
  <c r="AO61" i="132" s="1"/>
  <c r="AN61" i="132"/>
  <c r="AK62" i="132"/>
  <c r="AL62" i="132"/>
  <c r="AM62" i="132"/>
  <c r="AN62" i="132"/>
  <c r="AK63" i="132"/>
  <c r="AL63" i="132"/>
  <c r="AM63" i="132"/>
  <c r="AO63" i="132" s="1"/>
  <c r="AN63" i="132"/>
  <c r="AK64" i="132"/>
  <c r="AL64" i="132"/>
  <c r="AM64" i="132"/>
  <c r="AN64" i="132"/>
  <c r="AK65" i="132"/>
  <c r="AL65" i="132"/>
  <c r="AM65" i="132"/>
  <c r="AN65" i="132"/>
  <c r="AK66" i="132"/>
  <c r="AL66" i="132"/>
  <c r="AM66" i="132"/>
  <c r="AN66" i="132"/>
  <c r="AK67" i="132"/>
  <c r="AL67" i="132"/>
  <c r="AM67" i="132"/>
  <c r="AN67" i="132"/>
  <c r="AK68" i="132"/>
  <c r="AL68" i="132"/>
  <c r="AM68" i="132"/>
  <c r="AN68" i="132"/>
  <c r="AK69" i="132"/>
  <c r="AL69" i="132"/>
  <c r="AM69" i="132"/>
  <c r="AO69" i="132" s="1"/>
  <c r="AN69" i="132"/>
  <c r="AK70" i="132"/>
  <c r="AL70" i="132"/>
  <c r="AM70" i="132"/>
  <c r="AN70" i="132"/>
  <c r="AK71" i="132"/>
  <c r="AL71" i="132"/>
  <c r="AM71" i="132"/>
  <c r="AO71" i="132" s="1"/>
  <c r="AN71" i="132"/>
  <c r="AK72" i="132"/>
  <c r="AL72" i="132"/>
  <c r="AM72" i="132"/>
  <c r="AN72" i="132"/>
  <c r="AK73" i="132"/>
  <c r="AL73" i="132"/>
  <c r="AM73" i="132"/>
  <c r="AO73" i="132" s="1"/>
  <c r="AN73" i="132"/>
  <c r="AK74" i="132"/>
  <c r="AL74" i="132"/>
  <c r="AM74" i="132"/>
  <c r="AN74" i="132"/>
  <c r="AK75" i="132"/>
  <c r="AL75" i="132"/>
  <c r="AM75" i="132"/>
  <c r="AO75" i="132" s="1"/>
  <c r="AN75" i="132"/>
  <c r="AK76" i="132"/>
  <c r="AL76" i="132"/>
  <c r="AM76" i="132"/>
  <c r="AN76" i="132"/>
  <c r="AK77" i="132"/>
  <c r="AL77" i="132"/>
  <c r="AM77" i="132"/>
  <c r="AN77" i="132"/>
  <c r="AO77" i="132" s="1"/>
  <c r="AK78" i="132"/>
  <c r="AL78" i="132"/>
  <c r="AM78" i="132"/>
  <c r="AN78" i="132"/>
  <c r="AK79" i="132"/>
  <c r="AL79" i="132"/>
  <c r="AM79" i="132"/>
  <c r="AN79" i="132"/>
  <c r="AK80" i="132"/>
  <c r="AL80" i="132"/>
  <c r="AM80" i="132"/>
  <c r="AN80" i="132"/>
  <c r="AK81" i="132"/>
  <c r="AL81" i="132"/>
  <c r="AM81" i="132"/>
  <c r="AO81" i="132" s="1"/>
  <c r="AN81" i="132"/>
  <c r="AK82" i="132"/>
  <c r="AL82" i="132"/>
  <c r="AM82" i="132"/>
  <c r="AN82" i="132"/>
  <c r="AK83" i="132"/>
  <c r="AL83" i="132"/>
  <c r="AM83" i="132"/>
  <c r="AO83" i="132" s="1"/>
  <c r="AN83" i="132"/>
  <c r="AK84" i="132"/>
  <c r="AL84" i="132"/>
  <c r="AM84" i="132"/>
  <c r="AN84" i="132"/>
  <c r="AK85" i="132"/>
  <c r="AL85" i="132"/>
  <c r="AM85" i="132"/>
  <c r="AO85" i="132" s="1"/>
  <c r="AN85" i="132"/>
  <c r="AK86" i="132"/>
  <c r="AL86" i="132"/>
  <c r="AM86" i="132"/>
  <c r="AN86" i="132"/>
  <c r="AK87" i="132"/>
  <c r="AL87" i="132"/>
  <c r="AM87" i="132"/>
  <c r="AO87" i="132" s="1"/>
  <c r="AN87" i="132"/>
  <c r="AK88" i="132"/>
  <c r="AL88" i="132"/>
  <c r="AM88" i="132"/>
  <c r="AN88" i="132"/>
  <c r="AK89" i="132"/>
  <c r="AL89" i="132"/>
  <c r="AM89" i="132"/>
  <c r="AN89" i="132"/>
  <c r="AO89" i="132" s="1"/>
  <c r="AK90" i="132"/>
  <c r="AL90" i="132"/>
  <c r="AM90" i="132"/>
  <c r="AN90" i="132"/>
  <c r="AK91" i="132"/>
  <c r="AL91" i="132"/>
  <c r="AM91" i="132"/>
  <c r="AO91" i="132" s="1"/>
  <c r="AN91" i="132"/>
  <c r="AK92" i="132"/>
  <c r="AL92" i="132"/>
  <c r="AM92" i="132"/>
  <c r="AN92" i="132"/>
  <c r="AK93" i="132"/>
  <c r="AL93" i="132"/>
  <c r="AM93" i="132"/>
  <c r="AO93" i="132" s="1"/>
  <c r="AN93" i="132"/>
  <c r="AK94" i="132"/>
  <c r="AL94" i="132"/>
  <c r="AM94" i="132"/>
  <c r="AN94" i="132"/>
  <c r="AO94" i="132" s="1"/>
  <c r="AK95" i="132"/>
  <c r="AL95" i="132"/>
  <c r="AM95" i="132"/>
  <c r="AO95" i="132" s="1"/>
  <c r="AN95" i="132"/>
  <c r="AK96" i="132"/>
  <c r="AL96" i="132"/>
  <c r="AM96" i="132"/>
  <c r="AN96" i="132"/>
  <c r="AK97" i="132"/>
  <c r="AL97" i="132"/>
  <c r="AM97" i="132"/>
  <c r="AO97" i="132" s="1"/>
  <c r="AN97" i="132"/>
  <c r="AK98" i="132"/>
  <c r="AL98" i="132"/>
  <c r="AM98" i="132"/>
  <c r="AN98" i="132"/>
  <c r="AK99" i="132"/>
  <c r="AL99" i="132"/>
  <c r="AM99" i="132"/>
  <c r="AO99" i="132" s="1"/>
  <c r="AN99" i="132"/>
  <c r="AK100" i="132"/>
  <c r="AL100" i="132"/>
  <c r="AM100" i="132"/>
  <c r="AN100" i="132"/>
  <c r="AK101" i="132"/>
  <c r="AL101" i="132"/>
  <c r="AM101" i="132"/>
  <c r="AO101" i="132" s="1"/>
  <c r="AN101" i="132"/>
  <c r="AK102" i="132"/>
  <c r="AL102" i="132"/>
  <c r="AM102" i="132"/>
  <c r="AN102" i="132"/>
  <c r="AK103" i="132"/>
  <c r="AL103" i="132"/>
  <c r="AM103" i="132"/>
  <c r="AN103" i="132"/>
  <c r="AO103" i="132" s="1"/>
  <c r="AK104" i="132"/>
  <c r="AL104" i="132"/>
  <c r="AM104" i="132"/>
  <c r="AN104" i="132"/>
  <c r="AK105" i="132"/>
  <c r="AL105" i="132"/>
  <c r="AM105" i="132"/>
  <c r="AO105" i="132" s="1"/>
  <c r="AN105" i="132"/>
  <c r="AK106" i="132"/>
  <c r="AL106" i="132"/>
  <c r="AM106" i="132"/>
  <c r="AN106" i="132"/>
  <c r="AO106" i="132" s="1"/>
  <c r="AK107" i="132"/>
  <c r="AL107" i="132"/>
  <c r="AM107" i="132"/>
  <c r="AN107" i="132"/>
  <c r="AO107" i="132" s="1"/>
  <c r="AK108" i="132"/>
  <c r="AL108" i="132"/>
  <c r="AM108" i="132"/>
  <c r="AN108" i="132"/>
  <c r="AO108" i="132" s="1"/>
  <c r="AK109" i="132"/>
  <c r="AL109" i="132"/>
  <c r="AM109" i="132"/>
  <c r="AO109" i="132" s="1"/>
  <c r="AN109" i="132"/>
  <c r="AK110" i="132"/>
  <c r="AL110" i="132"/>
  <c r="AM110" i="132"/>
  <c r="AN110" i="132"/>
  <c r="AK111" i="132"/>
  <c r="AL111" i="132"/>
  <c r="AM111" i="132"/>
  <c r="AO111" i="132" s="1"/>
  <c r="AN111" i="132"/>
  <c r="AK112" i="132"/>
  <c r="AL112" i="132"/>
  <c r="AM112" i="132"/>
  <c r="AN112" i="132"/>
  <c r="AK113" i="132"/>
  <c r="AL113" i="132"/>
  <c r="AM113" i="132"/>
  <c r="AO113" i="132" s="1"/>
  <c r="AN113" i="132"/>
  <c r="AK114" i="132"/>
  <c r="AL114" i="132"/>
  <c r="AM114" i="132"/>
  <c r="AN114" i="132"/>
  <c r="AK115" i="132"/>
  <c r="AL115" i="132"/>
  <c r="AM115" i="132"/>
  <c r="AO115" i="132" s="1"/>
  <c r="AN115" i="132"/>
  <c r="AK116" i="132"/>
  <c r="AL116" i="132"/>
  <c r="AM116" i="132"/>
  <c r="AN116" i="132"/>
  <c r="AK117" i="132"/>
  <c r="AL117" i="132"/>
  <c r="AM117" i="132"/>
  <c r="AN117" i="132"/>
  <c r="AK118" i="132"/>
  <c r="AL118" i="132"/>
  <c r="AM118" i="132"/>
  <c r="AN118" i="132"/>
  <c r="AK119" i="132"/>
  <c r="AL119" i="132"/>
  <c r="AM119" i="132"/>
  <c r="AO119" i="132" s="1"/>
  <c r="AN119" i="132"/>
  <c r="AK120" i="132"/>
  <c r="AL120" i="132"/>
  <c r="AM120" i="132"/>
  <c r="AN120" i="132"/>
  <c r="AO120" i="132" s="1"/>
  <c r="AK121" i="132"/>
  <c r="AL121" i="132"/>
  <c r="AM121" i="132"/>
  <c r="AO121" i="132" s="1"/>
  <c r="AN121" i="132"/>
  <c r="AK122" i="132"/>
  <c r="AL122" i="132"/>
  <c r="AM122" i="132"/>
  <c r="AN122" i="132"/>
  <c r="AK123" i="132"/>
  <c r="AL123" i="132"/>
  <c r="AM123" i="132"/>
  <c r="AO123" i="132" s="1"/>
  <c r="AN123" i="132"/>
  <c r="AK124" i="132"/>
  <c r="AL124" i="132"/>
  <c r="AM124" i="132"/>
  <c r="AN124" i="132"/>
  <c r="AK125" i="132"/>
  <c r="AL125" i="132"/>
  <c r="AM125" i="132"/>
  <c r="AO125" i="132" s="1"/>
  <c r="AN125" i="132"/>
  <c r="AK126" i="132"/>
  <c r="AL126" i="132"/>
  <c r="AM126" i="132"/>
  <c r="AN126" i="132"/>
  <c r="AO126" i="132" s="1"/>
  <c r="AK127" i="132"/>
  <c r="AL127" i="132"/>
  <c r="AM127" i="132"/>
  <c r="AO127" i="132" s="1"/>
  <c r="AN127" i="132"/>
  <c r="AK128" i="132"/>
  <c r="AL128" i="132"/>
  <c r="AM128" i="132"/>
  <c r="AN128" i="132"/>
  <c r="AK129" i="132"/>
  <c r="AL129" i="132"/>
  <c r="AM129" i="132"/>
  <c r="AN129" i="132"/>
  <c r="AK130" i="132"/>
  <c r="AL130" i="132"/>
  <c r="AM130" i="132"/>
  <c r="AN130" i="132"/>
  <c r="AK131" i="132"/>
  <c r="AL131" i="132"/>
  <c r="AM131" i="132"/>
  <c r="AN131" i="132"/>
  <c r="AK132" i="132"/>
  <c r="AL132" i="132"/>
  <c r="AM132" i="132"/>
  <c r="AN132" i="132"/>
  <c r="AK133" i="132"/>
  <c r="AL133" i="132"/>
  <c r="AM133" i="132"/>
  <c r="AO133" i="132" s="1"/>
  <c r="AN133" i="132"/>
  <c r="AK134" i="132"/>
  <c r="AL134" i="132"/>
  <c r="AM134" i="132"/>
  <c r="AN134" i="132"/>
  <c r="AO134" i="132" s="1"/>
  <c r="AK135" i="132"/>
  <c r="AL135" i="132"/>
  <c r="AM135" i="132"/>
  <c r="AO135" i="132" s="1"/>
  <c r="AN135" i="132"/>
  <c r="AK136" i="132"/>
  <c r="AL136" i="132"/>
  <c r="AM136" i="132"/>
  <c r="AN136" i="132"/>
  <c r="AK137" i="132"/>
  <c r="AL137" i="132"/>
  <c r="AM137" i="132"/>
  <c r="AO137" i="132" s="1"/>
  <c r="AN137" i="132"/>
  <c r="AK138" i="132"/>
  <c r="AO138" i="132" s="1"/>
  <c r="AL138" i="132"/>
  <c r="AM138" i="132"/>
  <c r="AN138" i="132"/>
  <c r="AK139" i="132"/>
  <c r="AL139" i="132"/>
  <c r="AM139" i="132"/>
  <c r="AO139" i="132" s="1"/>
  <c r="AN139" i="132"/>
  <c r="AK140" i="132"/>
  <c r="AL140" i="132"/>
  <c r="AM140" i="132"/>
  <c r="AN140" i="132"/>
  <c r="AO140" i="132" s="1"/>
  <c r="AK141" i="132"/>
  <c r="AL141" i="132"/>
  <c r="AM141" i="132"/>
  <c r="AN141" i="132"/>
  <c r="AO141" i="132" s="1"/>
  <c r="AK142" i="132"/>
  <c r="AL142" i="132"/>
  <c r="AM142" i="132"/>
  <c r="AN142" i="132"/>
  <c r="AK143" i="132"/>
  <c r="AL143" i="132"/>
  <c r="AM143" i="132"/>
  <c r="AN143" i="132"/>
  <c r="AK144" i="132"/>
  <c r="AL144" i="132"/>
  <c r="AM144" i="132"/>
  <c r="AN144" i="132"/>
  <c r="AO144" i="132" s="1"/>
  <c r="AK145" i="132"/>
  <c r="AL145" i="132"/>
  <c r="AM145" i="132"/>
  <c r="AO145" i="132" s="1"/>
  <c r="AN145" i="132"/>
  <c r="AK146" i="132"/>
  <c r="AO146" i="132" s="1"/>
  <c r="AL146" i="132"/>
  <c r="AM146" i="132"/>
  <c r="AN146" i="132"/>
  <c r="AK147" i="132"/>
  <c r="AL147" i="132"/>
  <c r="AM147" i="132"/>
  <c r="AO147" i="132" s="1"/>
  <c r="AN147" i="132"/>
  <c r="AK148" i="132"/>
  <c r="AL148" i="132"/>
  <c r="AM148" i="132"/>
  <c r="AN148" i="132"/>
  <c r="AO148" i="132" s="1"/>
  <c r="AN3" i="132"/>
  <c r="AM3" i="132"/>
  <c r="AL3" i="132"/>
  <c r="AO6" i="132"/>
  <c r="AO10" i="132"/>
  <c r="AO14" i="132"/>
  <c r="AO18" i="132"/>
  <c r="AO22" i="132"/>
  <c r="AO26" i="132"/>
  <c r="AO30" i="132"/>
  <c r="AO34" i="132"/>
  <c r="AO38" i="132"/>
  <c r="AO42" i="132"/>
  <c r="AO46" i="132"/>
  <c r="AO50" i="132"/>
  <c r="AO54" i="132"/>
  <c r="AO58" i="132"/>
  <c r="AO62" i="132"/>
  <c r="AO66" i="132"/>
  <c r="AO67" i="132"/>
  <c r="AO70" i="132"/>
  <c r="AO74" i="132"/>
  <c r="AO78" i="132"/>
  <c r="AO82" i="132"/>
  <c r="AO86" i="132"/>
  <c r="AO90" i="132"/>
  <c r="AO98" i="132"/>
  <c r="AO102" i="132"/>
  <c r="AO110" i="132"/>
  <c r="AO114" i="132"/>
  <c r="AO118" i="132"/>
  <c r="AO122" i="132"/>
  <c r="AO130" i="132"/>
  <c r="AO131" i="132"/>
  <c r="AO142" i="132"/>
  <c r="AG3" i="132"/>
  <c r="AF3" i="132"/>
  <c r="AO4" i="132"/>
  <c r="AO8" i="132"/>
  <c r="AO12" i="132"/>
  <c r="AO15" i="132"/>
  <c r="AO16" i="132"/>
  <c r="AO20" i="132"/>
  <c r="AO24" i="132"/>
  <c r="AO28" i="132"/>
  <c r="AO32" i="132"/>
  <c r="AO36" i="132"/>
  <c r="AO40" i="132"/>
  <c r="AO44" i="132"/>
  <c r="AO48" i="132"/>
  <c r="AO52" i="132"/>
  <c r="AO53" i="132"/>
  <c r="AO56" i="132"/>
  <c r="AO60" i="132"/>
  <c r="AO64" i="132"/>
  <c r="AO65" i="132"/>
  <c r="AO68" i="132"/>
  <c r="AO72" i="132"/>
  <c r="AO76" i="132"/>
  <c r="AO79" i="132"/>
  <c r="AO80" i="132"/>
  <c r="AO84" i="132"/>
  <c r="AO88" i="132"/>
  <c r="AO92" i="132"/>
  <c r="AO96" i="132"/>
  <c r="AO100" i="132"/>
  <c r="AO104" i="132"/>
  <c r="AO112" i="132"/>
  <c r="AO116" i="132"/>
  <c r="AO117" i="132"/>
  <c r="AO124" i="132"/>
  <c r="AO128" i="132"/>
  <c r="AO129" i="132"/>
  <c r="AO132" i="132"/>
  <c r="AO136" i="132"/>
  <c r="AO143" i="132"/>
  <c r="W18" i="132"/>
  <c r="T18" i="132" s="1"/>
  <c r="AB3" i="132"/>
  <c r="S88" i="122"/>
  <c r="S87" i="122"/>
  <c r="S86" i="122"/>
  <c r="S85" i="122"/>
  <c r="S84" i="122"/>
  <c r="W148" i="132"/>
  <c r="T148" i="132" s="1"/>
  <c r="W147" i="132"/>
  <c r="T147" i="132" s="1"/>
  <c r="W146" i="132"/>
  <c r="T146" i="132" s="1"/>
  <c r="W145" i="132"/>
  <c r="W144" i="132"/>
  <c r="T144" i="132" s="1"/>
  <c r="W143" i="132"/>
  <c r="W142" i="132"/>
  <c r="T142" i="132" s="1"/>
  <c r="W141" i="132"/>
  <c r="T141" i="132" s="1"/>
  <c r="W140" i="132"/>
  <c r="T140" i="132" s="1"/>
  <c r="W139" i="132"/>
  <c r="T139" i="132" s="1"/>
  <c r="W138" i="132"/>
  <c r="T138" i="132" s="1"/>
  <c r="W137" i="132"/>
  <c r="T137" i="132" s="1"/>
  <c r="W136" i="132"/>
  <c r="T136" i="132" s="1"/>
  <c r="W135" i="132"/>
  <c r="W134" i="132"/>
  <c r="T134" i="132" s="1"/>
  <c r="W133" i="132"/>
  <c r="T133" i="132" s="1"/>
  <c r="W132" i="132"/>
  <c r="T132" i="132" s="1"/>
  <c r="W131" i="132"/>
  <c r="W130" i="132"/>
  <c r="T130" i="132" s="1"/>
  <c r="W129" i="132"/>
  <c r="T129" i="132" s="1"/>
  <c r="W128" i="132"/>
  <c r="T128" i="132" s="1"/>
  <c r="W127" i="132"/>
  <c r="W126" i="132"/>
  <c r="T126" i="132" s="1"/>
  <c r="W125" i="132"/>
  <c r="T125" i="132" s="1"/>
  <c r="W124" i="132"/>
  <c r="T124" i="132" s="1"/>
  <c r="W123" i="132"/>
  <c r="T123" i="132" s="1"/>
  <c r="W122" i="132"/>
  <c r="T122" i="132" s="1"/>
  <c r="W121" i="132"/>
  <c r="W120" i="132"/>
  <c r="T120" i="132" s="1"/>
  <c r="W119" i="132"/>
  <c r="W118" i="132"/>
  <c r="T118" i="132" s="1"/>
  <c r="W117" i="132"/>
  <c r="T117" i="132" s="1"/>
  <c r="W116" i="132"/>
  <c r="W115" i="132"/>
  <c r="T115" i="132" s="1"/>
  <c r="W114" i="132"/>
  <c r="W113" i="132"/>
  <c r="T113" i="132" s="1"/>
  <c r="W112" i="132"/>
  <c r="T112" i="132" s="1"/>
  <c r="W111" i="132"/>
  <c r="W110" i="132"/>
  <c r="T110" i="132" s="1"/>
  <c r="W109" i="132"/>
  <c r="T109" i="132" s="1"/>
  <c r="W108" i="132"/>
  <c r="T108" i="132" s="1"/>
  <c r="W107" i="132"/>
  <c r="T107" i="132" s="1"/>
  <c r="W106" i="132"/>
  <c r="T106" i="132" s="1"/>
  <c r="W105" i="132"/>
  <c r="T105" i="132" s="1"/>
  <c r="W104" i="132"/>
  <c r="T104" i="132" s="1"/>
  <c r="W103" i="132"/>
  <c r="W102" i="132"/>
  <c r="T102" i="132" s="1"/>
  <c r="W101" i="132"/>
  <c r="T101" i="132" s="1"/>
  <c r="W100" i="132"/>
  <c r="T100" i="132" s="1"/>
  <c r="W99" i="132"/>
  <c r="T99" i="132" s="1"/>
  <c r="W98" i="132"/>
  <c r="T98" i="132" s="1"/>
  <c r="W97" i="132"/>
  <c r="T97" i="132" s="1"/>
  <c r="W96" i="132"/>
  <c r="T96" i="132" s="1"/>
  <c r="W95" i="132"/>
  <c r="T95" i="132" s="1"/>
  <c r="W94" i="132"/>
  <c r="T94" i="132" s="1"/>
  <c r="W93" i="132"/>
  <c r="T93" i="132" s="1"/>
  <c r="W92" i="132"/>
  <c r="T92" i="132" s="1"/>
  <c r="W91" i="132"/>
  <c r="T91" i="132" s="1"/>
  <c r="W90" i="132"/>
  <c r="W89" i="132"/>
  <c r="T89" i="132" s="1"/>
  <c r="W88" i="132"/>
  <c r="T88" i="132" s="1"/>
  <c r="W87" i="132"/>
  <c r="W86" i="132"/>
  <c r="T86" i="132" s="1"/>
  <c r="W85" i="132"/>
  <c r="T85" i="132" s="1"/>
  <c r="W84" i="132"/>
  <c r="T84" i="132" s="1"/>
  <c r="W83" i="132"/>
  <c r="T83" i="132" s="1"/>
  <c r="W82" i="132"/>
  <c r="T82" i="132" s="1"/>
  <c r="W81" i="132"/>
  <c r="T81" i="132" s="1"/>
  <c r="W80" i="132"/>
  <c r="W79" i="132"/>
  <c r="T79" i="132" s="1"/>
  <c r="W78" i="132"/>
  <c r="T78" i="132" s="1"/>
  <c r="W77" i="132"/>
  <c r="T77" i="132" s="1"/>
  <c r="W76" i="132"/>
  <c r="T76" i="132" s="1"/>
  <c r="W75" i="132"/>
  <c r="T75" i="132" s="1"/>
  <c r="W74" i="132"/>
  <c r="T74" i="132" s="1"/>
  <c r="W73" i="132"/>
  <c r="T73" i="132" s="1"/>
  <c r="W72" i="132"/>
  <c r="T72" i="132" s="1"/>
  <c r="W71" i="132"/>
  <c r="W70" i="132"/>
  <c r="T70" i="132" s="1"/>
  <c r="W69" i="132"/>
  <c r="T69" i="132" s="1"/>
  <c r="W68" i="132"/>
  <c r="T68" i="132" s="1"/>
  <c r="W67" i="132"/>
  <c r="T67" i="132" s="1"/>
  <c r="W66" i="132"/>
  <c r="T66" i="132" s="1"/>
  <c r="W65" i="132"/>
  <c r="T65" i="132" s="1"/>
  <c r="W64" i="132"/>
  <c r="T64" i="132" s="1"/>
  <c r="W63" i="132"/>
  <c r="W62" i="132"/>
  <c r="T62" i="132" s="1"/>
  <c r="W61" i="132"/>
  <c r="T61" i="132" s="1"/>
  <c r="W60" i="132"/>
  <c r="T60" i="132" s="1"/>
  <c r="W59" i="132"/>
  <c r="T59" i="132" s="1"/>
  <c r="W58" i="132"/>
  <c r="T58" i="132" s="1"/>
  <c r="W57" i="132"/>
  <c r="T57" i="132" s="1"/>
  <c r="W56" i="132"/>
  <c r="T56" i="132" s="1"/>
  <c r="W55" i="132"/>
  <c r="T55" i="132" s="1"/>
  <c r="W54" i="132"/>
  <c r="W53" i="132"/>
  <c r="T53" i="132" s="1"/>
  <c r="W52" i="132"/>
  <c r="T52" i="132" s="1"/>
  <c r="W51" i="132"/>
  <c r="T51" i="132" s="1"/>
  <c r="W50" i="132"/>
  <c r="T50" i="132" s="1"/>
  <c r="W49" i="132"/>
  <c r="T49" i="132" s="1"/>
  <c r="W48" i="132"/>
  <c r="T48" i="132" s="1"/>
  <c r="W47" i="132"/>
  <c r="W46" i="132"/>
  <c r="T46" i="132" s="1"/>
  <c r="W45" i="132"/>
  <c r="W44" i="132"/>
  <c r="T44" i="132" s="1"/>
  <c r="W43" i="132"/>
  <c r="T43" i="132" s="1"/>
  <c r="W42" i="132"/>
  <c r="T42" i="132" s="1"/>
  <c r="W41" i="132"/>
  <c r="T41" i="132" s="1"/>
  <c r="W40" i="132"/>
  <c r="T40" i="132" s="1"/>
  <c r="W39" i="132"/>
  <c r="W38" i="132"/>
  <c r="T38" i="132" s="1"/>
  <c r="W37" i="132"/>
  <c r="T37" i="132" s="1"/>
  <c r="W36" i="132"/>
  <c r="T36" i="132" s="1"/>
  <c r="W35" i="132"/>
  <c r="T35" i="132" s="1"/>
  <c r="W34" i="132"/>
  <c r="W33" i="132"/>
  <c r="T33" i="132" s="1"/>
  <c r="W32" i="132"/>
  <c r="W31" i="132"/>
  <c r="W30" i="132"/>
  <c r="T30" i="132" s="1"/>
  <c r="W29" i="132"/>
  <c r="T29" i="132" s="1"/>
  <c r="W28" i="132"/>
  <c r="T28" i="132" s="1"/>
  <c r="W27" i="132"/>
  <c r="W26" i="132"/>
  <c r="T26" i="132" s="1"/>
  <c r="W25" i="132"/>
  <c r="T25" i="132" s="1"/>
  <c r="W24" i="132"/>
  <c r="T24" i="132" s="1"/>
  <c r="W23" i="132"/>
  <c r="W22" i="132"/>
  <c r="T22" i="132" s="1"/>
  <c r="W21" i="132"/>
  <c r="T21" i="132" s="1"/>
  <c r="W20" i="132"/>
  <c r="T20" i="132" s="1"/>
  <c r="W19" i="132"/>
  <c r="T19" i="132" s="1"/>
  <c r="W17" i="132"/>
  <c r="T17" i="132" s="1"/>
  <c r="W16" i="132"/>
  <c r="T16" i="132" s="1"/>
  <c r="W15" i="132"/>
  <c r="W14" i="132"/>
  <c r="T14" i="132" s="1"/>
  <c r="W13" i="132"/>
  <c r="W12" i="132"/>
  <c r="T12" i="132" s="1"/>
  <c r="W11" i="132"/>
  <c r="T11" i="132" s="1"/>
  <c r="W10" i="132"/>
  <c r="T10" i="132" s="1"/>
  <c r="W9" i="132"/>
  <c r="T9" i="132" s="1"/>
  <c r="W8" i="132"/>
  <c r="T8" i="132" s="1"/>
  <c r="W7" i="132"/>
  <c r="W6" i="132"/>
  <c r="W5" i="132"/>
  <c r="W4" i="132"/>
  <c r="W3" i="132"/>
  <c r="T3" i="132" s="1"/>
  <c r="H3" i="132"/>
  <c r="C149" i="132"/>
  <c r="B149" i="132"/>
  <c r="AB148" i="132"/>
  <c r="AC148" i="132" s="1"/>
  <c r="J148" i="132" s="1"/>
  <c r="Z148" i="132"/>
  <c r="V148" i="132"/>
  <c r="U148" i="132"/>
  <c r="H148" i="132"/>
  <c r="K148" i="132" s="1"/>
  <c r="M148" i="132" s="1"/>
  <c r="D148" i="132"/>
  <c r="AB147" i="132"/>
  <c r="AC147" i="132" s="1"/>
  <c r="J147" i="132" s="1"/>
  <c r="Z147" i="132"/>
  <c r="V147" i="132"/>
  <c r="U147" i="132"/>
  <c r="H147" i="132"/>
  <c r="AG147" i="132" s="1"/>
  <c r="D147" i="132"/>
  <c r="AB146" i="132"/>
  <c r="AC146" i="132" s="1"/>
  <c r="J146" i="132" s="1"/>
  <c r="Z146" i="132"/>
  <c r="V146" i="132"/>
  <c r="U146" i="132"/>
  <c r="H146" i="132"/>
  <c r="D146" i="132"/>
  <c r="AB145" i="132"/>
  <c r="AC145" i="132" s="1"/>
  <c r="J145" i="132" s="1"/>
  <c r="Z145" i="132"/>
  <c r="V145" i="132"/>
  <c r="U145" i="132"/>
  <c r="H145" i="132"/>
  <c r="AG145" i="132" s="1"/>
  <c r="D145" i="132"/>
  <c r="AB144" i="132"/>
  <c r="AC144" i="132" s="1"/>
  <c r="J144" i="132" s="1"/>
  <c r="Z144" i="132"/>
  <c r="V144" i="132"/>
  <c r="U144" i="132"/>
  <c r="H144" i="132"/>
  <c r="K144" i="132" s="1"/>
  <c r="M144" i="132" s="1"/>
  <c r="D144" i="132"/>
  <c r="AB143" i="132"/>
  <c r="AC143" i="132" s="1"/>
  <c r="J143" i="132" s="1"/>
  <c r="Z143" i="132"/>
  <c r="V143" i="132"/>
  <c r="U143" i="132"/>
  <c r="T143" i="132"/>
  <c r="H143" i="132"/>
  <c r="K143" i="132" s="1"/>
  <c r="M143" i="132" s="1"/>
  <c r="D143" i="132"/>
  <c r="AB142" i="132"/>
  <c r="AC142" i="132" s="1"/>
  <c r="J142" i="132" s="1"/>
  <c r="Z142" i="132"/>
  <c r="V142" i="132"/>
  <c r="U142" i="132"/>
  <c r="H142" i="132"/>
  <c r="D142" i="132"/>
  <c r="AB141" i="132"/>
  <c r="AC141" i="132" s="1"/>
  <c r="J141" i="132" s="1"/>
  <c r="Z141" i="132"/>
  <c r="V141" i="132"/>
  <c r="U141" i="132"/>
  <c r="H141" i="132"/>
  <c r="AG141" i="132" s="1"/>
  <c r="D141" i="132"/>
  <c r="AB140" i="132"/>
  <c r="AC140" i="132" s="1"/>
  <c r="J140" i="132" s="1"/>
  <c r="Z140" i="132"/>
  <c r="V140" i="132"/>
  <c r="U140" i="132"/>
  <c r="H140" i="132"/>
  <c r="D140" i="132"/>
  <c r="AB139" i="132"/>
  <c r="AC139" i="132" s="1"/>
  <c r="J139" i="132" s="1"/>
  <c r="Z139" i="132"/>
  <c r="V139" i="132"/>
  <c r="U139" i="132"/>
  <c r="H139" i="132"/>
  <c r="K139" i="132" s="1"/>
  <c r="M139" i="132" s="1"/>
  <c r="D139" i="132"/>
  <c r="AB138" i="132"/>
  <c r="AC138" i="132" s="1"/>
  <c r="J138" i="132" s="1"/>
  <c r="Z138" i="132"/>
  <c r="V138" i="132"/>
  <c r="U138" i="132"/>
  <c r="H138" i="132"/>
  <c r="AF138" i="132" s="1"/>
  <c r="D138" i="132"/>
  <c r="AB137" i="132"/>
  <c r="AC137" i="132" s="1"/>
  <c r="J137" i="132" s="1"/>
  <c r="Z137" i="132"/>
  <c r="V137" i="132"/>
  <c r="U137" i="132"/>
  <c r="H137" i="132"/>
  <c r="AH137" i="132" s="1"/>
  <c r="D137" i="132"/>
  <c r="AB136" i="132"/>
  <c r="AC136" i="132" s="1"/>
  <c r="J136" i="132" s="1"/>
  <c r="Z136" i="132"/>
  <c r="V136" i="132"/>
  <c r="U136" i="132"/>
  <c r="H136" i="132"/>
  <c r="K136" i="132" s="1"/>
  <c r="M136" i="132" s="1"/>
  <c r="D136" i="132"/>
  <c r="AB135" i="132"/>
  <c r="AC135" i="132" s="1"/>
  <c r="J135" i="132" s="1"/>
  <c r="Z135" i="132"/>
  <c r="V135" i="132"/>
  <c r="U135" i="132"/>
  <c r="T135" i="132"/>
  <c r="H135" i="132"/>
  <c r="D135" i="132"/>
  <c r="AB134" i="132"/>
  <c r="AC134" i="132" s="1"/>
  <c r="J134" i="132" s="1"/>
  <c r="Z134" i="132"/>
  <c r="V134" i="132"/>
  <c r="U134" i="132"/>
  <c r="H134" i="132"/>
  <c r="D134" i="132"/>
  <c r="AB133" i="132"/>
  <c r="AC133" i="132" s="1"/>
  <c r="J133" i="132" s="1"/>
  <c r="Z133" i="132"/>
  <c r="V133" i="132"/>
  <c r="U133" i="132"/>
  <c r="H133" i="132"/>
  <c r="D133" i="132"/>
  <c r="AB132" i="132"/>
  <c r="AC132" i="132" s="1"/>
  <c r="J132" i="132" s="1"/>
  <c r="Z132" i="132"/>
  <c r="V132" i="132"/>
  <c r="U132" i="132"/>
  <c r="H132" i="132"/>
  <c r="D132" i="132"/>
  <c r="AB131" i="132"/>
  <c r="AC131" i="132" s="1"/>
  <c r="J131" i="132" s="1"/>
  <c r="Z131" i="132"/>
  <c r="V131" i="132"/>
  <c r="U131" i="132"/>
  <c r="H131" i="132"/>
  <c r="AG131" i="132" s="1"/>
  <c r="D131" i="132"/>
  <c r="AB130" i="132"/>
  <c r="AC130" i="132" s="1"/>
  <c r="J130" i="132" s="1"/>
  <c r="Z130" i="132"/>
  <c r="V130" i="132"/>
  <c r="U130" i="132"/>
  <c r="H130" i="132"/>
  <c r="D130" i="132"/>
  <c r="AB129" i="132"/>
  <c r="AC129" i="132" s="1"/>
  <c r="J129" i="132" s="1"/>
  <c r="Z129" i="132"/>
  <c r="V129" i="132"/>
  <c r="U129" i="132"/>
  <c r="H129" i="132"/>
  <c r="K129" i="132" s="1"/>
  <c r="M129" i="132" s="1"/>
  <c r="D129" i="132"/>
  <c r="AB128" i="132"/>
  <c r="AC128" i="132" s="1"/>
  <c r="J128" i="132" s="1"/>
  <c r="Z128" i="132"/>
  <c r="V128" i="132"/>
  <c r="U128" i="132"/>
  <c r="H128" i="132"/>
  <c r="AF128" i="132" s="1"/>
  <c r="D128" i="132"/>
  <c r="AB127" i="132"/>
  <c r="AC127" i="132" s="1"/>
  <c r="J127" i="132" s="1"/>
  <c r="Z127" i="132"/>
  <c r="V127" i="132"/>
  <c r="U127" i="132"/>
  <c r="T127" i="132"/>
  <c r="H127" i="132"/>
  <c r="AH127" i="132" s="1"/>
  <c r="D127" i="132"/>
  <c r="AB126" i="132"/>
  <c r="AC126" i="132" s="1"/>
  <c r="J126" i="132" s="1"/>
  <c r="Z126" i="132"/>
  <c r="V126" i="132"/>
  <c r="U126" i="132"/>
  <c r="H126" i="132"/>
  <c r="D126" i="132"/>
  <c r="AB125" i="132"/>
  <c r="AC125" i="132" s="1"/>
  <c r="J125" i="132" s="1"/>
  <c r="Z125" i="132"/>
  <c r="V125" i="132"/>
  <c r="U125" i="132"/>
  <c r="H125" i="132"/>
  <c r="AH125" i="132" s="1"/>
  <c r="D125" i="132"/>
  <c r="AB124" i="132"/>
  <c r="AC124" i="132" s="1"/>
  <c r="J124" i="132" s="1"/>
  <c r="Z124" i="132"/>
  <c r="V124" i="132"/>
  <c r="U124" i="132"/>
  <c r="H124" i="132"/>
  <c r="D124" i="132"/>
  <c r="AB123" i="132"/>
  <c r="AC123" i="132" s="1"/>
  <c r="J123" i="132" s="1"/>
  <c r="Z123" i="132"/>
  <c r="V123" i="132"/>
  <c r="U123" i="132"/>
  <c r="H123" i="132"/>
  <c r="D123" i="132"/>
  <c r="AB122" i="132"/>
  <c r="AC122" i="132" s="1"/>
  <c r="J122" i="132" s="1"/>
  <c r="Z122" i="132"/>
  <c r="V122" i="132"/>
  <c r="U122" i="132"/>
  <c r="H122" i="132"/>
  <c r="D122" i="132"/>
  <c r="AB121" i="132"/>
  <c r="AC121" i="132" s="1"/>
  <c r="J121" i="132" s="1"/>
  <c r="Z121" i="132"/>
  <c r="T121" i="132"/>
  <c r="V121" i="132"/>
  <c r="U121" i="132"/>
  <c r="H121" i="132"/>
  <c r="D121" i="132"/>
  <c r="AB120" i="132"/>
  <c r="AC120" i="132" s="1"/>
  <c r="J120" i="132" s="1"/>
  <c r="Z120" i="132"/>
  <c r="V120" i="132"/>
  <c r="U120" i="132"/>
  <c r="H120" i="132"/>
  <c r="D120" i="132"/>
  <c r="AB119" i="132"/>
  <c r="AC119" i="132" s="1"/>
  <c r="J119" i="132" s="1"/>
  <c r="Z119" i="132"/>
  <c r="V119" i="132"/>
  <c r="U119" i="132"/>
  <c r="T119" i="132"/>
  <c r="H119" i="132"/>
  <c r="D119" i="132"/>
  <c r="AB118" i="132"/>
  <c r="AC118" i="132" s="1"/>
  <c r="J118" i="132" s="1"/>
  <c r="Z118" i="132"/>
  <c r="V118" i="132"/>
  <c r="U118" i="132"/>
  <c r="H118" i="132"/>
  <c r="D118" i="132"/>
  <c r="AB117" i="132"/>
  <c r="AC117" i="132" s="1"/>
  <c r="J117" i="132" s="1"/>
  <c r="Z117" i="132"/>
  <c r="V117" i="132"/>
  <c r="U117" i="132"/>
  <c r="H117" i="132"/>
  <c r="AG117" i="132" s="1"/>
  <c r="D117" i="132"/>
  <c r="AB116" i="132"/>
  <c r="AC116" i="132" s="1"/>
  <c r="J116" i="132" s="1"/>
  <c r="Z116" i="132"/>
  <c r="V116" i="132"/>
  <c r="U116" i="132"/>
  <c r="H116" i="132"/>
  <c r="D116" i="132"/>
  <c r="AB115" i="132"/>
  <c r="AC115" i="132" s="1"/>
  <c r="J115" i="132" s="1"/>
  <c r="Z115" i="132"/>
  <c r="V115" i="132"/>
  <c r="U115" i="132"/>
  <c r="H115" i="132"/>
  <c r="K115" i="132" s="1"/>
  <c r="M115" i="132" s="1"/>
  <c r="D115" i="132"/>
  <c r="AB114" i="132"/>
  <c r="AC114" i="132" s="1"/>
  <c r="J114" i="132" s="1"/>
  <c r="Z114" i="132"/>
  <c r="V114" i="132"/>
  <c r="U114" i="132"/>
  <c r="H114" i="132"/>
  <c r="D114" i="132"/>
  <c r="AB113" i="132"/>
  <c r="AC113" i="132" s="1"/>
  <c r="J113" i="132" s="1"/>
  <c r="Z113" i="132"/>
  <c r="V113" i="132"/>
  <c r="U113" i="132"/>
  <c r="H113" i="132"/>
  <c r="AG113" i="132" s="1"/>
  <c r="D113" i="132"/>
  <c r="AB112" i="132"/>
  <c r="AC112" i="132" s="1"/>
  <c r="J112" i="132" s="1"/>
  <c r="Z112" i="132"/>
  <c r="V112" i="132"/>
  <c r="U112" i="132"/>
  <c r="H112" i="132"/>
  <c r="D112" i="132"/>
  <c r="AB111" i="132"/>
  <c r="AC111" i="132" s="1"/>
  <c r="J111" i="132" s="1"/>
  <c r="Z111" i="132"/>
  <c r="V111" i="132"/>
  <c r="U111" i="132"/>
  <c r="T111" i="132"/>
  <c r="H111" i="132"/>
  <c r="AG111" i="132" s="1"/>
  <c r="D111" i="132"/>
  <c r="AB110" i="132"/>
  <c r="AC110" i="132" s="1"/>
  <c r="J110" i="132" s="1"/>
  <c r="Z110" i="132"/>
  <c r="V110" i="132"/>
  <c r="U110" i="132"/>
  <c r="H110" i="132"/>
  <c r="K110" i="132" s="1"/>
  <c r="M110" i="132" s="1"/>
  <c r="D110" i="132"/>
  <c r="AB109" i="132"/>
  <c r="AC109" i="132" s="1"/>
  <c r="J109" i="132" s="1"/>
  <c r="Z109" i="132"/>
  <c r="V109" i="132"/>
  <c r="U109" i="132"/>
  <c r="H109" i="132"/>
  <c r="AG109" i="132" s="1"/>
  <c r="D109" i="132"/>
  <c r="AB108" i="132"/>
  <c r="AC108" i="132" s="1"/>
  <c r="J108" i="132" s="1"/>
  <c r="Z108" i="132"/>
  <c r="V108" i="132"/>
  <c r="U108" i="132"/>
  <c r="H108" i="132"/>
  <c r="D108" i="132"/>
  <c r="AB107" i="132"/>
  <c r="AC107" i="132" s="1"/>
  <c r="J107" i="132" s="1"/>
  <c r="Z107" i="132"/>
  <c r="V107" i="132"/>
  <c r="U107" i="132"/>
  <c r="H107" i="132"/>
  <c r="AG107" i="132" s="1"/>
  <c r="D107" i="132"/>
  <c r="AB106" i="132"/>
  <c r="AC106" i="132" s="1"/>
  <c r="J106" i="132" s="1"/>
  <c r="Z106" i="132"/>
  <c r="V106" i="132"/>
  <c r="U106" i="132"/>
  <c r="H106" i="132"/>
  <c r="K106" i="132" s="1"/>
  <c r="M106" i="132" s="1"/>
  <c r="D106" i="132"/>
  <c r="AB105" i="132"/>
  <c r="AC105" i="132" s="1"/>
  <c r="J105" i="132" s="1"/>
  <c r="Z105" i="132"/>
  <c r="V105" i="132"/>
  <c r="U105" i="132"/>
  <c r="H105" i="132"/>
  <c r="AH105" i="132" s="1"/>
  <c r="D105" i="132"/>
  <c r="AB104" i="132"/>
  <c r="AC104" i="132" s="1"/>
  <c r="J104" i="132" s="1"/>
  <c r="Z104" i="132"/>
  <c r="V104" i="132"/>
  <c r="U104" i="132"/>
  <c r="H104" i="132"/>
  <c r="D104" i="132"/>
  <c r="AB103" i="132"/>
  <c r="AC103" i="132" s="1"/>
  <c r="J103" i="132" s="1"/>
  <c r="Z103" i="132"/>
  <c r="V103" i="132"/>
  <c r="U103" i="132"/>
  <c r="T103" i="132"/>
  <c r="H103" i="132"/>
  <c r="D103" i="132"/>
  <c r="AB102" i="132"/>
  <c r="AC102" i="132" s="1"/>
  <c r="J102" i="132" s="1"/>
  <c r="Z102" i="132"/>
  <c r="V102" i="132"/>
  <c r="U102" i="132"/>
  <c r="H102" i="132"/>
  <c r="D102" i="132"/>
  <c r="AB101" i="132"/>
  <c r="AC101" i="132" s="1"/>
  <c r="J101" i="132" s="1"/>
  <c r="Z101" i="132"/>
  <c r="V101" i="132"/>
  <c r="U101" i="132"/>
  <c r="H101" i="132"/>
  <c r="D101" i="132"/>
  <c r="AB100" i="132"/>
  <c r="AC100" i="132" s="1"/>
  <c r="J100" i="132" s="1"/>
  <c r="Z100" i="132"/>
  <c r="V100" i="132"/>
  <c r="U100" i="132"/>
  <c r="H100" i="132"/>
  <c r="D100" i="132"/>
  <c r="AB99" i="132"/>
  <c r="AC99" i="132" s="1"/>
  <c r="J99" i="132" s="1"/>
  <c r="Z99" i="132"/>
  <c r="V99" i="132"/>
  <c r="U99" i="132"/>
  <c r="H99" i="132"/>
  <c r="AG99" i="132" s="1"/>
  <c r="D99" i="132"/>
  <c r="AB98" i="132"/>
  <c r="AC98" i="132" s="1"/>
  <c r="J98" i="132" s="1"/>
  <c r="Z98" i="132"/>
  <c r="V98" i="132"/>
  <c r="U98" i="132"/>
  <c r="H98" i="132"/>
  <c r="D98" i="132"/>
  <c r="AB97" i="132"/>
  <c r="AC97" i="132" s="1"/>
  <c r="J97" i="132" s="1"/>
  <c r="Z97" i="132"/>
  <c r="V97" i="132"/>
  <c r="U97" i="132"/>
  <c r="H97" i="132"/>
  <c r="AG97" i="132" s="1"/>
  <c r="D97" i="132"/>
  <c r="AB96" i="132"/>
  <c r="AC96" i="132" s="1"/>
  <c r="J96" i="132" s="1"/>
  <c r="Z96" i="132"/>
  <c r="V96" i="132"/>
  <c r="U96" i="132"/>
  <c r="H96" i="132"/>
  <c r="D96" i="132"/>
  <c r="AB95" i="132"/>
  <c r="AC95" i="132" s="1"/>
  <c r="J95" i="132" s="1"/>
  <c r="Z95" i="132"/>
  <c r="V95" i="132"/>
  <c r="U95" i="132"/>
  <c r="H95" i="132"/>
  <c r="AG95" i="132" s="1"/>
  <c r="D95" i="132"/>
  <c r="AB94" i="132"/>
  <c r="AC94" i="132" s="1"/>
  <c r="J94" i="132" s="1"/>
  <c r="Z94" i="132"/>
  <c r="V94" i="132"/>
  <c r="U94" i="132"/>
  <c r="H94" i="132"/>
  <c r="D94" i="132"/>
  <c r="AB93" i="132"/>
  <c r="AC93" i="132" s="1"/>
  <c r="J93" i="132" s="1"/>
  <c r="Z93" i="132"/>
  <c r="V93" i="132"/>
  <c r="U93" i="132"/>
  <c r="H93" i="132"/>
  <c r="AG93" i="132" s="1"/>
  <c r="D93" i="132"/>
  <c r="AB92" i="132"/>
  <c r="AC92" i="132" s="1"/>
  <c r="J92" i="132" s="1"/>
  <c r="Z92" i="132"/>
  <c r="V92" i="132"/>
  <c r="U92" i="132"/>
  <c r="H92" i="132"/>
  <c r="K92" i="132" s="1"/>
  <c r="M92" i="132" s="1"/>
  <c r="D92" i="132"/>
  <c r="AB91" i="132"/>
  <c r="AC91" i="132" s="1"/>
  <c r="J91" i="132" s="1"/>
  <c r="Z91" i="132"/>
  <c r="V91" i="132"/>
  <c r="U91" i="132"/>
  <c r="H91" i="132"/>
  <c r="AG91" i="132" s="1"/>
  <c r="D91" i="132"/>
  <c r="AB90" i="132"/>
  <c r="AC90" i="132" s="1"/>
  <c r="J90" i="132" s="1"/>
  <c r="Z90" i="132"/>
  <c r="T90" i="132"/>
  <c r="V90" i="132"/>
  <c r="U90" i="132"/>
  <c r="H90" i="132"/>
  <c r="D90" i="132"/>
  <c r="AB89" i="132"/>
  <c r="AC89" i="132" s="1"/>
  <c r="J89" i="132" s="1"/>
  <c r="Z89" i="132"/>
  <c r="V89" i="132"/>
  <c r="U89" i="132"/>
  <c r="H89" i="132"/>
  <c r="D89" i="132"/>
  <c r="AB88" i="132"/>
  <c r="AC88" i="132" s="1"/>
  <c r="J88" i="132" s="1"/>
  <c r="Z88" i="132"/>
  <c r="V88" i="132"/>
  <c r="U88" i="132"/>
  <c r="H88" i="132"/>
  <c r="D88" i="132"/>
  <c r="AB87" i="132"/>
  <c r="AC87" i="132" s="1"/>
  <c r="J87" i="132" s="1"/>
  <c r="Z87" i="132"/>
  <c r="T87" i="132"/>
  <c r="V87" i="132"/>
  <c r="U87" i="132"/>
  <c r="H87" i="132"/>
  <c r="D87" i="132"/>
  <c r="AB86" i="132"/>
  <c r="AC86" i="132" s="1"/>
  <c r="J86" i="132" s="1"/>
  <c r="Z86" i="132"/>
  <c r="V86" i="132"/>
  <c r="U86" i="132"/>
  <c r="H86" i="132"/>
  <c r="D86" i="132"/>
  <c r="AB85" i="132"/>
  <c r="AC85" i="132" s="1"/>
  <c r="J85" i="132" s="1"/>
  <c r="Z85" i="132"/>
  <c r="V85" i="132"/>
  <c r="U85" i="132"/>
  <c r="H85" i="132"/>
  <c r="D85" i="132"/>
  <c r="AB84" i="132"/>
  <c r="AC84" i="132" s="1"/>
  <c r="J84" i="132" s="1"/>
  <c r="Z84" i="132"/>
  <c r="V84" i="132"/>
  <c r="U84" i="132"/>
  <c r="H84" i="132"/>
  <c r="D84" i="132"/>
  <c r="AB83" i="132"/>
  <c r="AC83" i="132" s="1"/>
  <c r="J83" i="132" s="1"/>
  <c r="Z83" i="132"/>
  <c r="V83" i="132"/>
  <c r="U83" i="132"/>
  <c r="H83" i="132"/>
  <c r="AG83" i="132" s="1"/>
  <c r="D83" i="132"/>
  <c r="AB82" i="132"/>
  <c r="AC82" i="132" s="1"/>
  <c r="J82" i="132" s="1"/>
  <c r="Z82" i="132"/>
  <c r="V82" i="132"/>
  <c r="U82" i="132"/>
  <c r="H82" i="132"/>
  <c r="D82" i="132"/>
  <c r="AB81" i="132"/>
  <c r="AC81" i="132" s="1"/>
  <c r="J81" i="132" s="1"/>
  <c r="Z81" i="132"/>
  <c r="V81" i="132"/>
  <c r="U81" i="132"/>
  <c r="H81" i="132"/>
  <c r="AG81" i="132" s="1"/>
  <c r="D81" i="132"/>
  <c r="AB80" i="132"/>
  <c r="AC80" i="132" s="1"/>
  <c r="J80" i="132" s="1"/>
  <c r="Z80" i="132"/>
  <c r="V80" i="132"/>
  <c r="U80" i="132"/>
  <c r="T80" i="132"/>
  <c r="H80" i="132"/>
  <c r="K80" i="132" s="1"/>
  <c r="M80" i="132" s="1"/>
  <c r="D80" i="132"/>
  <c r="AB79" i="132"/>
  <c r="AC79" i="132" s="1"/>
  <c r="J79" i="132" s="1"/>
  <c r="Z79" i="132"/>
  <c r="V79" i="132"/>
  <c r="U79" i="132"/>
  <c r="H79" i="132"/>
  <c r="AG79" i="132" s="1"/>
  <c r="D79" i="132"/>
  <c r="AB78" i="132"/>
  <c r="AC78" i="132" s="1"/>
  <c r="J78" i="132" s="1"/>
  <c r="Z78" i="132"/>
  <c r="V78" i="132"/>
  <c r="U78" i="132"/>
  <c r="H78" i="132"/>
  <c r="K78" i="132" s="1"/>
  <c r="M78" i="132" s="1"/>
  <c r="D78" i="132"/>
  <c r="AB77" i="132"/>
  <c r="AC77" i="132" s="1"/>
  <c r="J77" i="132" s="1"/>
  <c r="Z77" i="132"/>
  <c r="V77" i="132"/>
  <c r="U77" i="132"/>
  <c r="H77" i="132"/>
  <c r="AG77" i="132" s="1"/>
  <c r="D77" i="132"/>
  <c r="AB76" i="132"/>
  <c r="AC76" i="132" s="1"/>
  <c r="J76" i="132" s="1"/>
  <c r="Z76" i="132"/>
  <c r="V76" i="132"/>
  <c r="U76" i="132"/>
  <c r="H76" i="132"/>
  <c r="D76" i="132"/>
  <c r="AB75" i="132"/>
  <c r="AC75" i="132" s="1"/>
  <c r="J75" i="132" s="1"/>
  <c r="Z75" i="132"/>
  <c r="V75" i="132"/>
  <c r="U75" i="132"/>
  <c r="H75" i="132"/>
  <c r="D75" i="132"/>
  <c r="AB74" i="132"/>
  <c r="AC74" i="132" s="1"/>
  <c r="J74" i="132" s="1"/>
  <c r="Z74" i="132"/>
  <c r="V74" i="132"/>
  <c r="U74" i="132"/>
  <c r="H74" i="132"/>
  <c r="K74" i="132" s="1"/>
  <c r="M74" i="132" s="1"/>
  <c r="D74" i="132"/>
  <c r="AB73" i="132"/>
  <c r="AC73" i="132" s="1"/>
  <c r="J73" i="132" s="1"/>
  <c r="Z73" i="132"/>
  <c r="V73" i="132"/>
  <c r="U73" i="132"/>
  <c r="H73" i="132"/>
  <c r="AG73" i="132" s="1"/>
  <c r="D73" i="132"/>
  <c r="AB72" i="132"/>
  <c r="AC72" i="132" s="1"/>
  <c r="J72" i="132" s="1"/>
  <c r="Z72" i="132"/>
  <c r="V72" i="132"/>
  <c r="U72" i="132"/>
  <c r="H72" i="132"/>
  <c r="D72" i="132"/>
  <c r="AB71" i="132"/>
  <c r="AC71" i="132" s="1"/>
  <c r="J71" i="132" s="1"/>
  <c r="Z71" i="132"/>
  <c r="T71" i="132"/>
  <c r="V71" i="132"/>
  <c r="U71" i="132"/>
  <c r="H71" i="132"/>
  <c r="AG71" i="132" s="1"/>
  <c r="D71" i="132"/>
  <c r="AB70" i="132"/>
  <c r="AC70" i="132" s="1"/>
  <c r="J70" i="132" s="1"/>
  <c r="Z70" i="132"/>
  <c r="V70" i="132"/>
  <c r="U70" i="132"/>
  <c r="H70" i="132"/>
  <c r="K70" i="132" s="1"/>
  <c r="M70" i="132" s="1"/>
  <c r="D70" i="132"/>
  <c r="AB69" i="132"/>
  <c r="AC69" i="132" s="1"/>
  <c r="J69" i="132" s="1"/>
  <c r="Z69" i="132"/>
  <c r="V69" i="132"/>
  <c r="U69" i="132"/>
  <c r="H69" i="132"/>
  <c r="D69" i="132"/>
  <c r="AB68" i="132"/>
  <c r="AC68" i="132" s="1"/>
  <c r="J68" i="132" s="1"/>
  <c r="Z68" i="132"/>
  <c r="V68" i="132"/>
  <c r="U68" i="132"/>
  <c r="H68" i="132"/>
  <c r="K68" i="132" s="1"/>
  <c r="M68" i="132" s="1"/>
  <c r="D68" i="132"/>
  <c r="AB67" i="132"/>
  <c r="AC67" i="132" s="1"/>
  <c r="J67" i="132" s="1"/>
  <c r="Z67" i="132"/>
  <c r="V67" i="132"/>
  <c r="U67" i="132"/>
  <c r="H67" i="132"/>
  <c r="AG67" i="132" s="1"/>
  <c r="D67" i="132"/>
  <c r="AB66" i="132"/>
  <c r="AC66" i="132" s="1"/>
  <c r="J66" i="132" s="1"/>
  <c r="Z66" i="132"/>
  <c r="V66" i="132"/>
  <c r="U66" i="132"/>
  <c r="H66" i="132"/>
  <c r="K66" i="132" s="1"/>
  <c r="M66" i="132" s="1"/>
  <c r="D66" i="132"/>
  <c r="AB65" i="132"/>
  <c r="AC65" i="132" s="1"/>
  <c r="J65" i="132" s="1"/>
  <c r="Z65" i="132"/>
  <c r="V65" i="132"/>
  <c r="U65" i="132"/>
  <c r="H65" i="132"/>
  <c r="AG65" i="132" s="1"/>
  <c r="D65" i="132"/>
  <c r="AB64" i="132"/>
  <c r="AC64" i="132" s="1"/>
  <c r="J64" i="132" s="1"/>
  <c r="Z64" i="132"/>
  <c r="V64" i="132"/>
  <c r="U64" i="132"/>
  <c r="H64" i="132"/>
  <c r="D64" i="132"/>
  <c r="AB63" i="132"/>
  <c r="AC63" i="132" s="1"/>
  <c r="J63" i="132" s="1"/>
  <c r="Z63" i="132"/>
  <c r="T63" i="132"/>
  <c r="V63" i="132"/>
  <c r="U63" i="132"/>
  <c r="H63" i="132"/>
  <c r="AG63" i="132" s="1"/>
  <c r="D63" i="132"/>
  <c r="AB62" i="132"/>
  <c r="AC62" i="132" s="1"/>
  <c r="J62" i="132" s="1"/>
  <c r="Z62" i="132"/>
  <c r="V62" i="132"/>
  <c r="U62" i="132"/>
  <c r="H62" i="132"/>
  <c r="D62" i="132"/>
  <c r="AB61" i="132"/>
  <c r="AC61" i="132" s="1"/>
  <c r="J61" i="132" s="1"/>
  <c r="Z61" i="132"/>
  <c r="V61" i="132"/>
  <c r="U61" i="132"/>
  <c r="H61" i="132"/>
  <c r="AG61" i="132" s="1"/>
  <c r="D61" i="132"/>
  <c r="AB60" i="132"/>
  <c r="AC60" i="132" s="1"/>
  <c r="J60" i="132" s="1"/>
  <c r="Z60" i="132"/>
  <c r="V60" i="132"/>
  <c r="U60" i="132"/>
  <c r="H60" i="132"/>
  <c r="D60" i="132"/>
  <c r="AB59" i="132"/>
  <c r="AC59" i="132" s="1"/>
  <c r="J59" i="132" s="1"/>
  <c r="Z59" i="132"/>
  <c r="V59" i="132"/>
  <c r="U59" i="132"/>
  <c r="H59" i="132"/>
  <c r="K59" i="132" s="1"/>
  <c r="M59" i="132" s="1"/>
  <c r="D59" i="132"/>
  <c r="AB58" i="132"/>
  <c r="AC58" i="132" s="1"/>
  <c r="J58" i="132" s="1"/>
  <c r="Z58" i="132"/>
  <c r="V58" i="132"/>
  <c r="U58" i="132"/>
  <c r="H58" i="132"/>
  <c r="D58" i="132"/>
  <c r="AB57" i="132"/>
  <c r="AC57" i="132" s="1"/>
  <c r="J57" i="132" s="1"/>
  <c r="Z57" i="132"/>
  <c r="V57" i="132"/>
  <c r="U57" i="132"/>
  <c r="H57" i="132"/>
  <c r="K57" i="132" s="1"/>
  <c r="M57" i="132" s="1"/>
  <c r="D57" i="132"/>
  <c r="AB56" i="132"/>
  <c r="AC56" i="132" s="1"/>
  <c r="J56" i="132" s="1"/>
  <c r="Z56" i="132"/>
  <c r="V56" i="132"/>
  <c r="U56" i="132"/>
  <c r="H56" i="132"/>
  <c r="D56" i="132"/>
  <c r="AB55" i="132"/>
  <c r="AC55" i="132" s="1"/>
  <c r="J55" i="132" s="1"/>
  <c r="Z55" i="132"/>
  <c r="V55" i="132"/>
  <c r="U55" i="132"/>
  <c r="H55" i="132"/>
  <c r="K55" i="132" s="1"/>
  <c r="M55" i="132" s="1"/>
  <c r="D55" i="132"/>
  <c r="AB54" i="132"/>
  <c r="AC54" i="132" s="1"/>
  <c r="J54" i="132" s="1"/>
  <c r="Z54" i="132"/>
  <c r="V54" i="132"/>
  <c r="U54" i="132"/>
  <c r="T54" i="132"/>
  <c r="H54" i="132"/>
  <c r="D54" i="132"/>
  <c r="AB53" i="132"/>
  <c r="AC53" i="132" s="1"/>
  <c r="J53" i="132" s="1"/>
  <c r="Z53" i="132"/>
  <c r="V53" i="132"/>
  <c r="U53" i="132"/>
  <c r="H53" i="132"/>
  <c r="K53" i="132" s="1"/>
  <c r="M53" i="132" s="1"/>
  <c r="D53" i="132"/>
  <c r="AB52" i="132"/>
  <c r="AC52" i="132" s="1"/>
  <c r="J52" i="132" s="1"/>
  <c r="Z52" i="132"/>
  <c r="V52" i="132"/>
  <c r="U52" i="132"/>
  <c r="H52" i="132"/>
  <c r="D52" i="132"/>
  <c r="AB51" i="132"/>
  <c r="AC51" i="132" s="1"/>
  <c r="J51" i="132" s="1"/>
  <c r="Z51" i="132"/>
  <c r="V51" i="132"/>
  <c r="U51" i="132"/>
  <c r="H51" i="132"/>
  <c r="AG51" i="132" s="1"/>
  <c r="D51" i="132"/>
  <c r="AB50" i="132"/>
  <c r="AC50" i="132" s="1"/>
  <c r="J50" i="132" s="1"/>
  <c r="Z50" i="132"/>
  <c r="V50" i="132"/>
  <c r="U50" i="132"/>
  <c r="H50" i="132"/>
  <c r="D50" i="132"/>
  <c r="AB49" i="132"/>
  <c r="AC49" i="132" s="1"/>
  <c r="J49" i="132" s="1"/>
  <c r="Z49" i="132"/>
  <c r="V49" i="132"/>
  <c r="U49" i="132"/>
  <c r="H49" i="132"/>
  <c r="AG49" i="132" s="1"/>
  <c r="D49" i="132"/>
  <c r="AB48" i="132"/>
  <c r="AC48" i="132" s="1"/>
  <c r="J48" i="132" s="1"/>
  <c r="Z48" i="132"/>
  <c r="V48" i="132"/>
  <c r="U48" i="132"/>
  <c r="H48" i="132"/>
  <c r="D48" i="132"/>
  <c r="AB47" i="132"/>
  <c r="AC47" i="132" s="1"/>
  <c r="J47" i="132" s="1"/>
  <c r="Z47" i="132"/>
  <c r="V47" i="132"/>
  <c r="U47" i="132"/>
  <c r="H47" i="132"/>
  <c r="AG47" i="132" s="1"/>
  <c r="D47" i="132"/>
  <c r="AB46" i="132"/>
  <c r="AC46" i="132" s="1"/>
  <c r="J46" i="132" s="1"/>
  <c r="Z46" i="132"/>
  <c r="V46" i="132"/>
  <c r="U46" i="132"/>
  <c r="H46" i="132"/>
  <c r="D46" i="132"/>
  <c r="AB45" i="132"/>
  <c r="AC45" i="132" s="1"/>
  <c r="J45" i="132" s="1"/>
  <c r="Z45" i="132"/>
  <c r="V45" i="132"/>
  <c r="U45" i="132"/>
  <c r="T45" i="132"/>
  <c r="H45" i="132"/>
  <c r="AG45" i="132" s="1"/>
  <c r="D45" i="132"/>
  <c r="AB44" i="132"/>
  <c r="AC44" i="132" s="1"/>
  <c r="J44" i="132" s="1"/>
  <c r="Z44" i="132"/>
  <c r="V44" i="132"/>
  <c r="U44" i="132"/>
  <c r="H44" i="132"/>
  <c r="D44" i="132"/>
  <c r="AB43" i="132"/>
  <c r="AC43" i="132" s="1"/>
  <c r="J43" i="132" s="1"/>
  <c r="Z43" i="132"/>
  <c r="V43" i="132"/>
  <c r="U43" i="132"/>
  <c r="H43" i="132"/>
  <c r="D43" i="132"/>
  <c r="AB42" i="132"/>
  <c r="AC42" i="132" s="1"/>
  <c r="J42" i="132" s="1"/>
  <c r="Z42" i="132"/>
  <c r="V42" i="132"/>
  <c r="U42" i="132"/>
  <c r="H42" i="132"/>
  <c r="D42" i="132"/>
  <c r="AB41" i="132"/>
  <c r="AC41" i="132" s="1"/>
  <c r="J41" i="132" s="1"/>
  <c r="Z41" i="132"/>
  <c r="V41" i="132"/>
  <c r="U41" i="132"/>
  <c r="H41" i="132"/>
  <c r="D41" i="132"/>
  <c r="AB40" i="132"/>
  <c r="AC40" i="132" s="1"/>
  <c r="J40" i="132" s="1"/>
  <c r="Z40" i="132"/>
  <c r="V40" i="132"/>
  <c r="U40" i="132"/>
  <c r="H40" i="132"/>
  <c r="D40" i="132"/>
  <c r="AB39" i="132"/>
  <c r="AC39" i="132" s="1"/>
  <c r="J39" i="132" s="1"/>
  <c r="Z39" i="132"/>
  <c r="V39" i="132"/>
  <c r="U39" i="132"/>
  <c r="T39" i="132"/>
  <c r="H39" i="132"/>
  <c r="D39" i="132"/>
  <c r="AB38" i="132"/>
  <c r="AC38" i="132" s="1"/>
  <c r="J38" i="132" s="1"/>
  <c r="Z38" i="132"/>
  <c r="V38" i="132"/>
  <c r="U38" i="132"/>
  <c r="H38" i="132"/>
  <c r="D38" i="132"/>
  <c r="AB37" i="132"/>
  <c r="AC37" i="132" s="1"/>
  <c r="J37" i="132" s="1"/>
  <c r="Z37" i="132"/>
  <c r="V37" i="132"/>
  <c r="U37" i="132"/>
  <c r="H37" i="132"/>
  <c r="D37" i="132"/>
  <c r="AB36" i="132"/>
  <c r="AC36" i="132" s="1"/>
  <c r="J36" i="132" s="1"/>
  <c r="Z36" i="132"/>
  <c r="V36" i="132"/>
  <c r="U36" i="132"/>
  <c r="H36" i="132"/>
  <c r="K36" i="132" s="1"/>
  <c r="M36" i="132" s="1"/>
  <c r="D36" i="132"/>
  <c r="AB35" i="132"/>
  <c r="AC35" i="132" s="1"/>
  <c r="J35" i="132" s="1"/>
  <c r="Z35" i="132"/>
  <c r="V35" i="132"/>
  <c r="U35" i="132"/>
  <c r="H35" i="132"/>
  <c r="AG35" i="132" s="1"/>
  <c r="D35" i="132"/>
  <c r="AB34" i="132"/>
  <c r="AC34" i="132" s="1"/>
  <c r="J34" i="132" s="1"/>
  <c r="Z34" i="132"/>
  <c r="V34" i="132"/>
  <c r="U34" i="132"/>
  <c r="H34" i="132"/>
  <c r="D34" i="132"/>
  <c r="AB33" i="132"/>
  <c r="AC33" i="132" s="1"/>
  <c r="J33" i="132" s="1"/>
  <c r="Z33" i="132"/>
  <c r="V33" i="132"/>
  <c r="U33" i="132"/>
  <c r="H33" i="132"/>
  <c r="D33" i="132"/>
  <c r="AB32" i="132"/>
  <c r="AC32" i="132" s="1"/>
  <c r="J32" i="132" s="1"/>
  <c r="Z32" i="132"/>
  <c r="V32" i="132"/>
  <c r="U32" i="132"/>
  <c r="T32" i="132"/>
  <c r="H32" i="132"/>
  <c r="D32" i="132"/>
  <c r="AB31" i="132"/>
  <c r="AC31" i="132" s="1"/>
  <c r="J31" i="132" s="1"/>
  <c r="Z31" i="132"/>
  <c r="T31" i="132"/>
  <c r="V31" i="132"/>
  <c r="U31" i="132"/>
  <c r="H31" i="132"/>
  <c r="D31" i="132"/>
  <c r="AB30" i="132"/>
  <c r="AC30" i="132" s="1"/>
  <c r="J30" i="132" s="1"/>
  <c r="Z30" i="132"/>
  <c r="V30" i="132"/>
  <c r="U30" i="132"/>
  <c r="H30" i="132"/>
  <c r="K30" i="132" s="1"/>
  <c r="M30" i="132" s="1"/>
  <c r="D30" i="132"/>
  <c r="AB29" i="132"/>
  <c r="AC29" i="132" s="1"/>
  <c r="J29" i="132" s="1"/>
  <c r="Z29" i="132"/>
  <c r="V29" i="132"/>
  <c r="U29" i="132"/>
  <c r="H29" i="132"/>
  <c r="AG29" i="132" s="1"/>
  <c r="D29" i="132"/>
  <c r="AB28" i="132"/>
  <c r="AC28" i="132" s="1"/>
  <c r="J28" i="132" s="1"/>
  <c r="Z28" i="132"/>
  <c r="V28" i="132"/>
  <c r="U28" i="132"/>
  <c r="H28" i="132"/>
  <c r="D28" i="132"/>
  <c r="AB27" i="132"/>
  <c r="AC27" i="132" s="1"/>
  <c r="J27" i="132" s="1"/>
  <c r="Z27" i="132"/>
  <c r="V27" i="132"/>
  <c r="U27" i="132"/>
  <c r="H27" i="132"/>
  <c r="D27" i="132"/>
  <c r="AB26" i="132"/>
  <c r="AC26" i="132" s="1"/>
  <c r="J26" i="132" s="1"/>
  <c r="Z26" i="132"/>
  <c r="V26" i="132"/>
  <c r="U26" i="132"/>
  <c r="H26" i="132"/>
  <c r="D26" i="132"/>
  <c r="AB25" i="132"/>
  <c r="AC25" i="132" s="1"/>
  <c r="J25" i="132" s="1"/>
  <c r="Z25" i="132"/>
  <c r="V25" i="132"/>
  <c r="U25" i="132"/>
  <c r="H25" i="132"/>
  <c r="D25" i="132"/>
  <c r="AB24" i="132"/>
  <c r="AC24" i="132" s="1"/>
  <c r="J24" i="132" s="1"/>
  <c r="Z24" i="132"/>
  <c r="V24" i="132"/>
  <c r="U24" i="132"/>
  <c r="H24" i="132"/>
  <c r="D24" i="132"/>
  <c r="AB23" i="132"/>
  <c r="AC23" i="132" s="1"/>
  <c r="J23" i="132" s="1"/>
  <c r="Z23" i="132"/>
  <c r="V23" i="132"/>
  <c r="U23" i="132"/>
  <c r="H23" i="132"/>
  <c r="K23" i="132" s="1"/>
  <c r="M23" i="132" s="1"/>
  <c r="D23" i="132"/>
  <c r="AB22" i="132"/>
  <c r="AC22" i="132" s="1"/>
  <c r="J22" i="132" s="1"/>
  <c r="Z22" i="132"/>
  <c r="V22" i="132"/>
  <c r="U22" i="132"/>
  <c r="H22" i="132"/>
  <c r="D22" i="132"/>
  <c r="AB21" i="132"/>
  <c r="AC21" i="132" s="1"/>
  <c r="J21" i="132" s="1"/>
  <c r="Z21" i="132"/>
  <c r="V21" i="132"/>
  <c r="U21" i="132"/>
  <c r="H21" i="132"/>
  <c r="D21" i="132"/>
  <c r="AB20" i="132"/>
  <c r="AC20" i="132" s="1"/>
  <c r="J20" i="132" s="1"/>
  <c r="Z20" i="132"/>
  <c r="V20" i="132"/>
  <c r="U20" i="132"/>
  <c r="H20" i="132"/>
  <c r="D20" i="132"/>
  <c r="AB19" i="132"/>
  <c r="AC19" i="132" s="1"/>
  <c r="J19" i="132" s="1"/>
  <c r="Z19" i="132"/>
  <c r="V19" i="132"/>
  <c r="U19" i="132"/>
  <c r="H19" i="132"/>
  <c r="AG19" i="132" s="1"/>
  <c r="D19" i="132"/>
  <c r="AB18" i="132"/>
  <c r="AC18" i="132" s="1"/>
  <c r="J18" i="132" s="1"/>
  <c r="Z18" i="132"/>
  <c r="V18" i="132"/>
  <c r="U18" i="132"/>
  <c r="H18" i="132"/>
  <c r="D18" i="132"/>
  <c r="AB17" i="132"/>
  <c r="AC17" i="132" s="1"/>
  <c r="J17" i="132" s="1"/>
  <c r="Z17" i="132"/>
  <c r="V17" i="132"/>
  <c r="U17" i="132"/>
  <c r="H17" i="132"/>
  <c r="D17" i="132"/>
  <c r="AB16" i="132"/>
  <c r="AC16" i="132" s="1"/>
  <c r="J16" i="132" s="1"/>
  <c r="Z16" i="132"/>
  <c r="V16" i="132"/>
  <c r="U16" i="132"/>
  <c r="H16" i="132"/>
  <c r="D16" i="132"/>
  <c r="AB15" i="132"/>
  <c r="AC15" i="132" s="1"/>
  <c r="J15" i="132" s="1"/>
  <c r="Z15" i="132"/>
  <c r="T15" i="132"/>
  <c r="V15" i="132"/>
  <c r="U15" i="132"/>
  <c r="H15" i="132"/>
  <c r="K15" i="132" s="1"/>
  <c r="M15" i="132" s="1"/>
  <c r="D15" i="132"/>
  <c r="AB14" i="132"/>
  <c r="AC14" i="132" s="1"/>
  <c r="J14" i="132" s="1"/>
  <c r="Z14" i="132"/>
  <c r="V14" i="132"/>
  <c r="U14" i="132"/>
  <c r="H14" i="132"/>
  <c r="D14" i="132"/>
  <c r="AB13" i="132"/>
  <c r="AC13" i="132" s="1"/>
  <c r="J13" i="132" s="1"/>
  <c r="Z13" i="132"/>
  <c r="T13" i="132"/>
  <c r="V13" i="132"/>
  <c r="U13" i="132"/>
  <c r="H13" i="132"/>
  <c r="D13" i="132"/>
  <c r="AB12" i="132"/>
  <c r="AC12" i="132" s="1"/>
  <c r="J12" i="132" s="1"/>
  <c r="Z12" i="132"/>
  <c r="V12" i="132"/>
  <c r="U12" i="132"/>
  <c r="H12" i="132"/>
  <c r="D12" i="132"/>
  <c r="AB11" i="132"/>
  <c r="AC11" i="132" s="1"/>
  <c r="J11" i="132" s="1"/>
  <c r="Z11" i="132"/>
  <c r="V11" i="132"/>
  <c r="U11" i="132"/>
  <c r="H11" i="132"/>
  <c r="AG11" i="132" s="1"/>
  <c r="D11" i="132"/>
  <c r="AB10" i="132"/>
  <c r="AC10" i="132" s="1"/>
  <c r="J10" i="132" s="1"/>
  <c r="Z10" i="132"/>
  <c r="V10" i="132"/>
  <c r="U10" i="132"/>
  <c r="H10" i="132"/>
  <c r="D10" i="132"/>
  <c r="AB9" i="132"/>
  <c r="AC9" i="132" s="1"/>
  <c r="J9" i="132" s="1"/>
  <c r="Z9" i="132"/>
  <c r="V9" i="132"/>
  <c r="U9" i="132"/>
  <c r="H9" i="132"/>
  <c r="K9" i="132" s="1"/>
  <c r="M9" i="132" s="1"/>
  <c r="D9" i="132"/>
  <c r="AB8" i="132"/>
  <c r="AC8" i="132" s="1"/>
  <c r="J8" i="132" s="1"/>
  <c r="Z8" i="132"/>
  <c r="V8" i="132"/>
  <c r="U8" i="132"/>
  <c r="H8" i="132"/>
  <c r="D8" i="132"/>
  <c r="AB7" i="132"/>
  <c r="AC7" i="132" s="1"/>
  <c r="J7" i="132" s="1"/>
  <c r="Z7" i="132"/>
  <c r="T7" i="132"/>
  <c r="V7" i="132"/>
  <c r="U7" i="132"/>
  <c r="H7" i="132"/>
  <c r="D7" i="132"/>
  <c r="AB6" i="132"/>
  <c r="AC6" i="132" s="1"/>
  <c r="J6" i="132" s="1"/>
  <c r="Z6" i="132"/>
  <c r="V6" i="132"/>
  <c r="U6" i="132"/>
  <c r="T6" i="132"/>
  <c r="H6" i="132"/>
  <c r="D6" i="132"/>
  <c r="AB5" i="132"/>
  <c r="AC5" i="132" s="1"/>
  <c r="J5" i="132" s="1"/>
  <c r="Z5" i="132"/>
  <c r="V5" i="132"/>
  <c r="U5" i="132"/>
  <c r="T5" i="132"/>
  <c r="H5" i="132"/>
  <c r="D5" i="132"/>
  <c r="AB4" i="132"/>
  <c r="AC4" i="132" s="1"/>
  <c r="J4" i="132" s="1"/>
  <c r="Z4" i="132"/>
  <c r="V4" i="132"/>
  <c r="U4" i="132"/>
  <c r="H4" i="132"/>
  <c r="D4" i="132"/>
  <c r="AC3" i="132"/>
  <c r="Z3" i="132"/>
  <c r="V3" i="132"/>
  <c r="U3" i="132"/>
  <c r="D3" i="132"/>
  <c r="E1" i="132"/>
  <c r="C1" i="132"/>
  <c r="B1" i="132"/>
  <c r="AJ3" i="123" l="1"/>
  <c r="AO1" i="132"/>
  <c r="X35" i="132"/>
  <c r="X45" i="132"/>
  <c r="X137" i="132"/>
  <c r="K131" i="132"/>
  <c r="M131" i="132" s="1"/>
  <c r="X127" i="132"/>
  <c r="X31" i="132"/>
  <c r="AA31" i="132" s="1"/>
  <c r="X32" i="132"/>
  <c r="AA32" i="132" s="1"/>
  <c r="AE32" i="132" s="1"/>
  <c r="X77" i="132"/>
  <c r="X40" i="132"/>
  <c r="AA40" i="132" s="1"/>
  <c r="AE40" i="132" s="1"/>
  <c r="X73" i="132"/>
  <c r="X60" i="132"/>
  <c r="Y60" i="132" s="1"/>
  <c r="X108" i="132"/>
  <c r="AA108" i="132" s="1"/>
  <c r="X125" i="132"/>
  <c r="X21" i="132"/>
  <c r="Y21" i="132" s="1"/>
  <c r="X39" i="132"/>
  <c r="X43" i="132"/>
  <c r="AA43" i="132" s="1"/>
  <c r="X14" i="132"/>
  <c r="AA14" i="132" s="1"/>
  <c r="AE14" i="132" s="1"/>
  <c r="X48" i="132"/>
  <c r="Y48" i="132" s="1"/>
  <c r="X133" i="132"/>
  <c r="AA133" i="132" s="1"/>
  <c r="X106" i="132"/>
  <c r="Y106" i="132" s="1"/>
  <c r="X18" i="132"/>
  <c r="X33" i="132"/>
  <c r="Y33" i="132" s="1"/>
  <c r="K79" i="132"/>
  <c r="M79" i="132" s="1"/>
  <c r="X118" i="132"/>
  <c r="AA118" i="132" s="1"/>
  <c r="X141" i="132"/>
  <c r="AA141" i="132" s="1"/>
  <c r="X12" i="132"/>
  <c r="Y12" i="132" s="1"/>
  <c r="X62" i="132"/>
  <c r="Y62" i="132" s="1"/>
  <c r="AG143" i="132"/>
  <c r="X17" i="132"/>
  <c r="X37" i="132"/>
  <c r="Y37" i="132" s="1"/>
  <c r="X69" i="132"/>
  <c r="Y69" i="132" s="1"/>
  <c r="X86" i="132"/>
  <c r="Y86" i="132" s="1"/>
  <c r="X55" i="132"/>
  <c r="Y55" i="132" s="1"/>
  <c r="X102" i="132"/>
  <c r="AA102" i="132" s="1"/>
  <c r="AG129" i="132"/>
  <c r="X7" i="132"/>
  <c r="AA7" i="132" s="1"/>
  <c r="AE7" i="132" s="1"/>
  <c r="X8" i="132"/>
  <c r="Y8" i="132" s="1"/>
  <c r="AG125" i="132"/>
  <c r="X49" i="132"/>
  <c r="AA49" i="132" s="1"/>
  <c r="AE49" i="132" s="1"/>
  <c r="K95" i="132"/>
  <c r="M95" i="132" s="1"/>
  <c r="X126" i="132"/>
  <c r="AA126" i="132" s="1"/>
  <c r="X134" i="132"/>
  <c r="Y134" i="132" s="1"/>
  <c r="X135" i="132"/>
  <c r="Y135" i="132" s="1"/>
  <c r="K3" i="132"/>
  <c r="M3" i="132" s="1"/>
  <c r="X25" i="132"/>
  <c r="AA25" i="132" s="1"/>
  <c r="Y31" i="132"/>
  <c r="X38" i="132"/>
  <c r="AA38" i="132" s="1"/>
  <c r="X107" i="132"/>
  <c r="AA107" i="132" s="1"/>
  <c r="AE107" i="132" s="1"/>
  <c r="AG115" i="132"/>
  <c r="AG139" i="132"/>
  <c r="AG105" i="132"/>
  <c r="X11" i="132"/>
  <c r="X81" i="132"/>
  <c r="K45" i="132"/>
  <c r="M45" i="132" s="1"/>
  <c r="K73" i="132"/>
  <c r="M73" i="132" s="1"/>
  <c r="Y137" i="132"/>
  <c r="X147" i="132"/>
  <c r="AG137" i="132"/>
  <c r="X78" i="132"/>
  <c r="AA78" i="132" s="1"/>
  <c r="X89" i="132"/>
  <c r="Y89" i="132" s="1"/>
  <c r="X58" i="132"/>
  <c r="AA58" i="132" s="1"/>
  <c r="AE58" i="132" s="1"/>
  <c r="X67" i="132"/>
  <c r="AA67" i="132" s="1"/>
  <c r="X111" i="132"/>
  <c r="K138" i="132"/>
  <c r="M138" i="132" s="1"/>
  <c r="AH3" i="132"/>
  <c r="AG127" i="132"/>
  <c r="X5" i="132"/>
  <c r="Y5" i="132" s="1"/>
  <c r="AH31" i="132"/>
  <c r="AI31" i="132"/>
  <c r="AF31" i="132"/>
  <c r="K96" i="132"/>
  <c r="M96" i="132" s="1"/>
  <c r="AF96" i="132"/>
  <c r="AG96" i="132"/>
  <c r="AH96" i="132"/>
  <c r="AI96" i="132"/>
  <c r="AH123" i="132"/>
  <c r="AI123" i="132"/>
  <c r="AF123" i="132"/>
  <c r="AH133" i="132"/>
  <c r="AI133" i="132"/>
  <c r="AF133" i="132"/>
  <c r="X9" i="132"/>
  <c r="AA9" i="132" s="1"/>
  <c r="K14" i="132"/>
  <c r="M14" i="132" s="1"/>
  <c r="AF14" i="132"/>
  <c r="AG14" i="132"/>
  <c r="AH14" i="132"/>
  <c r="AI14" i="132"/>
  <c r="AH15" i="132"/>
  <c r="AI15" i="132"/>
  <c r="AF15" i="132"/>
  <c r="K16" i="132"/>
  <c r="M16" i="132" s="1"/>
  <c r="AF16" i="132"/>
  <c r="AG16" i="132"/>
  <c r="AH16" i="132"/>
  <c r="AI16" i="132"/>
  <c r="K17" i="132"/>
  <c r="M17" i="132" s="1"/>
  <c r="AH17" i="132"/>
  <c r="AI17" i="132"/>
  <c r="AF17" i="132"/>
  <c r="AH21" i="132"/>
  <c r="AI21" i="132"/>
  <c r="AF21" i="132"/>
  <c r="AH27" i="132"/>
  <c r="AI27" i="132"/>
  <c r="AF27" i="132"/>
  <c r="X30" i="132"/>
  <c r="K32" i="132"/>
  <c r="M32" i="132" s="1"/>
  <c r="AF32" i="132"/>
  <c r="AG32" i="132"/>
  <c r="AH32" i="132"/>
  <c r="AI32" i="132"/>
  <c r="K33" i="132"/>
  <c r="M33" i="132" s="1"/>
  <c r="AH33" i="132"/>
  <c r="AI33" i="132"/>
  <c r="AF33" i="132"/>
  <c r="X46" i="132"/>
  <c r="AA46" i="132" s="1"/>
  <c r="AE46" i="132" s="1"/>
  <c r="AH53" i="132"/>
  <c r="AI53" i="132"/>
  <c r="AF53" i="132"/>
  <c r="AF54" i="132"/>
  <c r="AG54" i="132"/>
  <c r="AH54" i="132"/>
  <c r="AI54" i="132"/>
  <c r="AF56" i="132"/>
  <c r="AG56" i="132"/>
  <c r="AH56" i="132"/>
  <c r="AI56" i="132"/>
  <c r="AF58" i="132"/>
  <c r="AG58" i="132"/>
  <c r="AH58" i="132"/>
  <c r="AI58" i="132"/>
  <c r="AH59" i="132"/>
  <c r="AI59" i="132"/>
  <c r="AF59" i="132"/>
  <c r="K60" i="132"/>
  <c r="M60" i="132" s="1"/>
  <c r="AF60" i="132"/>
  <c r="AG60" i="132"/>
  <c r="AH60" i="132"/>
  <c r="AI60" i="132"/>
  <c r="X65" i="132"/>
  <c r="AA65" i="132" s="1"/>
  <c r="X66" i="132"/>
  <c r="AA66" i="132" s="1"/>
  <c r="AE66" i="132" s="1"/>
  <c r="X71" i="132"/>
  <c r="AH117" i="132"/>
  <c r="AI117" i="132"/>
  <c r="AF117" i="132"/>
  <c r="K122" i="132"/>
  <c r="M122" i="132" s="1"/>
  <c r="AF122" i="132"/>
  <c r="AG122" i="132"/>
  <c r="AH122" i="132"/>
  <c r="AI122" i="132"/>
  <c r="AH131" i="132"/>
  <c r="AI131" i="132"/>
  <c r="AF131" i="132"/>
  <c r="AF132" i="132"/>
  <c r="AG132" i="132"/>
  <c r="AH132" i="132"/>
  <c r="AI132" i="132"/>
  <c r="K132" i="132"/>
  <c r="M132" i="132" s="1"/>
  <c r="AH141" i="132"/>
  <c r="AI141" i="132"/>
  <c r="AF141" i="132"/>
  <c r="AF142" i="132"/>
  <c r="AG142" i="132"/>
  <c r="AH142" i="132"/>
  <c r="AI142" i="132"/>
  <c r="K142" i="132"/>
  <c r="M142" i="132" s="1"/>
  <c r="AG33" i="132"/>
  <c r="AG17" i="132"/>
  <c r="K75" i="132"/>
  <c r="M75" i="132" s="1"/>
  <c r="AH75" i="132"/>
  <c r="AI75" i="132"/>
  <c r="AF75" i="132"/>
  <c r="K103" i="132"/>
  <c r="M103" i="132" s="1"/>
  <c r="AH103" i="132"/>
  <c r="AI103" i="132"/>
  <c r="AF103" i="132"/>
  <c r="AF118" i="132"/>
  <c r="AG118" i="132"/>
  <c r="AH118" i="132"/>
  <c r="AI118" i="132"/>
  <c r="AH13" i="132"/>
  <c r="AI13" i="132"/>
  <c r="AF13" i="132"/>
  <c r="AF18" i="132"/>
  <c r="AG18" i="132"/>
  <c r="AH18" i="132"/>
  <c r="AI18" i="132"/>
  <c r="K20" i="132"/>
  <c r="M20" i="132" s="1"/>
  <c r="AF20" i="132"/>
  <c r="AG20" i="132"/>
  <c r="AH20" i="132"/>
  <c r="AI20" i="132"/>
  <c r="AF22" i="132"/>
  <c r="AG22" i="132"/>
  <c r="AH22" i="132"/>
  <c r="AI22" i="132"/>
  <c r="AF26" i="132"/>
  <c r="AG26" i="132"/>
  <c r="AH26" i="132"/>
  <c r="AI26" i="132"/>
  <c r="AF34" i="132"/>
  <c r="AG34" i="132"/>
  <c r="AH34" i="132"/>
  <c r="AI34" i="132"/>
  <c r="AH35" i="132"/>
  <c r="AI35" i="132"/>
  <c r="AF35" i="132"/>
  <c r="AF36" i="132"/>
  <c r="AG36" i="132"/>
  <c r="AH36" i="132"/>
  <c r="AI36" i="132"/>
  <c r="AH55" i="132"/>
  <c r="AI55" i="132"/>
  <c r="AF55" i="132"/>
  <c r="X68" i="132"/>
  <c r="Y68" i="132" s="1"/>
  <c r="X70" i="132"/>
  <c r="Y70" i="132" s="1"/>
  <c r="X74" i="132"/>
  <c r="Y74" i="132" s="1"/>
  <c r="AH89" i="132"/>
  <c r="AI89" i="132"/>
  <c r="AF89" i="132"/>
  <c r="X95" i="132"/>
  <c r="X103" i="132"/>
  <c r="AA103" i="132" s="1"/>
  <c r="AE103" i="132" s="1"/>
  <c r="X117" i="132"/>
  <c r="K118" i="132"/>
  <c r="M118" i="132" s="1"/>
  <c r="AH119" i="132"/>
  <c r="AI119" i="132"/>
  <c r="AF119" i="132"/>
  <c r="K120" i="132"/>
  <c r="M120" i="132" s="1"/>
  <c r="AF120" i="132"/>
  <c r="AG120" i="132"/>
  <c r="AH120" i="132"/>
  <c r="AI120" i="132"/>
  <c r="AH121" i="132"/>
  <c r="AI121" i="132"/>
  <c r="AF121" i="132"/>
  <c r="K130" i="132"/>
  <c r="M130" i="132" s="1"/>
  <c r="AF130" i="132"/>
  <c r="AG130" i="132"/>
  <c r="AH130" i="132"/>
  <c r="AI130" i="132"/>
  <c r="X27" i="132"/>
  <c r="Y27" i="132" s="1"/>
  <c r="X75" i="132"/>
  <c r="AA75" i="132" s="1"/>
  <c r="X131" i="132"/>
  <c r="Y131" i="132" s="1"/>
  <c r="T131" i="132"/>
  <c r="AG31" i="132"/>
  <c r="AG15" i="132"/>
  <c r="AH97" i="132"/>
  <c r="AI97" i="132"/>
  <c r="AF97" i="132"/>
  <c r="AF116" i="132"/>
  <c r="AG116" i="132"/>
  <c r="AH116" i="132"/>
  <c r="AI116" i="132"/>
  <c r="K140" i="132"/>
  <c r="M140" i="132" s="1"/>
  <c r="AF140" i="132"/>
  <c r="AG140" i="132"/>
  <c r="AH140" i="132"/>
  <c r="AI140" i="132"/>
  <c r="K147" i="132"/>
  <c r="M147" i="132" s="1"/>
  <c r="AH147" i="132"/>
  <c r="AI147" i="132"/>
  <c r="AF147" i="132"/>
  <c r="AG13" i="132"/>
  <c r="AH57" i="132"/>
  <c r="AI57" i="132"/>
  <c r="AF57" i="132"/>
  <c r="K99" i="132"/>
  <c r="M99" i="132" s="1"/>
  <c r="AH99" i="132"/>
  <c r="AI99" i="132"/>
  <c r="AF99" i="132"/>
  <c r="K19" i="132"/>
  <c r="M19" i="132" s="1"/>
  <c r="AH19" i="132"/>
  <c r="AI19" i="132"/>
  <c r="AF19" i="132"/>
  <c r="AH37" i="132"/>
  <c r="AI37" i="132"/>
  <c r="AF37" i="132"/>
  <c r="AF86" i="132"/>
  <c r="AG86" i="132"/>
  <c r="AH86" i="132"/>
  <c r="AI86" i="132"/>
  <c r="K88" i="132"/>
  <c r="M88" i="132" s="1"/>
  <c r="AF88" i="132"/>
  <c r="AG88" i="132"/>
  <c r="AH88" i="132"/>
  <c r="AI88" i="132"/>
  <c r="AF90" i="132"/>
  <c r="AG90" i="132"/>
  <c r="AH90" i="132"/>
  <c r="AI90" i="132"/>
  <c r="AH5" i="132"/>
  <c r="AI5" i="132"/>
  <c r="AF5" i="132"/>
  <c r="AH7" i="132"/>
  <c r="AI7" i="132"/>
  <c r="AF7" i="132"/>
  <c r="AF40" i="132"/>
  <c r="AG40" i="132"/>
  <c r="AH40" i="132"/>
  <c r="AI40" i="132"/>
  <c r="AF42" i="132"/>
  <c r="AG42" i="132"/>
  <c r="AH42" i="132"/>
  <c r="AI42" i="132"/>
  <c r="AH43" i="132"/>
  <c r="AI43" i="132"/>
  <c r="AF43" i="132"/>
  <c r="AF44" i="132"/>
  <c r="AG44" i="132"/>
  <c r="AH44" i="132"/>
  <c r="AI44" i="132"/>
  <c r="AF48" i="132"/>
  <c r="AG48" i="132"/>
  <c r="AH48" i="132"/>
  <c r="AI48" i="132"/>
  <c r="K84" i="132"/>
  <c r="M84" i="132" s="1"/>
  <c r="AF84" i="132"/>
  <c r="AG84" i="132"/>
  <c r="AH84" i="132"/>
  <c r="AI84" i="132"/>
  <c r="K85" i="132"/>
  <c r="M85" i="132" s="1"/>
  <c r="AH85" i="132"/>
  <c r="AI85" i="132"/>
  <c r="AF85" i="132"/>
  <c r="AH87" i="132"/>
  <c r="AI87" i="132"/>
  <c r="AF87" i="132"/>
  <c r="K146" i="132"/>
  <c r="M146" i="132" s="1"/>
  <c r="AF146" i="132"/>
  <c r="AG146" i="132"/>
  <c r="AH146" i="132"/>
  <c r="AI146" i="132"/>
  <c r="AG123" i="132"/>
  <c r="AG75" i="132"/>
  <c r="AG59" i="132"/>
  <c r="AG43" i="132"/>
  <c r="AG27" i="132"/>
  <c r="AF46" i="132"/>
  <c r="AG46" i="132"/>
  <c r="AH46" i="132"/>
  <c r="AI46" i="132"/>
  <c r="K28" i="132"/>
  <c r="M28" i="132" s="1"/>
  <c r="AF28" i="132"/>
  <c r="AG28" i="132"/>
  <c r="AH28" i="132"/>
  <c r="AI28" i="132"/>
  <c r="K98" i="132"/>
  <c r="M98" i="132" s="1"/>
  <c r="AF98" i="132"/>
  <c r="AG98" i="132"/>
  <c r="AH98" i="132"/>
  <c r="AI98" i="132"/>
  <c r="K12" i="132"/>
  <c r="M12" i="132" s="1"/>
  <c r="AF12" i="132"/>
  <c r="AG12" i="132"/>
  <c r="AH12" i="132"/>
  <c r="AI12" i="132"/>
  <c r="K25" i="132"/>
  <c r="M25" i="132" s="1"/>
  <c r="AH25" i="132"/>
  <c r="AI25" i="132"/>
  <c r="AF25" i="132"/>
  <c r="AH49" i="132"/>
  <c r="AI49" i="132"/>
  <c r="AF49" i="132"/>
  <c r="AF52" i="132"/>
  <c r="AG52" i="132"/>
  <c r="AH52" i="132"/>
  <c r="AI52" i="132"/>
  <c r="K4" i="132"/>
  <c r="M4" i="132" s="1"/>
  <c r="AF4" i="132"/>
  <c r="AG4" i="132"/>
  <c r="AH4" i="132"/>
  <c r="AI4" i="132"/>
  <c r="AF6" i="132"/>
  <c r="AG6" i="132"/>
  <c r="AH6" i="132"/>
  <c r="AI6" i="132"/>
  <c r="AH11" i="132"/>
  <c r="AI11" i="132"/>
  <c r="AF11" i="132"/>
  <c r="X13" i="132"/>
  <c r="AA13" i="132" s="1"/>
  <c r="X15" i="132"/>
  <c r="Y15" i="132" s="1"/>
  <c r="AA39" i="132"/>
  <c r="AE39" i="132" s="1"/>
  <c r="AH39" i="132"/>
  <c r="AI39" i="132"/>
  <c r="AF39" i="132"/>
  <c r="D1" i="132"/>
  <c r="F21" i="132" s="1"/>
  <c r="K5" i="132"/>
  <c r="M5" i="132" s="1"/>
  <c r="AH9" i="132"/>
  <c r="AI9" i="132"/>
  <c r="AF9" i="132"/>
  <c r="AF10" i="132"/>
  <c r="AG10" i="132"/>
  <c r="AH10" i="132"/>
  <c r="AI10" i="132"/>
  <c r="K40" i="132"/>
  <c r="M40" i="132" s="1"/>
  <c r="AH41" i="132"/>
  <c r="AI41" i="132"/>
  <c r="AF41" i="132"/>
  <c r="K44" i="132"/>
  <c r="M44" i="132" s="1"/>
  <c r="AH45" i="132"/>
  <c r="AI45" i="132"/>
  <c r="AF45" i="132"/>
  <c r="K49" i="132"/>
  <c r="M49" i="132" s="1"/>
  <c r="AF50" i="132"/>
  <c r="AG50" i="132"/>
  <c r="AH50" i="132"/>
  <c r="AI50" i="132"/>
  <c r="K51" i="132"/>
  <c r="M51" i="132" s="1"/>
  <c r="AH51" i="132"/>
  <c r="AI51" i="132"/>
  <c r="AF51" i="132"/>
  <c r="X54" i="132"/>
  <c r="X57" i="132"/>
  <c r="AA57" i="132" s="1"/>
  <c r="AF78" i="132"/>
  <c r="AG78" i="132"/>
  <c r="AH78" i="132"/>
  <c r="AI78" i="132"/>
  <c r="AH83" i="132"/>
  <c r="AI83" i="132"/>
  <c r="AF83" i="132"/>
  <c r="K90" i="132"/>
  <c r="M90" i="132" s="1"/>
  <c r="K91" i="132"/>
  <c r="M91" i="132" s="1"/>
  <c r="AH91" i="132"/>
  <c r="AI91" i="132"/>
  <c r="AF91" i="132"/>
  <c r="AF92" i="132"/>
  <c r="AG92" i="132"/>
  <c r="AH92" i="132"/>
  <c r="AI92" i="132"/>
  <c r="K112" i="132"/>
  <c r="M112" i="132" s="1"/>
  <c r="AF112" i="132"/>
  <c r="AG112" i="132"/>
  <c r="AH112" i="132"/>
  <c r="AI112" i="132"/>
  <c r="K113" i="132"/>
  <c r="M113" i="132" s="1"/>
  <c r="AH113" i="132"/>
  <c r="AI113" i="132"/>
  <c r="AF113" i="132"/>
  <c r="AF114" i="132"/>
  <c r="AG114" i="132"/>
  <c r="AH114" i="132"/>
  <c r="AI114" i="132"/>
  <c r="X115" i="132"/>
  <c r="AA115" i="132" s="1"/>
  <c r="AE115" i="132" s="1"/>
  <c r="K126" i="132"/>
  <c r="M126" i="132" s="1"/>
  <c r="AF126" i="132"/>
  <c r="AG126" i="132"/>
  <c r="AH126" i="132"/>
  <c r="AI126" i="132"/>
  <c r="K135" i="132"/>
  <c r="M135" i="132" s="1"/>
  <c r="AH135" i="132"/>
  <c r="AI135" i="132"/>
  <c r="AF135" i="132"/>
  <c r="AG121" i="132"/>
  <c r="AG89" i="132"/>
  <c r="AG57" i="132"/>
  <c r="AG41" i="132"/>
  <c r="AG25" i="132"/>
  <c r="AG9" i="132"/>
  <c r="AH61" i="132"/>
  <c r="AI61" i="132"/>
  <c r="AF61" i="132"/>
  <c r="AF8" i="132"/>
  <c r="AG8" i="132"/>
  <c r="AH8" i="132"/>
  <c r="AI8" i="132"/>
  <c r="AH23" i="132"/>
  <c r="AI23" i="132"/>
  <c r="AF23" i="132"/>
  <c r="K24" i="132"/>
  <c r="M24" i="132" s="1"/>
  <c r="AF24" i="132"/>
  <c r="AG24" i="132"/>
  <c r="AH24" i="132"/>
  <c r="AI24" i="132"/>
  <c r="AF38" i="132"/>
  <c r="AG38" i="132"/>
  <c r="AH38" i="132"/>
  <c r="AI38" i="132"/>
  <c r="X6" i="132"/>
  <c r="Y6" i="132" s="1"/>
  <c r="X10" i="132"/>
  <c r="Y10" i="132" s="1"/>
  <c r="K29" i="132"/>
  <c r="M29" i="132" s="1"/>
  <c r="AH29" i="132"/>
  <c r="AI29" i="132"/>
  <c r="AF29" i="132"/>
  <c r="AF30" i="132"/>
  <c r="AG30" i="132"/>
  <c r="AH30" i="132"/>
  <c r="AI30" i="132"/>
  <c r="K47" i="132"/>
  <c r="M47" i="132" s="1"/>
  <c r="AH47" i="132"/>
  <c r="AI47" i="132"/>
  <c r="AF47" i="132"/>
  <c r="K62" i="132"/>
  <c r="M62" i="132" s="1"/>
  <c r="AF62" i="132"/>
  <c r="AG62" i="132"/>
  <c r="AH62" i="132"/>
  <c r="AI62" i="132"/>
  <c r="AH65" i="132"/>
  <c r="AI65" i="132"/>
  <c r="AF65" i="132"/>
  <c r="AF66" i="132"/>
  <c r="AG66" i="132"/>
  <c r="AH66" i="132"/>
  <c r="AI66" i="132"/>
  <c r="AH67" i="132"/>
  <c r="AI67" i="132"/>
  <c r="AF67" i="132"/>
  <c r="AF72" i="132"/>
  <c r="AG72" i="132"/>
  <c r="AH72" i="132"/>
  <c r="AI72" i="132"/>
  <c r="AH73" i="132"/>
  <c r="AI73" i="132"/>
  <c r="AF73" i="132"/>
  <c r="AH77" i="132"/>
  <c r="AI77" i="132"/>
  <c r="AF77" i="132"/>
  <c r="AH79" i="132"/>
  <c r="AI79" i="132"/>
  <c r="AF79" i="132"/>
  <c r="AF80" i="132"/>
  <c r="AG80" i="132"/>
  <c r="AH80" i="132"/>
  <c r="AI80" i="132"/>
  <c r="AH81" i="132"/>
  <c r="AI81" i="132"/>
  <c r="AF81" i="132"/>
  <c r="AF82" i="132"/>
  <c r="AG82" i="132"/>
  <c r="AH82" i="132"/>
  <c r="AI82" i="132"/>
  <c r="AH93" i="132"/>
  <c r="AI93" i="132"/>
  <c r="AF93" i="132"/>
  <c r="K94" i="132"/>
  <c r="M94" i="132" s="1"/>
  <c r="AF94" i="132"/>
  <c r="AG94" i="132"/>
  <c r="AH94" i="132"/>
  <c r="AI94" i="132"/>
  <c r="AH101" i="132"/>
  <c r="AI101" i="132"/>
  <c r="AF101" i="132"/>
  <c r="AF102" i="132"/>
  <c r="AG102" i="132"/>
  <c r="AH102" i="132"/>
  <c r="AI102" i="132"/>
  <c r="X105" i="132"/>
  <c r="Y105" i="132" s="1"/>
  <c r="K107" i="132"/>
  <c r="M107" i="132" s="1"/>
  <c r="AH107" i="132"/>
  <c r="AI107" i="132"/>
  <c r="AF107" i="132"/>
  <c r="K108" i="132"/>
  <c r="M108" i="132" s="1"/>
  <c r="AF108" i="132"/>
  <c r="AG108" i="132"/>
  <c r="AH108" i="132"/>
  <c r="AI108" i="132"/>
  <c r="AH109" i="132"/>
  <c r="AI109" i="132"/>
  <c r="AF109" i="132"/>
  <c r="AH111" i="132"/>
  <c r="AI111" i="132"/>
  <c r="AF111" i="132"/>
  <c r="AF134" i="132"/>
  <c r="AG134" i="132"/>
  <c r="AH134" i="132"/>
  <c r="AI134" i="132"/>
  <c r="K134" i="132"/>
  <c r="M134" i="132" s="1"/>
  <c r="AH145" i="132"/>
  <c r="AI145" i="132"/>
  <c r="AF145" i="132"/>
  <c r="AG135" i="132"/>
  <c r="AG119" i="132"/>
  <c r="AG103" i="132"/>
  <c r="AG87" i="132"/>
  <c r="AG55" i="132"/>
  <c r="AG39" i="132"/>
  <c r="AG23" i="132"/>
  <c r="AG7" i="132"/>
  <c r="AH63" i="132"/>
  <c r="AI63" i="132"/>
  <c r="AF63" i="132"/>
  <c r="AF64" i="132"/>
  <c r="AG64" i="132"/>
  <c r="AH64" i="132"/>
  <c r="AI64" i="132"/>
  <c r="AF68" i="132"/>
  <c r="AG68" i="132"/>
  <c r="AH68" i="132"/>
  <c r="AI68" i="132"/>
  <c r="AH69" i="132"/>
  <c r="AI69" i="132"/>
  <c r="AF69" i="132"/>
  <c r="AF70" i="132"/>
  <c r="AG70" i="132"/>
  <c r="AH70" i="132"/>
  <c r="AI70" i="132"/>
  <c r="AH71" i="132"/>
  <c r="AI71" i="132"/>
  <c r="AF71" i="132"/>
  <c r="AF74" i="132"/>
  <c r="AG74" i="132"/>
  <c r="AH74" i="132"/>
  <c r="AI74" i="132"/>
  <c r="AF76" i="132"/>
  <c r="AG76" i="132"/>
  <c r="AH76" i="132"/>
  <c r="AI76" i="132"/>
  <c r="AH95" i="132"/>
  <c r="AI95" i="132"/>
  <c r="AF95" i="132"/>
  <c r="K100" i="132"/>
  <c r="M100" i="132" s="1"/>
  <c r="AF100" i="132"/>
  <c r="AG100" i="132"/>
  <c r="AH100" i="132"/>
  <c r="AI100" i="132"/>
  <c r="X101" i="132"/>
  <c r="Y101" i="132" s="1"/>
  <c r="K104" i="132"/>
  <c r="M104" i="132" s="1"/>
  <c r="AF104" i="132"/>
  <c r="AG104" i="132"/>
  <c r="AH104" i="132"/>
  <c r="AI104" i="132"/>
  <c r="K124" i="132"/>
  <c r="M124" i="132" s="1"/>
  <c r="AF124" i="132"/>
  <c r="AG124" i="132"/>
  <c r="AH124" i="132"/>
  <c r="AI124" i="132"/>
  <c r="AG133" i="132"/>
  <c r="AG101" i="132"/>
  <c r="AG85" i="132"/>
  <c r="AG69" i="132"/>
  <c r="AG53" i="132"/>
  <c r="AG37" i="132"/>
  <c r="AG21" i="132"/>
  <c r="AG5" i="132"/>
  <c r="X119" i="132"/>
  <c r="AA119" i="132" s="1"/>
  <c r="X4" i="132"/>
  <c r="AA4" i="132" s="1"/>
  <c r="X76" i="132"/>
  <c r="AA76" i="132" s="1"/>
  <c r="AI3" i="132"/>
  <c r="AF143" i="132"/>
  <c r="AF139" i="132"/>
  <c r="AF137" i="132"/>
  <c r="AF129" i="132"/>
  <c r="AF127" i="132"/>
  <c r="AF125" i="132"/>
  <c r="AF115" i="132"/>
  <c r="AF105" i="132"/>
  <c r="X144" i="132"/>
  <c r="Y144" i="132" s="1"/>
  <c r="AI148" i="132"/>
  <c r="AI144" i="132"/>
  <c r="AI138" i="132"/>
  <c r="AI136" i="132"/>
  <c r="AI128" i="132"/>
  <c r="AI110" i="132"/>
  <c r="AI106" i="132"/>
  <c r="AH148" i="132"/>
  <c r="AH144" i="132"/>
  <c r="AH138" i="132"/>
  <c r="AH136" i="132"/>
  <c r="AH128" i="132"/>
  <c r="AH110" i="132"/>
  <c r="AH106" i="132"/>
  <c r="X129" i="132"/>
  <c r="AA129" i="132" s="1"/>
  <c r="X142" i="132"/>
  <c r="AA142" i="132" s="1"/>
  <c r="AE142" i="132" s="1"/>
  <c r="X47" i="132"/>
  <c r="X87" i="132"/>
  <c r="Y87" i="132" s="1"/>
  <c r="AG148" i="132"/>
  <c r="AG144" i="132"/>
  <c r="AG138" i="132"/>
  <c r="AG136" i="132"/>
  <c r="AG128" i="132"/>
  <c r="AG110" i="132"/>
  <c r="AG106" i="132"/>
  <c r="X56" i="132"/>
  <c r="AA56" i="132" s="1"/>
  <c r="X120" i="132"/>
  <c r="Y120" i="132" s="1"/>
  <c r="AF148" i="132"/>
  <c r="AF144" i="132"/>
  <c r="AF136" i="132"/>
  <c r="AF110" i="132"/>
  <c r="AF106" i="132"/>
  <c r="AI143" i="132"/>
  <c r="AI139" i="132"/>
  <c r="AI137" i="132"/>
  <c r="AI129" i="132"/>
  <c r="AI127" i="132"/>
  <c r="AI125" i="132"/>
  <c r="AI115" i="132"/>
  <c r="AI105" i="132"/>
  <c r="X34" i="132"/>
  <c r="Y34" i="132" s="1"/>
  <c r="X82" i="132"/>
  <c r="AA82" i="132" s="1"/>
  <c r="X90" i="132"/>
  <c r="AA90" i="132" s="1"/>
  <c r="AE90" i="132" s="1"/>
  <c r="AH143" i="132"/>
  <c r="AH139" i="132"/>
  <c r="AH129" i="132"/>
  <c r="AH115" i="132"/>
  <c r="K111" i="132"/>
  <c r="M111" i="132" s="1"/>
  <c r="AA62" i="132"/>
  <c r="AE62" i="132" s="1"/>
  <c r="AA73" i="132"/>
  <c r="AA17" i="132"/>
  <c r="AE17" i="132" s="1"/>
  <c r="AA8" i="132"/>
  <c r="AE8" i="132" s="1"/>
  <c r="X50" i="132"/>
  <c r="Y50" i="132" s="1"/>
  <c r="X52" i="132"/>
  <c r="Y52" i="132" s="1"/>
  <c r="X84" i="132"/>
  <c r="AA84" i="132" s="1"/>
  <c r="X130" i="132"/>
  <c r="AA130" i="132" s="1"/>
  <c r="AE130" i="132" s="1"/>
  <c r="X16" i="132"/>
  <c r="Y16" i="132" s="1"/>
  <c r="AA18" i="132"/>
  <c r="AE18" i="132" s="1"/>
  <c r="T27" i="132"/>
  <c r="T47" i="132"/>
  <c r="X51" i="132"/>
  <c r="X53" i="132"/>
  <c r="AA53" i="132" s="1"/>
  <c r="X79" i="132"/>
  <c r="AA79" i="132" s="1"/>
  <c r="X80" i="132"/>
  <c r="AA80" i="132" s="1"/>
  <c r="X83" i="132"/>
  <c r="Y133" i="132"/>
  <c r="X138" i="132"/>
  <c r="AA138" i="132" s="1"/>
  <c r="X143" i="132"/>
  <c r="AA143" i="132" s="1"/>
  <c r="T4" i="132"/>
  <c r="X26" i="132"/>
  <c r="Y26" i="132" s="1"/>
  <c r="Y18" i="132"/>
  <c r="Y35" i="132"/>
  <c r="X42" i="132"/>
  <c r="Y42" i="132" s="1"/>
  <c r="X59" i="132"/>
  <c r="AA59" i="132" s="1"/>
  <c r="X85" i="132"/>
  <c r="AA85" i="132" s="1"/>
  <c r="AE85" i="132" s="1"/>
  <c r="X99" i="132"/>
  <c r="X139" i="132"/>
  <c r="AA139" i="132" s="1"/>
  <c r="Y30" i="132"/>
  <c r="T34" i="132"/>
  <c r="Y46" i="132"/>
  <c r="Y102" i="132"/>
  <c r="X124" i="132"/>
  <c r="AA124" i="132" s="1"/>
  <c r="X148" i="132"/>
  <c r="AA148" i="132" s="1"/>
  <c r="X28" i="132"/>
  <c r="AA28" i="132" s="1"/>
  <c r="AE28" i="132" s="1"/>
  <c r="X29" i="132"/>
  <c r="Y32" i="132"/>
  <c r="Y39" i="132"/>
  <c r="X64" i="132"/>
  <c r="AA64" i="132" s="1"/>
  <c r="X72" i="132"/>
  <c r="Y72" i="132" s="1"/>
  <c r="X91" i="132"/>
  <c r="X112" i="132"/>
  <c r="AA112" i="132" s="1"/>
  <c r="X122" i="132"/>
  <c r="AA122" i="132" s="1"/>
  <c r="X3" i="132"/>
  <c r="AA3" i="132" s="1"/>
  <c r="Y13" i="132"/>
  <c r="AC149" i="132"/>
  <c r="AC150" i="132" s="1"/>
  <c r="J3" i="132"/>
  <c r="AA11" i="132"/>
  <c r="Y17" i="132"/>
  <c r="AE9" i="132"/>
  <c r="K43" i="132"/>
  <c r="M43" i="132" s="1"/>
  <c r="K8" i="132"/>
  <c r="M8" i="132" s="1"/>
  <c r="K18" i="132"/>
  <c r="M18" i="132" s="1"/>
  <c r="X19" i="132"/>
  <c r="K38" i="132"/>
  <c r="M38" i="132" s="1"/>
  <c r="AA35" i="132"/>
  <c r="K35" i="132"/>
  <c r="M35" i="132" s="1"/>
  <c r="K22" i="132"/>
  <c r="M22" i="132" s="1"/>
  <c r="X41" i="132"/>
  <c r="AA41" i="132" s="1"/>
  <c r="H1" i="132"/>
  <c r="K7" i="132"/>
  <c r="M7" i="132" s="1"/>
  <c r="K11" i="132"/>
  <c r="M11" i="132" s="1"/>
  <c r="K13" i="132"/>
  <c r="M13" i="132" s="1"/>
  <c r="K21" i="132"/>
  <c r="M21" i="132" s="1"/>
  <c r="X22" i="132"/>
  <c r="Y22" i="132" s="1"/>
  <c r="H149" i="132"/>
  <c r="K76" i="132"/>
  <c r="M76" i="132" s="1"/>
  <c r="K81" i="132"/>
  <c r="M81" i="132" s="1"/>
  <c r="K6" i="132"/>
  <c r="M6" i="132" s="1"/>
  <c r="Y54" i="132"/>
  <c r="X23" i="132"/>
  <c r="AA23" i="132" s="1"/>
  <c r="T23" i="132"/>
  <c r="K10" i="132"/>
  <c r="M10" i="132" s="1"/>
  <c r="AA12" i="132"/>
  <c r="K26" i="132"/>
  <c r="M26" i="132" s="1"/>
  <c r="K31" i="132"/>
  <c r="M31" i="132" s="1"/>
  <c r="K34" i="132"/>
  <c r="M34" i="132" s="1"/>
  <c r="K50" i="132"/>
  <c r="M50" i="132" s="1"/>
  <c r="X63" i="132"/>
  <c r="D149" i="132"/>
  <c r="X20" i="132"/>
  <c r="AA20" i="132" s="1"/>
  <c r="K27" i="132"/>
  <c r="M27" i="132" s="1"/>
  <c r="K65" i="132"/>
  <c r="M65" i="132" s="1"/>
  <c r="K42" i="132"/>
  <c r="M42" i="132" s="1"/>
  <c r="K119" i="132"/>
  <c r="M119" i="132" s="1"/>
  <c r="K37" i="132"/>
  <c r="M37" i="132" s="1"/>
  <c r="K52" i="132"/>
  <c r="M52" i="132" s="1"/>
  <c r="K56" i="132"/>
  <c r="M56" i="132" s="1"/>
  <c r="K71" i="132"/>
  <c r="M71" i="132" s="1"/>
  <c r="K39" i="132"/>
  <c r="M39" i="132" s="1"/>
  <c r="K41" i="132"/>
  <c r="M41" i="132" s="1"/>
  <c r="K64" i="132"/>
  <c r="M64" i="132" s="1"/>
  <c r="Y73" i="132"/>
  <c r="AE79" i="132"/>
  <c r="AA89" i="132"/>
  <c r="K89" i="132"/>
  <c r="M89" i="132" s="1"/>
  <c r="X44" i="132"/>
  <c r="AA44" i="132" s="1"/>
  <c r="AA54" i="132"/>
  <c r="K54" i="132"/>
  <c r="M54" i="132" s="1"/>
  <c r="X61" i="132"/>
  <c r="K86" i="132"/>
  <c r="M86" i="132" s="1"/>
  <c r="T114" i="132"/>
  <c r="X114" i="132"/>
  <c r="Y114" i="132" s="1"/>
  <c r="K102" i="132"/>
  <c r="M102" i="132" s="1"/>
  <c r="X24" i="132"/>
  <c r="AA30" i="132"/>
  <c r="X36" i="132"/>
  <c r="AA36" i="132" s="1"/>
  <c r="K58" i="132"/>
  <c r="M58" i="132" s="1"/>
  <c r="K69" i="132"/>
  <c r="M69" i="132" s="1"/>
  <c r="Y75" i="132"/>
  <c r="AA120" i="132"/>
  <c r="AA48" i="132"/>
  <c r="Y81" i="132"/>
  <c r="K87" i="132"/>
  <c r="M87" i="132" s="1"/>
  <c r="X98" i="132"/>
  <c r="AA98" i="132" s="1"/>
  <c r="AE108" i="132"/>
  <c r="AA127" i="132"/>
  <c r="K127" i="132"/>
  <c r="M127" i="132" s="1"/>
  <c r="K67" i="132"/>
  <c r="M67" i="132" s="1"/>
  <c r="K77" i="132"/>
  <c r="M77" i="132" s="1"/>
  <c r="K82" i="132"/>
  <c r="M82" i="132" s="1"/>
  <c r="X97" i="132"/>
  <c r="K114" i="132"/>
  <c r="M114" i="132" s="1"/>
  <c r="T145" i="132"/>
  <c r="X145" i="132"/>
  <c r="K46" i="132"/>
  <c r="M46" i="132" s="1"/>
  <c r="K48" i="132"/>
  <c r="M48" i="132" s="1"/>
  <c r="K61" i="132"/>
  <c r="M61" i="132" s="1"/>
  <c r="K63" i="132"/>
  <c r="M63" i="132" s="1"/>
  <c r="K72" i="132"/>
  <c r="M72" i="132" s="1"/>
  <c r="K83" i="132"/>
  <c r="M83" i="132" s="1"/>
  <c r="X94" i="132"/>
  <c r="AA94" i="132" s="1"/>
  <c r="X88" i="132"/>
  <c r="AA88" i="132" s="1"/>
  <c r="X93" i="132"/>
  <c r="AA106" i="132"/>
  <c r="T116" i="132"/>
  <c r="X116" i="132"/>
  <c r="Y116" i="132" s="1"/>
  <c r="X92" i="132"/>
  <c r="AA92" i="132" s="1"/>
  <c r="X96" i="132"/>
  <c r="AA96" i="132" s="1"/>
  <c r="X100" i="132"/>
  <c r="AA100" i="132" s="1"/>
  <c r="X104" i="132"/>
  <c r="AA104" i="132" s="1"/>
  <c r="X113" i="132"/>
  <c r="Y127" i="132"/>
  <c r="K141" i="132"/>
  <c r="M141" i="132" s="1"/>
  <c r="X121" i="132"/>
  <c r="AA121" i="132" s="1"/>
  <c r="Y125" i="132"/>
  <c r="X109" i="132"/>
  <c r="Y108" i="132"/>
  <c r="X123" i="132"/>
  <c r="Y123" i="132" s="1"/>
  <c r="X110" i="132"/>
  <c r="AA110" i="132" s="1"/>
  <c r="K116" i="132"/>
  <c r="M116" i="132" s="1"/>
  <c r="X128" i="132"/>
  <c r="AA128" i="132" s="1"/>
  <c r="AA125" i="132"/>
  <c r="X132" i="132"/>
  <c r="AA132" i="132" s="1"/>
  <c r="K93" i="132"/>
  <c r="M93" i="132" s="1"/>
  <c r="K97" i="132"/>
  <c r="M97" i="132" s="1"/>
  <c r="K101" i="132"/>
  <c r="M101" i="132" s="1"/>
  <c r="K105" i="132"/>
  <c r="M105" i="132" s="1"/>
  <c r="K109" i="132"/>
  <c r="M109" i="132" s="1"/>
  <c r="K123" i="132"/>
  <c r="M123" i="132" s="1"/>
  <c r="K125" i="132"/>
  <c r="M125" i="132" s="1"/>
  <c r="X136" i="132"/>
  <c r="AA136" i="132" s="1"/>
  <c r="K145" i="132"/>
  <c r="M145" i="132" s="1"/>
  <c r="K121" i="132"/>
  <c r="M121" i="132" s="1"/>
  <c r="K133" i="132"/>
  <c r="M133" i="132" s="1"/>
  <c r="K117" i="132"/>
  <c r="M117" i="132" s="1"/>
  <c r="K128" i="132"/>
  <c r="M128" i="132" s="1"/>
  <c r="X140" i="132"/>
  <c r="AA140" i="132" s="1"/>
  <c r="X146" i="132"/>
  <c r="AA137" i="132"/>
  <c r="K137" i="132"/>
  <c r="M137" i="132" s="1"/>
  <c r="Y139" i="132"/>
  <c r="F37" i="116"/>
  <c r="D40" i="108"/>
  <c r="AA37" i="132" l="1"/>
  <c r="AA33" i="132"/>
  <c r="AA135" i="132"/>
  <c r="AE135" i="132" s="1"/>
  <c r="AA60" i="132"/>
  <c r="Y11" i="132"/>
  <c r="AA5" i="132"/>
  <c r="AE5" i="132" s="1"/>
  <c r="AA105" i="132"/>
  <c r="AA21" i="132"/>
  <c r="Y115" i="132"/>
  <c r="Y119" i="132"/>
  <c r="AA69" i="132"/>
  <c r="AE69" i="132" s="1"/>
  <c r="AA6" i="132"/>
  <c r="Y77" i="132"/>
  <c r="Y57" i="132"/>
  <c r="AA15" i="132"/>
  <c r="AE15" i="132" s="1"/>
  <c r="AA77" i="132"/>
  <c r="AA16" i="132"/>
  <c r="AE16" i="132" s="1"/>
  <c r="Y76" i="132"/>
  <c r="Y38" i="132"/>
  <c r="Y45" i="132"/>
  <c r="AA45" i="132"/>
  <c r="AE45" i="132" s="1"/>
  <c r="Y143" i="132"/>
  <c r="Y29" i="132"/>
  <c r="Y111" i="132"/>
  <c r="Y93" i="132"/>
  <c r="AA27" i="132"/>
  <c r="Y14" i="132"/>
  <c r="Y83" i="132"/>
  <c r="Y49" i="132"/>
  <c r="Y71" i="132"/>
  <c r="Y67" i="132"/>
  <c r="Y47" i="132"/>
  <c r="AA61" i="132"/>
  <c r="AE61" i="132" s="1"/>
  <c r="AA19" i="132"/>
  <c r="AA95" i="132"/>
  <c r="AE95" i="132" s="1"/>
  <c r="AA81" i="132"/>
  <c r="AE81" i="132" s="1"/>
  <c r="Y141" i="132"/>
  <c r="AA113" i="132"/>
  <c r="AE113" i="132" s="1"/>
  <c r="Y97" i="132"/>
  <c r="Y126" i="132"/>
  <c r="Y65" i="132"/>
  <c r="Y109" i="132"/>
  <c r="AA117" i="132"/>
  <c r="AE117" i="132" s="1"/>
  <c r="AA101" i="132"/>
  <c r="Y147" i="132"/>
  <c r="Y63" i="132"/>
  <c r="AA131" i="132"/>
  <c r="AE131" i="132" s="1"/>
  <c r="AA68" i="132"/>
  <c r="AE68" i="132" s="1"/>
  <c r="AA147" i="132"/>
  <c r="AE147" i="132" s="1"/>
  <c r="Y145" i="132"/>
  <c r="Y40" i="132"/>
  <c r="AA99" i="132"/>
  <c r="Y51" i="132"/>
  <c r="AA70" i="132"/>
  <c r="AE70" i="132" s="1"/>
  <c r="Y9" i="132"/>
  <c r="Y7" i="132"/>
  <c r="Y78" i="132"/>
  <c r="Y19" i="132"/>
  <c r="Y117" i="132"/>
  <c r="F49" i="132"/>
  <c r="AA29" i="132"/>
  <c r="AE29" i="132" s="1"/>
  <c r="AA72" i="132"/>
  <c r="Y138" i="132"/>
  <c r="Y53" i="132"/>
  <c r="AA55" i="132"/>
  <c r="AE55" i="132" s="1"/>
  <c r="AA111" i="132"/>
  <c r="AE111" i="132" s="1"/>
  <c r="Y118" i="132"/>
  <c r="F148" i="132"/>
  <c r="AA114" i="132"/>
  <c r="AE114" i="132" s="1"/>
  <c r="F77" i="132"/>
  <c r="F126" i="132"/>
  <c r="Y84" i="132"/>
  <c r="AA83" i="132"/>
  <c r="Y107" i="132"/>
  <c r="F124" i="132"/>
  <c r="F96" i="132"/>
  <c r="AA87" i="132"/>
  <c r="AE87" i="132" s="1"/>
  <c r="Y43" i="132"/>
  <c r="F72" i="132"/>
  <c r="Y112" i="132"/>
  <c r="AA74" i="132"/>
  <c r="AE74" i="132" s="1"/>
  <c r="F87" i="132"/>
  <c r="AJ122" i="132"/>
  <c r="Y58" i="132"/>
  <c r="F62" i="132"/>
  <c r="Y88" i="132"/>
  <c r="Y124" i="132"/>
  <c r="F82" i="132"/>
  <c r="F98" i="132"/>
  <c r="F122" i="132"/>
  <c r="Y25" i="132"/>
  <c r="F144" i="132"/>
  <c r="F59" i="132"/>
  <c r="AA86" i="132"/>
  <c r="AE86" i="132" s="1"/>
  <c r="F20" i="132"/>
  <c r="AJ14" i="132"/>
  <c r="F111" i="132"/>
  <c r="F74" i="132"/>
  <c r="F78" i="132"/>
  <c r="F46" i="132"/>
  <c r="F58" i="132"/>
  <c r="F36" i="132"/>
  <c r="F35" i="132"/>
  <c r="F143" i="132"/>
  <c r="F139" i="132"/>
  <c r="F135" i="132"/>
  <c r="F121" i="132"/>
  <c r="F63" i="132"/>
  <c r="F28" i="132"/>
  <c r="AA50" i="132"/>
  <c r="AE50" i="132" s="1"/>
  <c r="F75" i="132"/>
  <c r="F39" i="132"/>
  <c r="F104" i="132"/>
  <c r="Y103" i="132"/>
  <c r="F131" i="132"/>
  <c r="F138" i="132"/>
  <c r="F134" i="132"/>
  <c r="F113" i="132"/>
  <c r="F127" i="132"/>
  <c r="F80" i="132"/>
  <c r="F66" i="132"/>
  <c r="F83" i="132"/>
  <c r="F54" i="132"/>
  <c r="AA71" i="132"/>
  <c r="AE71" i="132" s="1"/>
  <c r="F79" i="132"/>
  <c r="F18" i="132"/>
  <c r="F38" i="132"/>
  <c r="F89" i="132"/>
  <c r="F43" i="132"/>
  <c r="F108" i="132"/>
  <c r="Y56" i="132"/>
  <c r="Y66" i="132"/>
  <c r="Y90" i="132"/>
  <c r="F84" i="132"/>
  <c r="F47" i="132"/>
  <c r="F55" i="132"/>
  <c r="F123" i="132"/>
  <c r="F32" i="132"/>
  <c r="F22" i="132"/>
  <c r="F8" i="132"/>
  <c r="F13" i="132"/>
  <c r="F29" i="132"/>
  <c r="F64" i="132"/>
  <c r="F140" i="132"/>
  <c r="AA144" i="132"/>
  <c r="AE144" i="132" s="1"/>
  <c r="F136" i="132"/>
  <c r="F76" i="132"/>
  <c r="F73" i="132"/>
  <c r="F10" i="132"/>
  <c r="F100" i="132"/>
  <c r="F118" i="132"/>
  <c r="F130" i="132"/>
  <c r="Y129" i="132"/>
  <c r="F146" i="132"/>
  <c r="F115" i="132"/>
  <c r="F86" i="132"/>
  <c r="F112" i="132"/>
  <c r="F57" i="132"/>
  <c r="F88" i="132"/>
  <c r="F71" i="132"/>
  <c r="F7" i="132"/>
  <c r="Y95" i="132"/>
  <c r="F147" i="132"/>
  <c r="F40" i="132"/>
  <c r="F69" i="132"/>
  <c r="F101" i="132"/>
  <c r="F91" i="132"/>
  <c r="AJ3" i="132"/>
  <c r="F142" i="132"/>
  <c r="F119" i="132"/>
  <c r="F129" i="132"/>
  <c r="F128" i="132"/>
  <c r="F70" i="132"/>
  <c r="AA97" i="132"/>
  <c r="AE97" i="132" s="1"/>
  <c r="F53" i="132"/>
  <c r="F48" i="132"/>
  <c r="F93" i="132"/>
  <c r="F67" i="132"/>
  <c r="F17" i="132"/>
  <c r="F16" i="132"/>
  <c r="F27" i="132"/>
  <c r="F105" i="132"/>
  <c r="F95" i="132"/>
  <c r="Y142" i="132"/>
  <c r="AA134" i="132"/>
  <c r="AE134" i="132" s="1"/>
  <c r="F50" i="132"/>
  <c r="F97" i="132"/>
  <c r="F37" i="132"/>
  <c r="F65" i="132"/>
  <c r="F68" i="132"/>
  <c r="F24" i="132"/>
  <c r="F15" i="132"/>
  <c r="F9" i="132"/>
  <c r="F109" i="132"/>
  <c r="F141" i="132"/>
  <c r="F99" i="132"/>
  <c r="Y20" i="132"/>
  <c r="Y98" i="132"/>
  <c r="Y104" i="132"/>
  <c r="Y59" i="132"/>
  <c r="Y94" i="132"/>
  <c r="AA34" i="132"/>
  <c r="AE34" i="132" s="1"/>
  <c r="F41" i="132"/>
  <c r="F6" i="132"/>
  <c r="F19" i="132"/>
  <c r="F23" i="132"/>
  <c r="F25" i="132"/>
  <c r="F114" i="132"/>
  <c r="F45" i="132"/>
  <c r="F92" i="132"/>
  <c r="F120" i="132"/>
  <c r="F103" i="132"/>
  <c r="AA51" i="132"/>
  <c r="AE51" i="132" s="1"/>
  <c r="AA10" i="132"/>
  <c r="AE10" i="132" s="1"/>
  <c r="F11" i="132"/>
  <c r="F31" i="132"/>
  <c r="F26" i="132"/>
  <c r="F117" i="132"/>
  <c r="F51" i="132"/>
  <c r="F94" i="132"/>
  <c r="F116" i="132"/>
  <c r="F107" i="132"/>
  <c r="Y64" i="132"/>
  <c r="F61" i="132"/>
  <c r="F4" i="132"/>
  <c r="Y82" i="132"/>
  <c r="AE122" i="132"/>
  <c r="F52" i="132"/>
  <c r="F81" i="132"/>
  <c r="F5" i="132"/>
  <c r="F30" i="132"/>
  <c r="F110" i="132"/>
  <c r="F85" i="132"/>
  <c r="F102" i="132"/>
  <c r="F145" i="132"/>
  <c r="F137" i="132"/>
  <c r="Y85" i="132"/>
  <c r="Y80" i="132"/>
  <c r="Y4" i="132"/>
  <c r="AA47" i="132"/>
  <c r="AE47" i="132" s="1"/>
  <c r="AA52" i="132"/>
  <c r="AE52" i="132" s="1"/>
  <c r="F14" i="132"/>
  <c r="F34" i="132"/>
  <c r="F56" i="132"/>
  <c r="F44" i="132"/>
  <c r="F12" i="132"/>
  <c r="F3" i="132"/>
  <c r="F60" i="132"/>
  <c r="F33" i="132"/>
  <c r="F125" i="132"/>
  <c r="F90" i="132"/>
  <c r="F106" i="132"/>
  <c r="F133" i="132"/>
  <c r="F132" i="132"/>
  <c r="Y79" i="132"/>
  <c r="F42" i="132"/>
  <c r="Y28" i="132"/>
  <c r="AJ47" i="132"/>
  <c r="AJ57" i="132"/>
  <c r="AJ124" i="132"/>
  <c r="AJ45" i="132"/>
  <c r="AE53" i="132"/>
  <c r="AJ15" i="132"/>
  <c r="AE73" i="132"/>
  <c r="AE126" i="132"/>
  <c r="AJ73" i="132"/>
  <c r="AJ103" i="132"/>
  <c r="AE57" i="132"/>
  <c r="AJ144" i="132"/>
  <c r="AE64" i="132"/>
  <c r="Y128" i="132"/>
  <c r="AJ59" i="132"/>
  <c r="AE99" i="132"/>
  <c r="AJ79" i="132"/>
  <c r="AE112" i="132"/>
  <c r="AE75" i="132"/>
  <c r="Y99" i="132"/>
  <c r="AJ40" i="132"/>
  <c r="AJ10" i="132"/>
  <c r="AE148" i="132"/>
  <c r="AJ138" i="132"/>
  <c r="AE138" i="132"/>
  <c r="Y113" i="132"/>
  <c r="AJ131" i="132"/>
  <c r="AJ99" i="132"/>
  <c r="AJ130" i="132"/>
  <c r="AJ49" i="132"/>
  <c r="AJ87" i="132"/>
  <c r="Y92" i="132"/>
  <c r="Y130" i="132"/>
  <c r="AA91" i="132"/>
  <c r="Y91" i="132"/>
  <c r="AA145" i="132"/>
  <c r="AE124" i="132"/>
  <c r="AJ85" i="132"/>
  <c r="Y44" i="132"/>
  <c r="AE59" i="132"/>
  <c r="AJ18" i="132"/>
  <c r="AA26" i="132"/>
  <c r="AE26" i="132" s="1"/>
  <c r="AJ8" i="132"/>
  <c r="Y122" i="132"/>
  <c r="Y148" i="132"/>
  <c r="AJ126" i="132"/>
  <c r="AJ115" i="132"/>
  <c r="Y110" i="132"/>
  <c r="AJ9" i="132"/>
  <c r="AJ7" i="132"/>
  <c r="AA93" i="132"/>
  <c r="AE93" i="132" s="1"/>
  <c r="AA42" i="132"/>
  <c r="Y3" i="132"/>
  <c r="AE41" i="132"/>
  <c r="AE121" i="132"/>
  <c r="AE20" i="132"/>
  <c r="AE94" i="132"/>
  <c r="AE98" i="132"/>
  <c r="AE118" i="132"/>
  <c r="AE102" i="132"/>
  <c r="AJ102" i="132"/>
  <c r="AE35" i="132"/>
  <c r="AJ134" i="132"/>
  <c r="AE127" i="132"/>
  <c r="AE27" i="132"/>
  <c r="AE12" i="132"/>
  <c r="AJ62" i="132"/>
  <c r="K1" i="132"/>
  <c r="AJ5" i="132"/>
  <c r="AE133" i="132"/>
  <c r="AE92" i="132"/>
  <c r="Y100" i="132"/>
  <c r="AE83" i="132"/>
  <c r="AE37" i="132"/>
  <c r="AJ66" i="132"/>
  <c r="Y41" i="132"/>
  <c r="AE6" i="132"/>
  <c r="M149" i="132"/>
  <c r="M1" i="132"/>
  <c r="AJ65" i="132"/>
  <c r="AE65" i="132"/>
  <c r="AJ39" i="132"/>
  <c r="AE96" i="132"/>
  <c r="AE44" i="132"/>
  <c r="AE120" i="132"/>
  <c r="AE77" i="132"/>
  <c r="AE56" i="132"/>
  <c r="Y61" i="132"/>
  <c r="AE4" i="132"/>
  <c r="AE132" i="132"/>
  <c r="AA123" i="132"/>
  <c r="AE106" i="132"/>
  <c r="AA63" i="132"/>
  <c r="AE23" i="132"/>
  <c r="AE129" i="132"/>
  <c r="AE125" i="132"/>
  <c r="AJ107" i="132"/>
  <c r="Y121" i="132"/>
  <c r="Y36" i="132"/>
  <c r="AJ70" i="132"/>
  <c r="AJ75" i="132"/>
  <c r="Y23" i="132"/>
  <c r="K149" i="132"/>
  <c r="AE143" i="132"/>
  <c r="AE100" i="132"/>
  <c r="Y140" i="132"/>
  <c r="AJ108" i="132"/>
  <c r="AE54" i="132"/>
  <c r="AE43" i="132"/>
  <c r="AE13" i="132"/>
  <c r="AE141" i="132"/>
  <c r="AE88" i="132"/>
  <c r="AE84" i="132"/>
  <c r="AE72" i="132"/>
  <c r="AE33" i="132"/>
  <c r="AJ90" i="132"/>
  <c r="AJ46" i="132"/>
  <c r="AE11" i="132"/>
  <c r="AE137" i="132"/>
  <c r="AA116" i="132"/>
  <c r="AE101" i="132"/>
  <c r="AA109" i="132"/>
  <c r="AE48" i="132"/>
  <c r="AJ111" i="132"/>
  <c r="AE30" i="132"/>
  <c r="AE89" i="132"/>
  <c r="AJ51" i="132"/>
  <c r="AE76" i="132"/>
  <c r="AE3" i="132"/>
  <c r="AJ55" i="132"/>
  <c r="AA22" i="132"/>
  <c r="AA146" i="132"/>
  <c r="Y146" i="132"/>
  <c r="AE140" i="132"/>
  <c r="AE128" i="132"/>
  <c r="AE78" i="132"/>
  <c r="AE36" i="132"/>
  <c r="AE67" i="132"/>
  <c r="AE25" i="132"/>
  <c r="AE31" i="132"/>
  <c r="AJ112" i="132"/>
  <c r="AE38" i="132"/>
  <c r="AE105" i="132"/>
  <c r="AJ142" i="132"/>
  <c r="Y96" i="132"/>
  <c r="AE119" i="132"/>
  <c r="AE21" i="132"/>
  <c r="AJ17" i="132"/>
  <c r="Y132" i="132"/>
  <c r="AE139" i="132"/>
  <c r="AE136" i="132"/>
  <c r="AE110" i="132"/>
  <c r="Y136" i="132"/>
  <c r="AE104" i="132"/>
  <c r="AJ95" i="132"/>
  <c r="AE82" i="132"/>
  <c r="AA24" i="132"/>
  <c r="Y24" i="132"/>
  <c r="AE80" i="132"/>
  <c r="AE60" i="132"/>
  <c r="AJ32" i="132"/>
  <c r="AJ53" i="132"/>
  <c r="AE19" i="132"/>
  <c r="AJ28" i="132"/>
  <c r="AJ93" i="132" l="1"/>
  <c r="AJ74" i="132"/>
  <c r="AJ27" i="132"/>
  <c r="AJ118" i="132"/>
  <c r="AJ60" i="132"/>
  <c r="AJ104" i="132"/>
  <c r="AJ81" i="132"/>
  <c r="AJ48" i="132"/>
  <c r="AJ137" i="132"/>
  <c r="AJ141" i="132"/>
  <c r="AJ26" i="132"/>
  <c r="AJ56" i="132"/>
  <c r="AJ148" i="132"/>
  <c r="AJ29" i="132"/>
  <c r="AE145" i="132"/>
  <c r="AJ6" i="132"/>
  <c r="AJ34" i="132"/>
  <c r="AJ41" i="132"/>
  <c r="AJ16" i="132"/>
  <c r="AJ58" i="132"/>
  <c r="AJ64" i="132"/>
  <c r="AJ25" i="132"/>
  <c r="AJ128" i="132"/>
  <c r="AJ19" i="132"/>
  <c r="AJ119" i="132"/>
  <c r="AE91" i="132"/>
  <c r="AE42" i="132"/>
  <c r="AJ11" i="132"/>
  <c r="AJ42" i="132"/>
  <c r="AJ147" i="132"/>
  <c r="AJ129" i="132"/>
  <c r="AJ120" i="132"/>
  <c r="AJ96" i="132"/>
  <c r="AJ37" i="132"/>
  <c r="AJ105" i="132"/>
  <c r="AJ67" i="132"/>
  <c r="AJ97" i="132"/>
  <c r="AJ140" i="132"/>
  <c r="AA149" i="132"/>
  <c r="AJ132" i="132"/>
  <c r="AJ77" i="132"/>
  <c r="AJ12" i="132"/>
  <c r="AJ98" i="132"/>
  <c r="AJ139" i="132"/>
  <c r="AE123" i="132"/>
  <c r="AJ4" i="132"/>
  <c r="AJ136" i="132"/>
  <c r="AJ38" i="132"/>
  <c r="AJ30" i="132"/>
  <c r="AE116" i="132"/>
  <c r="AJ84" i="132"/>
  <c r="AJ52" i="132"/>
  <c r="AE63" i="132"/>
  <c r="AJ92" i="132"/>
  <c r="AJ133" i="132"/>
  <c r="AJ127" i="132"/>
  <c r="AE24" i="132"/>
  <c r="AE22" i="132"/>
  <c r="AJ13" i="132"/>
  <c r="AJ82" i="132"/>
  <c r="AJ110" i="132"/>
  <c r="AJ36" i="132"/>
  <c r="AE146" i="132"/>
  <c r="AJ76" i="132"/>
  <c r="AJ89" i="132"/>
  <c r="AE109" i="132"/>
  <c r="AJ88" i="132"/>
  <c r="AJ69" i="132"/>
  <c r="AJ143" i="132"/>
  <c r="AJ117" i="132"/>
  <c r="AJ106" i="132"/>
  <c r="AJ44" i="132"/>
  <c r="AJ83" i="132"/>
  <c r="AJ61" i="132"/>
  <c r="AJ50" i="132"/>
  <c r="AJ78" i="132"/>
  <c r="AJ71" i="132"/>
  <c r="AJ54" i="132"/>
  <c r="AJ20" i="132"/>
  <c r="AJ80" i="132"/>
  <c r="AJ21" i="132"/>
  <c r="AJ135" i="132"/>
  <c r="AJ31" i="132"/>
  <c r="AA1" i="132"/>
  <c r="AJ101" i="132"/>
  <c r="AJ113" i="132"/>
  <c r="AJ33" i="132"/>
  <c r="AJ72" i="132"/>
  <c r="AJ43" i="132"/>
  <c r="AJ100" i="132"/>
  <c r="AJ125" i="132"/>
  <c r="AJ68" i="132"/>
  <c r="AJ121" i="132"/>
  <c r="AJ114" i="132"/>
  <c r="AJ23" i="132"/>
  <c r="AJ86" i="132"/>
  <c r="AJ35" i="132"/>
  <c r="AJ94" i="132"/>
  <c r="AU13" i="128"/>
  <c r="AU12" i="128"/>
  <c r="AU11" i="128"/>
  <c r="AU10" i="128"/>
  <c r="AU9" i="128"/>
  <c r="AU8" i="128"/>
  <c r="AU7" i="128"/>
  <c r="AU6" i="128"/>
  <c r="AU5" i="128"/>
  <c r="AU4" i="128"/>
  <c r="P28" i="61"/>
  <c r="O28" i="61"/>
  <c r="N28" i="61"/>
  <c r="M28" i="61"/>
  <c r="L28" i="61"/>
  <c r="K28" i="61"/>
  <c r="J28" i="61"/>
  <c r="I28" i="61"/>
  <c r="H28" i="61"/>
  <c r="G28" i="61"/>
  <c r="F28" i="61"/>
  <c r="E28" i="61"/>
  <c r="D28" i="61"/>
  <c r="D26" i="61"/>
  <c r="AJ145" i="132" l="1"/>
  <c r="AJ63" i="132"/>
  <c r="AJ91" i="132"/>
  <c r="AJ22" i="132"/>
  <c r="AJ1" i="132" s="1"/>
  <c r="AJ24" i="132"/>
  <c r="AJ116" i="132"/>
  <c r="AJ109" i="132"/>
  <c r="AJ123" i="132"/>
  <c r="AJ146" i="132"/>
  <c r="P44" i="61"/>
  <c r="O44" i="61"/>
  <c r="N44" i="61"/>
  <c r="M44" i="61"/>
  <c r="L44" i="61"/>
  <c r="K44" i="61"/>
  <c r="J44" i="61"/>
  <c r="I44" i="61"/>
  <c r="H44" i="61"/>
  <c r="G44" i="61"/>
  <c r="F44" i="61"/>
  <c r="E44" i="61"/>
  <c r="D44" i="61"/>
  <c r="G26" i="61"/>
  <c r="P26" i="61"/>
  <c r="O26" i="61"/>
  <c r="N26" i="61"/>
  <c r="M26" i="61"/>
  <c r="L26" i="61"/>
  <c r="K26" i="61"/>
  <c r="J26" i="61"/>
  <c r="I26" i="61"/>
  <c r="H26" i="61"/>
  <c r="F26" i="61"/>
  <c r="E26" i="61"/>
  <c r="C23" i="61" l="1"/>
  <c r="T3" i="128"/>
  <c r="AI1" i="128"/>
  <c r="D23" i="108"/>
  <c r="D24" i="108"/>
  <c r="D39" i="108"/>
  <c r="D35" i="108" l="1"/>
  <c r="D21" i="108"/>
  <c r="D22" i="108"/>
  <c r="E1" i="127" l="1"/>
  <c r="N3" i="127"/>
  <c r="E19" i="127"/>
  <c r="AC4" i="127"/>
  <c r="AD4" i="127" s="1"/>
  <c r="I4" i="127" s="1"/>
  <c r="AC5" i="127"/>
  <c r="AD5" i="127" s="1"/>
  <c r="I5" i="127" s="1"/>
  <c r="AC6" i="127"/>
  <c r="AD6" i="127" s="1"/>
  <c r="I6" i="127" s="1"/>
  <c r="AC7" i="127"/>
  <c r="AD7" i="127" s="1"/>
  <c r="I7" i="127" s="1"/>
  <c r="AC8" i="127"/>
  <c r="AD8" i="127" s="1"/>
  <c r="I8" i="127" s="1"/>
  <c r="AC9" i="127"/>
  <c r="AD9" i="127" s="1"/>
  <c r="I9" i="127" s="1"/>
  <c r="AC10" i="127"/>
  <c r="AD10" i="127" s="1"/>
  <c r="I10" i="127" s="1"/>
  <c r="AC11" i="127"/>
  <c r="AD11" i="127" s="1"/>
  <c r="I11" i="127" s="1"/>
  <c r="AC12" i="127"/>
  <c r="AD12" i="127" s="1"/>
  <c r="I12" i="127" s="1"/>
  <c r="AC13" i="127"/>
  <c r="AD13" i="127" s="1"/>
  <c r="I13" i="127" s="1"/>
  <c r="AC15" i="127"/>
  <c r="AD15" i="127" s="1"/>
  <c r="I15" i="127" s="1"/>
  <c r="AC16" i="127"/>
  <c r="AD16" i="127" s="1"/>
  <c r="I16" i="127" s="1"/>
  <c r="AC17" i="127"/>
  <c r="AD17" i="127" s="1"/>
  <c r="I17" i="127" s="1"/>
  <c r="AC18" i="127"/>
  <c r="AD18" i="127" s="1"/>
  <c r="I18" i="127" s="1"/>
  <c r="AC3" i="127"/>
  <c r="AD3" i="127" s="1"/>
  <c r="I3" i="127" s="1"/>
  <c r="U9" i="127"/>
  <c r="T12" i="123"/>
  <c r="U12" i="123"/>
  <c r="AA4" i="123"/>
  <c r="AB4" i="123" s="1"/>
  <c r="I4" i="123" s="1"/>
  <c r="AA5" i="123"/>
  <c r="AB5" i="123" s="1"/>
  <c r="I5" i="123" s="1"/>
  <c r="AA6" i="123"/>
  <c r="AB6" i="123" s="1"/>
  <c r="I6" i="123" s="1"/>
  <c r="AA7" i="123"/>
  <c r="AB7" i="123" s="1"/>
  <c r="I7" i="123" s="1"/>
  <c r="AA8" i="123"/>
  <c r="AB8" i="123" s="1"/>
  <c r="I8" i="123" s="1"/>
  <c r="AA9" i="123"/>
  <c r="AB9" i="123" s="1"/>
  <c r="I9" i="123" s="1"/>
  <c r="AA10" i="123"/>
  <c r="AB10" i="123" s="1"/>
  <c r="I10" i="123" s="1"/>
  <c r="AA11" i="123"/>
  <c r="AB11" i="123" s="1"/>
  <c r="I11" i="123" s="1"/>
  <c r="AA12" i="123"/>
  <c r="AB12" i="123" s="1"/>
  <c r="I12" i="123" s="1"/>
  <c r="AA13" i="123"/>
  <c r="AB13" i="123" s="1"/>
  <c r="I13" i="123" s="1"/>
  <c r="AA14" i="123"/>
  <c r="AB14" i="123" s="1"/>
  <c r="I14" i="123" s="1"/>
  <c r="AA15" i="123"/>
  <c r="AB15" i="123" s="1"/>
  <c r="I15" i="123" s="1"/>
  <c r="AA16" i="123"/>
  <c r="AB16" i="123" s="1"/>
  <c r="I16" i="123" s="1"/>
  <c r="AA17" i="123"/>
  <c r="AB17" i="123" s="1"/>
  <c r="I17" i="123" s="1"/>
  <c r="AA18" i="123"/>
  <c r="AB18" i="123" s="1"/>
  <c r="I18" i="123" s="1"/>
  <c r="AA19" i="123"/>
  <c r="AB19" i="123" s="1"/>
  <c r="I19" i="123" s="1"/>
  <c r="AA20" i="123"/>
  <c r="AB20" i="123" s="1"/>
  <c r="I20" i="123" s="1"/>
  <c r="AA21" i="123"/>
  <c r="AB21" i="123" s="1"/>
  <c r="I21" i="123" s="1"/>
  <c r="AA22" i="123"/>
  <c r="AB22" i="123" s="1"/>
  <c r="I22" i="123" s="1"/>
  <c r="AA23" i="123"/>
  <c r="AB23" i="123" s="1"/>
  <c r="I23" i="123" s="1"/>
  <c r="AA24" i="123"/>
  <c r="AB24" i="123" s="1"/>
  <c r="I24" i="123" s="1"/>
  <c r="AA25" i="123"/>
  <c r="AB25" i="123" s="1"/>
  <c r="I25" i="123" s="1"/>
  <c r="AA26" i="123"/>
  <c r="AB26" i="123" s="1"/>
  <c r="I26" i="123" s="1"/>
  <c r="AA27" i="123"/>
  <c r="AB27" i="123" s="1"/>
  <c r="I27" i="123" s="1"/>
  <c r="AA28" i="123"/>
  <c r="AB28" i="123" s="1"/>
  <c r="I28" i="123" s="1"/>
  <c r="AA29" i="123"/>
  <c r="AB29" i="123" s="1"/>
  <c r="I29" i="123" s="1"/>
  <c r="AA30" i="123"/>
  <c r="AB30" i="123" s="1"/>
  <c r="I30" i="123" s="1"/>
  <c r="AA31" i="123"/>
  <c r="AB31" i="123" s="1"/>
  <c r="I31" i="123" s="1"/>
  <c r="AA32" i="123"/>
  <c r="AB32" i="123" s="1"/>
  <c r="I32" i="123" s="1"/>
  <c r="AA33" i="123"/>
  <c r="AB33" i="123" s="1"/>
  <c r="I33" i="123" s="1"/>
  <c r="AA34" i="123"/>
  <c r="AB34" i="123" s="1"/>
  <c r="I34" i="123" s="1"/>
  <c r="AA35" i="123"/>
  <c r="AB35" i="123" s="1"/>
  <c r="I35" i="123" s="1"/>
  <c r="AA36" i="123"/>
  <c r="AB36" i="123" s="1"/>
  <c r="I36" i="123" s="1"/>
  <c r="AA37" i="123"/>
  <c r="AB37" i="123" s="1"/>
  <c r="I37" i="123" s="1"/>
  <c r="AA38" i="123"/>
  <c r="AB38" i="123" s="1"/>
  <c r="I38" i="123" s="1"/>
  <c r="AA39" i="123"/>
  <c r="AB39" i="123" s="1"/>
  <c r="I39" i="123" s="1"/>
  <c r="AA40" i="123"/>
  <c r="AB40" i="123" s="1"/>
  <c r="I40" i="123" s="1"/>
  <c r="AA41" i="123"/>
  <c r="AB41" i="123" s="1"/>
  <c r="I41" i="123" s="1"/>
  <c r="AA42" i="123"/>
  <c r="AB42" i="123" s="1"/>
  <c r="I42" i="123" s="1"/>
  <c r="AA43" i="123"/>
  <c r="AB43" i="123" s="1"/>
  <c r="I43" i="123" s="1"/>
  <c r="AA44" i="123"/>
  <c r="AB44" i="123" s="1"/>
  <c r="I44" i="123" s="1"/>
  <c r="AA45" i="123"/>
  <c r="AB45" i="123" s="1"/>
  <c r="I45" i="123" s="1"/>
  <c r="AA46" i="123"/>
  <c r="AB46" i="123" s="1"/>
  <c r="I46" i="123" s="1"/>
  <c r="AA47" i="123"/>
  <c r="AB47" i="123" s="1"/>
  <c r="I47" i="123" s="1"/>
  <c r="AA48" i="123"/>
  <c r="AB48" i="123" s="1"/>
  <c r="I48" i="123" s="1"/>
  <c r="AA49" i="123"/>
  <c r="AB49" i="123" s="1"/>
  <c r="I49" i="123" s="1"/>
  <c r="AA50" i="123"/>
  <c r="AB50" i="123" s="1"/>
  <c r="I50" i="123" s="1"/>
  <c r="AA51" i="123"/>
  <c r="AB51" i="123" s="1"/>
  <c r="I51" i="123" s="1"/>
  <c r="AA52" i="123"/>
  <c r="AB52" i="123" s="1"/>
  <c r="I52" i="123" s="1"/>
  <c r="AA53" i="123"/>
  <c r="AB53" i="123" s="1"/>
  <c r="I53" i="123" s="1"/>
  <c r="AA54" i="123"/>
  <c r="AB54" i="123" s="1"/>
  <c r="I54" i="123" s="1"/>
  <c r="AA55" i="123"/>
  <c r="AB55" i="123" s="1"/>
  <c r="I55" i="123" s="1"/>
  <c r="AA56" i="123"/>
  <c r="AB56" i="123" s="1"/>
  <c r="I56" i="123" s="1"/>
  <c r="AA57" i="123"/>
  <c r="AB57" i="123" s="1"/>
  <c r="I57" i="123" s="1"/>
  <c r="AA58" i="123"/>
  <c r="AB58" i="123" s="1"/>
  <c r="I58" i="123" s="1"/>
  <c r="AA59" i="123"/>
  <c r="AB59" i="123" s="1"/>
  <c r="I59" i="123" s="1"/>
  <c r="AA60" i="123"/>
  <c r="AB60" i="123" s="1"/>
  <c r="I60" i="123" s="1"/>
  <c r="AA61" i="123"/>
  <c r="AB61" i="123" s="1"/>
  <c r="I61" i="123" s="1"/>
  <c r="AA62" i="123"/>
  <c r="AB62" i="123" s="1"/>
  <c r="I62" i="123" s="1"/>
  <c r="AA63" i="123"/>
  <c r="AB63" i="123" s="1"/>
  <c r="I63" i="123" s="1"/>
  <c r="AA64" i="123"/>
  <c r="AB64" i="123" s="1"/>
  <c r="I64" i="123" s="1"/>
  <c r="AA65" i="123"/>
  <c r="AB65" i="123" s="1"/>
  <c r="I65" i="123" s="1"/>
  <c r="AA66" i="123"/>
  <c r="AB66" i="123" s="1"/>
  <c r="I66" i="123" s="1"/>
  <c r="AA67" i="123"/>
  <c r="AB67" i="123" s="1"/>
  <c r="I67" i="123" s="1"/>
  <c r="AA68" i="123"/>
  <c r="AB68" i="123" s="1"/>
  <c r="I68" i="123" s="1"/>
  <c r="AA69" i="123"/>
  <c r="AB69" i="123" s="1"/>
  <c r="I69" i="123" s="1"/>
  <c r="AA70" i="123"/>
  <c r="AB70" i="123" s="1"/>
  <c r="I70" i="123" s="1"/>
  <c r="AA71" i="123"/>
  <c r="AB71" i="123" s="1"/>
  <c r="I71" i="123" s="1"/>
  <c r="AA72" i="123"/>
  <c r="AB72" i="123" s="1"/>
  <c r="I72" i="123" s="1"/>
  <c r="AA73" i="123"/>
  <c r="AB73" i="123" s="1"/>
  <c r="I73" i="123" s="1"/>
  <c r="AA74" i="123"/>
  <c r="AB74" i="123" s="1"/>
  <c r="I74" i="123" s="1"/>
  <c r="AA75" i="123"/>
  <c r="AB75" i="123" s="1"/>
  <c r="I75" i="123" s="1"/>
  <c r="AA76" i="123"/>
  <c r="AB76" i="123" s="1"/>
  <c r="I76" i="123" s="1"/>
  <c r="AA77" i="123"/>
  <c r="AB77" i="123" s="1"/>
  <c r="I77" i="123" s="1"/>
  <c r="AA78" i="123"/>
  <c r="AB78" i="123" s="1"/>
  <c r="I78" i="123" s="1"/>
  <c r="AA79" i="123"/>
  <c r="AB79" i="123" s="1"/>
  <c r="I79" i="123" s="1"/>
  <c r="AA80" i="123"/>
  <c r="AB80" i="123" s="1"/>
  <c r="I80" i="123" s="1"/>
  <c r="AA81" i="123"/>
  <c r="AB81" i="123" s="1"/>
  <c r="I81" i="123" s="1"/>
  <c r="AA82" i="123"/>
  <c r="AB82" i="123" s="1"/>
  <c r="I82" i="123" s="1"/>
  <c r="AA83" i="123"/>
  <c r="AB83" i="123" s="1"/>
  <c r="I83" i="123" s="1"/>
  <c r="AA84" i="123"/>
  <c r="AB84" i="123" s="1"/>
  <c r="I84" i="123" s="1"/>
  <c r="AA85" i="123"/>
  <c r="AB85" i="123" s="1"/>
  <c r="I85" i="123" s="1"/>
  <c r="AA86" i="123"/>
  <c r="AB86" i="123" s="1"/>
  <c r="I86" i="123" s="1"/>
  <c r="AA87" i="123"/>
  <c r="AB87" i="123" s="1"/>
  <c r="I87" i="123" s="1"/>
  <c r="AA88" i="123"/>
  <c r="AB88" i="123" s="1"/>
  <c r="I88" i="123" s="1"/>
  <c r="AA89" i="123"/>
  <c r="AB89" i="123" s="1"/>
  <c r="I89" i="123" s="1"/>
  <c r="AA90" i="123"/>
  <c r="AB90" i="123" s="1"/>
  <c r="I90" i="123" s="1"/>
  <c r="AA91" i="123"/>
  <c r="AB91" i="123" s="1"/>
  <c r="I91" i="123" s="1"/>
  <c r="AA92" i="123"/>
  <c r="AB92" i="123" s="1"/>
  <c r="I92" i="123" s="1"/>
  <c r="AA93" i="123"/>
  <c r="AB93" i="123" s="1"/>
  <c r="I93" i="123" s="1"/>
  <c r="AA94" i="123"/>
  <c r="AB94" i="123" s="1"/>
  <c r="I94" i="123" s="1"/>
  <c r="AA95" i="123"/>
  <c r="AB95" i="123" s="1"/>
  <c r="I95" i="123" s="1"/>
  <c r="AA96" i="123"/>
  <c r="AB96" i="123" s="1"/>
  <c r="I96" i="123" s="1"/>
  <c r="AA97" i="123"/>
  <c r="AB97" i="123" s="1"/>
  <c r="I97" i="123" s="1"/>
  <c r="AA98" i="123"/>
  <c r="AB98" i="123" s="1"/>
  <c r="I98" i="123" s="1"/>
  <c r="AA99" i="123"/>
  <c r="AB99" i="123" s="1"/>
  <c r="I99" i="123" s="1"/>
  <c r="AA100" i="123"/>
  <c r="AB100" i="123" s="1"/>
  <c r="I100" i="123" s="1"/>
  <c r="AA101" i="123"/>
  <c r="AB101" i="123" s="1"/>
  <c r="I101" i="123" s="1"/>
  <c r="AA102" i="123"/>
  <c r="AB102" i="123" s="1"/>
  <c r="I102" i="123" s="1"/>
  <c r="AA103" i="123"/>
  <c r="AB103" i="123" s="1"/>
  <c r="I103" i="123" s="1"/>
  <c r="AA104" i="123"/>
  <c r="AB104" i="123" s="1"/>
  <c r="I104" i="123" s="1"/>
  <c r="AA105" i="123"/>
  <c r="AB105" i="123" s="1"/>
  <c r="I105" i="123" s="1"/>
  <c r="AA106" i="123"/>
  <c r="AB106" i="123" s="1"/>
  <c r="I106" i="123" s="1"/>
  <c r="AA107" i="123"/>
  <c r="AB107" i="123" s="1"/>
  <c r="I107" i="123" s="1"/>
  <c r="AA108" i="123"/>
  <c r="AB108" i="123" s="1"/>
  <c r="I108" i="123" s="1"/>
  <c r="AA109" i="123"/>
  <c r="AB109" i="123" s="1"/>
  <c r="I109" i="123" s="1"/>
  <c r="AA110" i="123"/>
  <c r="AB110" i="123" s="1"/>
  <c r="I110" i="123" s="1"/>
  <c r="AA111" i="123"/>
  <c r="AB111" i="123" s="1"/>
  <c r="I111" i="123" s="1"/>
  <c r="AA112" i="123"/>
  <c r="AB112" i="123" s="1"/>
  <c r="I112" i="123" s="1"/>
  <c r="AA113" i="123"/>
  <c r="AB113" i="123" s="1"/>
  <c r="I113" i="123" s="1"/>
  <c r="AA114" i="123"/>
  <c r="AB114" i="123" s="1"/>
  <c r="I114" i="123" s="1"/>
  <c r="AA115" i="123"/>
  <c r="AB115" i="123" s="1"/>
  <c r="I115" i="123" s="1"/>
  <c r="AA116" i="123"/>
  <c r="AB116" i="123" s="1"/>
  <c r="I116" i="123" s="1"/>
  <c r="AA117" i="123"/>
  <c r="AB117" i="123" s="1"/>
  <c r="I117" i="123" s="1"/>
  <c r="AA118" i="123"/>
  <c r="AB118" i="123" s="1"/>
  <c r="I118" i="123" s="1"/>
  <c r="AA119" i="123"/>
  <c r="AB119" i="123" s="1"/>
  <c r="I119" i="123" s="1"/>
  <c r="AA120" i="123"/>
  <c r="AB120" i="123" s="1"/>
  <c r="I120" i="123" s="1"/>
  <c r="AA121" i="123"/>
  <c r="AB121" i="123" s="1"/>
  <c r="I121" i="123" s="1"/>
  <c r="AA122" i="123"/>
  <c r="AB122" i="123" s="1"/>
  <c r="I122" i="123" s="1"/>
  <c r="AA123" i="123"/>
  <c r="AB123" i="123" s="1"/>
  <c r="I123" i="123" s="1"/>
  <c r="AA124" i="123"/>
  <c r="AB124" i="123" s="1"/>
  <c r="I124" i="123" s="1"/>
  <c r="AA125" i="123"/>
  <c r="AB125" i="123" s="1"/>
  <c r="I125" i="123" s="1"/>
  <c r="AA126" i="123"/>
  <c r="AB126" i="123" s="1"/>
  <c r="I126" i="123" s="1"/>
  <c r="AA127" i="123"/>
  <c r="AB127" i="123" s="1"/>
  <c r="I127" i="123" s="1"/>
  <c r="AA128" i="123"/>
  <c r="AB128" i="123" s="1"/>
  <c r="I128" i="123" s="1"/>
  <c r="AA129" i="123"/>
  <c r="AB129" i="123" s="1"/>
  <c r="I129" i="123" s="1"/>
  <c r="AA130" i="123"/>
  <c r="AB130" i="123" s="1"/>
  <c r="I130" i="123" s="1"/>
  <c r="AA131" i="123"/>
  <c r="AB131" i="123" s="1"/>
  <c r="I131" i="123" s="1"/>
  <c r="AA132" i="123"/>
  <c r="AB132" i="123" s="1"/>
  <c r="I132" i="123" s="1"/>
  <c r="AA133" i="123"/>
  <c r="AB133" i="123" s="1"/>
  <c r="I133" i="123" s="1"/>
  <c r="AA134" i="123"/>
  <c r="AB134" i="123" s="1"/>
  <c r="I134" i="123" s="1"/>
  <c r="AA135" i="123"/>
  <c r="AB135" i="123" s="1"/>
  <c r="I135" i="123" s="1"/>
  <c r="AA136" i="123"/>
  <c r="AB136" i="123" s="1"/>
  <c r="I136" i="123" s="1"/>
  <c r="AA137" i="123"/>
  <c r="AB137" i="123" s="1"/>
  <c r="I137" i="123" s="1"/>
  <c r="AA138" i="123"/>
  <c r="AB138" i="123" s="1"/>
  <c r="I138" i="123" s="1"/>
  <c r="AA139" i="123"/>
  <c r="AB139" i="123" s="1"/>
  <c r="I139" i="123" s="1"/>
  <c r="AA140" i="123"/>
  <c r="AB140" i="123" s="1"/>
  <c r="I140" i="123" s="1"/>
  <c r="AA141" i="123"/>
  <c r="AB141" i="123" s="1"/>
  <c r="I141" i="123" s="1"/>
  <c r="AA142" i="123"/>
  <c r="AB142" i="123" s="1"/>
  <c r="I142" i="123" s="1"/>
  <c r="AA143" i="123"/>
  <c r="AB143" i="123" s="1"/>
  <c r="I143" i="123" s="1"/>
  <c r="AA144" i="123"/>
  <c r="AB144" i="123" s="1"/>
  <c r="I144" i="123" s="1"/>
  <c r="AA145" i="123"/>
  <c r="AB145" i="123" s="1"/>
  <c r="I145" i="123" s="1"/>
  <c r="AA146" i="123"/>
  <c r="AB146" i="123" s="1"/>
  <c r="I146" i="123" s="1"/>
  <c r="AA147" i="123"/>
  <c r="AB147" i="123" s="1"/>
  <c r="I147" i="123" s="1"/>
  <c r="AA148" i="123"/>
  <c r="AB148" i="123" s="1"/>
  <c r="I148" i="123" s="1"/>
  <c r="AB3" i="123"/>
  <c r="I3" i="123" s="1"/>
  <c r="U3" i="123"/>
  <c r="T3" i="123"/>
  <c r="AG4" i="128"/>
  <c r="AG5" i="128"/>
  <c r="AG6" i="128"/>
  <c r="AG7" i="128"/>
  <c r="AG8" i="128"/>
  <c r="AG9" i="128"/>
  <c r="AG10" i="128"/>
  <c r="AG11" i="128"/>
  <c r="AG12" i="128"/>
  <c r="AG13" i="128"/>
  <c r="AG14" i="128"/>
  <c r="AG15" i="128"/>
  <c r="AG16" i="128"/>
  <c r="AG17" i="128"/>
  <c r="AG18" i="128"/>
  <c r="AG19" i="128"/>
  <c r="AG3" i="128"/>
  <c r="AC4" i="128"/>
  <c r="AD4" i="128"/>
  <c r="AE4" i="128"/>
  <c r="AC5" i="128"/>
  <c r="AD5" i="128"/>
  <c r="AE5" i="128"/>
  <c r="AC6" i="128"/>
  <c r="AD6" i="128"/>
  <c r="AE6" i="128"/>
  <c r="AC7" i="128"/>
  <c r="AD7" i="128"/>
  <c r="AE7" i="128"/>
  <c r="AC8" i="128"/>
  <c r="AD8" i="128"/>
  <c r="AE8" i="128"/>
  <c r="AC9" i="128"/>
  <c r="AD9" i="128"/>
  <c r="AE9" i="128"/>
  <c r="AC10" i="128"/>
  <c r="AD10" i="128"/>
  <c r="AE10" i="128"/>
  <c r="AE3" i="128"/>
  <c r="AD3" i="128"/>
  <c r="AC3" i="128"/>
  <c r="X19" i="128"/>
  <c r="AE19" i="128" s="1"/>
  <c r="V19" i="128"/>
  <c r="AC19" i="128" s="1"/>
  <c r="W19" i="128"/>
  <c r="AD19" i="128" s="1"/>
  <c r="X18" i="128"/>
  <c r="AE18" i="128" s="1"/>
  <c r="W18" i="128"/>
  <c r="AD18" i="128" s="1"/>
  <c r="V18" i="128"/>
  <c r="AC18" i="128" s="1"/>
  <c r="X17" i="128"/>
  <c r="AE17" i="128" s="1"/>
  <c r="W17" i="128"/>
  <c r="AD17" i="128" s="1"/>
  <c r="V17" i="128"/>
  <c r="AC17" i="128" s="1"/>
  <c r="X16" i="128"/>
  <c r="AE16" i="128" s="1"/>
  <c r="W16" i="128"/>
  <c r="AD16" i="128" s="1"/>
  <c r="V16" i="128"/>
  <c r="AC16" i="128" s="1"/>
  <c r="W15" i="128"/>
  <c r="AD15" i="128" s="1"/>
  <c r="V15" i="128"/>
  <c r="AC15" i="128" s="1"/>
  <c r="X15" i="128"/>
  <c r="AE15" i="128" s="1"/>
  <c r="W14" i="128"/>
  <c r="AD14" i="128" s="1"/>
  <c r="V14" i="128"/>
  <c r="AC14" i="128" s="1"/>
  <c r="X14" i="128"/>
  <c r="AE14" i="128" s="1"/>
  <c r="X13" i="128"/>
  <c r="AE13" i="128" s="1"/>
  <c r="W13" i="128"/>
  <c r="AD13" i="128" s="1"/>
  <c r="V13" i="128"/>
  <c r="AC13" i="128" s="1"/>
  <c r="X12" i="128"/>
  <c r="AE12" i="128" s="1"/>
  <c r="V12" i="128"/>
  <c r="AC12" i="128" s="1"/>
  <c r="W12" i="128"/>
  <c r="AD12" i="128" s="1"/>
  <c r="X11" i="128"/>
  <c r="AE11" i="128" s="1"/>
  <c r="W11" i="128"/>
  <c r="AD11" i="128" s="1"/>
  <c r="V11" i="128"/>
  <c r="AC11" i="128" s="1"/>
  <c r="U12" i="127"/>
  <c r="U71" i="123"/>
  <c r="T21" i="123"/>
  <c r="U21" i="123"/>
  <c r="S10" i="123"/>
  <c r="AA5" i="127"/>
  <c r="AA6" i="127"/>
  <c r="AA7" i="127"/>
  <c r="AA10" i="127"/>
  <c r="AA12" i="127"/>
  <c r="AA13" i="127"/>
  <c r="AA14" i="127"/>
  <c r="AA18" i="127"/>
  <c r="V4" i="127"/>
  <c r="W4" i="127"/>
  <c r="V5" i="127"/>
  <c r="W5" i="127"/>
  <c r="V6" i="127"/>
  <c r="W6" i="127"/>
  <c r="V7" i="127"/>
  <c r="W7" i="127"/>
  <c r="U7" i="127"/>
  <c r="V8" i="127"/>
  <c r="W8" i="127"/>
  <c r="V9" i="127"/>
  <c r="W9" i="127"/>
  <c r="V10" i="127"/>
  <c r="W10" i="127"/>
  <c r="V11" i="127"/>
  <c r="W11" i="127"/>
  <c r="V12" i="127"/>
  <c r="W12" i="127"/>
  <c r="V13" i="127"/>
  <c r="W13" i="127"/>
  <c r="V15" i="127"/>
  <c r="W15" i="127"/>
  <c r="V16" i="127"/>
  <c r="W16" i="127"/>
  <c r="V17" i="127"/>
  <c r="W17" i="127"/>
  <c r="V18" i="127"/>
  <c r="W18" i="127"/>
  <c r="U5" i="127"/>
  <c r="U6" i="127"/>
  <c r="AA8" i="127"/>
  <c r="AA9" i="127"/>
  <c r="AA16" i="127"/>
  <c r="AA17" i="127"/>
  <c r="U3" i="127"/>
  <c r="W3" i="127"/>
  <c r="V3" i="127"/>
  <c r="Q14" i="127"/>
  <c r="X14" i="127" s="1"/>
  <c r="P14" i="127"/>
  <c r="W14" i="127" s="1"/>
  <c r="O14" i="127"/>
  <c r="AO3" i="127" l="1"/>
  <c r="AS3" i="127" s="1"/>
  <c r="AN3" i="127"/>
  <c r="AR3" i="127" s="1"/>
  <c r="AM3" i="127"/>
  <c r="AQ3" i="127" s="1"/>
  <c r="AL3" i="127"/>
  <c r="AP3" i="127" s="1"/>
  <c r="AT3" i="127" s="1"/>
  <c r="Y10" i="127"/>
  <c r="Z10" i="127" s="1"/>
  <c r="AF5" i="128"/>
  <c r="AF10" i="128"/>
  <c r="G19" i="127"/>
  <c r="AF13" i="128"/>
  <c r="AF14" i="128"/>
  <c r="AF4" i="128"/>
  <c r="AF12" i="128"/>
  <c r="AF7" i="128"/>
  <c r="AF8" i="128"/>
  <c r="AF3" i="128"/>
  <c r="AF16" i="128"/>
  <c r="AF19" i="128"/>
  <c r="AF11" i="128"/>
  <c r="AF9" i="128"/>
  <c r="AF6" i="128"/>
  <c r="Y4" i="127"/>
  <c r="Z4" i="127" s="1"/>
  <c r="Y11" i="127"/>
  <c r="Z11" i="127" s="1"/>
  <c r="Y7" i="127"/>
  <c r="Z7" i="127" s="1"/>
  <c r="AC14" i="127"/>
  <c r="AD14" i="127" s="1"/>
  <c r="I14" i="127" s="1"/>
  <c r="Y5" i="127"/>
  <c r="Z5" i="127" s="1"/>
  <c r="U14" i="127"/>
  <c r="Y15" i="127"/>
  <c r="Z15" i="127" s="1"/>
  <c r="Y18" i="127"/>
  <c r="Z18" i="127" s="1"/>
  <c r="U15" i="127"/>
  <c r="U4" i="127"/>
  <c r="Y13" i="127"/>
  <c r="Z13" i="127" s="1"/>
  <c r="V14" i="127"/>
  <c r="Y14" i="127" s="1"/>
  <c r="Z14" i="127" s="1"/>
  <c r="U13" i="127"/>
  <c r="U10" i="127"/>
  <c r="Y3" i="127"/>
  <c r="Z3" i="127" s="1"/>
  <c r="Y6" i="127"/>
  <c r="Z6" i="127" s="1"/>
  <c r="U18" i="127"/>
  <c r="W3" i="123"/>
  <c r="AB149" i="123"/>
  <c r="AB150" i="123" s="1"/>
  <c r="AF15" i="128"/>
  <c r="AF18" i="128"/>
  <c r="AF17" i="128"/>
  <c r="Y12" i="127"/>
  <c r="Z12" i="127" s="1"/>
  <c r="U11" i="127"/>
  <c r="AA15" i="127"/>
  <c r="AA11" i="127"/>
  <c r="Y9" i="127"/>
  <c r="Z9" i="127" s="1"/>
  <c r="AA4" i="127"/>
  <c r="AA3" i="127"/>
  <c r="X3" i="123" l="1"/>
  <c r="AO3" i="123"/>
  <c r="Z3" i="123"/>
  <c r="AE3" i="123" s="1"/>
  <c r="AP3" i="123"/>
  <c r="AQ3" i="123"/>
  <c r="AN3" i="123"/>
  <c r="AD19" i="127"/>
  <c r="I19" i="127" s="1"/>
  <c r="AB3" i="127"/>
  <c r="Y8" i="127"/>
  <c r="Z8" i="127" s="1"/>
  <c r="U8" i="127"/>
  <c r="Y16" i="127"/>
  <c r="Z16" i="127" s="1"/>
  <c r="U16" i="127"/>
  <c r="Y17" i="127"/>
  <c r="Z17" i="127" s="1"/>
  <c r="U17" i="127"/>
  <c r="AR3" i="123" l="1"/>
  <c r="AF3" i="127"/>
  <c r="AJ3" i="127"/>
  <c r="AI3" i="127"/>
  <c r="AH3" i="127"/>
  <c r="AG3" i="127"/>
  <c r="AF3" i="123"/>
  <c r="AH3" i="123"/>
  <c r="AG3" i="123"/>
  <c r="AD3" i="123"/>
  <c r="U146" i="123"/>
  <c r="U67" i="123"/>
  <c r="T67" i="123"/>
  <c r="U54" i="123"/>
  <c r="T54" i="123"/>
  <c r="U24" i="123"/>
  <c r="T24" i="123"/>
  <c r="T145" i="123"/>
  <c r="T137" i="123"/>
  <c r="T136" i="123"/>
  <c r="T117" i="123"/>
  <c r="T101" i="123"/>
  <c r="T18" i="123"/>
  <c r="Y4" i="123"/>
  <c r="Y5" i="123"/>
  <c r="Y6" i="123"/>
  <c r="S7" i="123"/>
  <c r="Y8" i="123"/>
  <c r="S9" i="123"/>
  <c r="S11" i="123"/>
  <c r="Y12" i="123"/>
  <c r="Y13" i="123"/>
  <c r="Y14" i="123"/>
  <c r="S15" i="123"/>
  <c r="Y16" i="123"/>
  <c r="Y17" i="123"/>
  <c r="S18" i="123"/>
  <c r="S19" i="123"/>
  <c r="Y20" i="123"/>
  <c r="Y21" i="123"/>
  <c r="Y22" i="123"/>
  <c r="S23" i="123"/>
  <c r="Y24" i="123"/>
  <c r="Y25" i="123"/>
  <c r="S26" i="123"/>
  <c r="S27" i="123"/>
  <c r="Y28" i="123"/>
  <c r="Y29" i="123"/>
  <c r="Y30" i="123"/>
  <c r="S31" i="123"/>
  <c r="Y32" i="123"/>
  <c r="Y33" i="123"/>
  <c r="S34" i="123"/>
  <c r="S35" i="123"/>
  <c r="Y36" i="123"/>
  <c r="S37" i="123"/>
  <c r="Y38" i="123"/>
  <c r="S39" i="123"/>
  <c r="Y40" i="123"/>
  <c r="S41" i="123"/>
  <c r="S42" i="123"/>
  <c r="S43" i="123"/>
  <c r="Y44" i="123"/>
  <c r="Y45" i="123"/>
  <c r="Y46" i="123"/>
  <c r="Y47" i="123"/>
  <c r="Y48" i="123"/>
  <c r="Y49" i="123"/>
  <c r="S50" i="123"/>
  <c r="S51" i="123"/>
  <c r="Y52" i="123"/>
  <c r="Y53" i="123"/>
  <c r="Y54" i="123"/>
  <c r="S55" i="123"/>
  <c r="Y56" i="123"/>
  <c r="Y57" i="123"/>
  <c r="S58" i="123"/>
  <c r="S59" i="123"/>
  <c r="Y60" i="123"/>
  <c r="Y61" i="123"/>
  <c r="Y62" i="123"/>
  <c r="S63" i="123"/>
  <c r="Y64" i="123"/>
  <c r="Y65" i="123"/>
  <c r="S66" i="123"/>
  <c r="S67" i="123"/>
  <c r="Y68" i="123"/>
  <c r="Y69" i="123"/>
  <c r="Y70" i="123"/>
  <c r="S71" i="123"/>
  <c r="Y72" i="123"/>
  <c r="S73" i="123"/>
  <c r="S74" i="123"/>
  <c r="S75" i="123"/>
  <c r="S76" i="123"/>
  <c r="Y77" i="123"/>
  <c r="S78" i="123"/>
  <c r="S79" i="123"/>
  <c r="Y80" i="123"/>
  <c r="Y81" i="123"/>
  <c r="S82" i="123"/>
  <c r="S83" i="123"/>
  <c r="Y84" i="123"/>
  <c r="Y85" i="123"/>
  <c r="Y86" i="123"/>
  <c r="S87" i="123"/>
  <c r="Y88" i="123"/>
  <c r="Y89" i="123"/>
  <c r="S90" i="123"/>
  <c r="S91" i="123"/>
  <c r="Y92" i="123"/>
  <c r="Y93" i="123"/>
  <c r="Y94" i="123"/>
  <c r="S95" i="123"/>
  <c r="Y96" i="123"/>
  <c r="Y97" i="123"/>
  <c r="S98" i="123"/>
  <c r="S99" i="123"/>
  <c r="Y100" i="123"/>
  <c r="Y101" i="123"/>
  <c r="Y102" i="123"/>
  <c r="S103" i="123"/>
  <c r="Y104" i="123"/>
  <c r="S105" i="123"/>
  <c r="S106" i="123"/>
  <c r="S107" i="123"/>
  <c r="Y108" i="123"/>
  <c r="Y109" i="123"/>
  <c r="S110" i="123"/>
  <c r="S111" i="123"/>
  <c r="Y112" i="123"/>
  <c r="Y113" i="123"/>
  <c r="S114" i="123"/>
  <c r="S115" i="123"/>
  <c r="Y116" i="123"/>
  <c r="Y117" i="123"/>
  <c r="Y118" i="123"/>
  <c r="Y119" i="123"/>
  <c r="Y120" i="123"/>
  <c r="Y121" i="123"/>
  <c r="S122" i="123"/>
  <c r="S123" i="123"/>
  <c r="Y124" i="123"/>
  <c r="Y125" i="123"/>
  <c r="Y126" i="123"/>
  <c r="S127" i="123"/>
  <c r="Y128" i="123"/>
  <c r="S129" i="123"/>
  <c r="S130" i="123"/>
  <c r="S131" i="123"/>
  <c r="Y132" i="123"/>
  <c r="Y133" i="123"/>
  <c r="Y134" i="123"/>
  <c r="S135" i="123"/>
  <c r="Y136" i="123"/>
  <c r="S137" i="123"/>
  <c r="S138" i="123"/>
  <c r="S139" i="123"/>
  <c r="Y140" i="123"/>
  <c r="Y141" i="123"/>
  <c r="S142" i="123"/>
  <c r="S143" i="123"/>
  <c r="Y144" i="123"/>
  <c r="Y145" i="123"/>
  <c r="S146" i="123"/>
  <c r="S147" i="123"/>
  <c r="Y148" i="123"/>
  <c r="T4" i="123"/>
  <c r="U4" i="123"/>
  <c r="T5" i="123"/>
  <c r="U5" i="123"/>
  <c r="T6" i="123"/>
  <c r="U6" i="123"/>
  <c r="T7" i="123"/>
  <c r="U7" i="123"/>
  <c r="T8" i="123"/>
  <c r="U8" i="123"/>
  <c r="T9" i="123"/>
  <c r="U9" i="123"/>
  <c r="T10" i="123"/>
  <c r="U10" i="123"/>
  <c r="T11" i="123"/>
  <c r="U11" i="123"/>
  <c r="T13" i="123"/>
  <c r="U13" i="123"/>
  <c r="T14" i="123"/>
  <c r="U14" i="123"/>
  <c r="T15" i="123"/>
  <c r="U15" i="123"/>
  <c r="T16" i="123"/>
  <c r="U16" i="123"/>
  <c r="T17" i="123"/>
  <c r="U17" i="123"/>
  <c r="U18" i="123"/>
  <c r="T19" i="123"/>
  <c r="U19" i="123"/>
  <c r="T20" i="123"/>
  <c r="U20" i="123"/>
  <c r="T22" i="123"/>
  <c r="U22" i="123"/>
  <c r="T23" i="123"/>
  <c r="U23" i="123"/>
  <c r="T25" i="123"/>
  <c r="U25" i="123"/>
  <c r="T26" i="123"/>
  <c r="U26" i="123"/>
  <c r="T27" i="123"/>
  <c r="U27" i="123"/>
  <c r="T28" i="123"/>
  <c r="U28" i="123"/>
  <c r="T29" i="123"/>
  <c r="U29" i="123"/>
  <c r="T30" i="123"/>
  <c r="U30" i="123"/>
  <c r="T31" i="123"/>
  <c r="U31" i="123"/>
  <c r="T32" i="123"/>
  <c r="U32" i="123"/>
  <c r="T33" i="123"/>
  <c r="U33" i="123"/>
  <c r="T34" i="123"/>
  <c r="U34" i="123"/>
  <c r="T35" i="123"/>
  <c r="U35" i="123"/>
  <c r="T36" i="123"/>
  <c r="U36" i="123"/>
  <c r="T37" i="123"/>
  <c r="U37" i="123"/>
  <c r="T38" i="123"/>
  <c r="U38" i="123"/>
  <c r="T39" i="123"/>
  <c r="U39" i="123"/>
  <c r="T40" i="123"/>
  <c r="U40" i="123"/>
  <c r="T41" i="123"/>
  <c r="U41" i="123"/>
  <c r="T42" i="123"/>
  <c r="U42" i="123"/>
  <c r="T43" i="123"/>
  <c r="U43" i="123"/>
  <c r="T44" i="123"/>
  <c r="U44" i="123"/>
  <c r="T45" i="123"/>
  <c r="U45" i="123"/>
  <c r="T46" i="123"/>
  <c r="U46" i="123"/>
  <c r="T47" i="123"/>
  <c r="U47" i="123"/>
  <c r="T48" i="123"/>
  <c r="U48" i="123"/>
  <c r="T49" i="123"/>
  <c r="U49" i="123"/>
  <c r="T50" i="123"/>
  <c r="U50" i="123"/>
  <c r="T51" i="123"/>
  <c r="U51" i="123"/>
  <c r="T52" i="123"/>
  <c r="U52" i="123"/>
  <c r="T53" i="123"/>
  <c r="U53" i="123"/>
  <c r="T55" i="123"/>
  <c r="U55" i="123"/>
  <c r="T56" i="123"/>
  <c r="U56" i="123"/>
  <c r="T57" i="123"/>
  <c r="U57" i="123"/>
  <c r="T58" i="123"/>
  <c r="U58" i="123"/>
  <c r="T59" i="123"/>
  <c r="U59" i="123"/>
  <c r="T60" i="123"/>
  <c r="U60" i="123"/>
  <c r="T61" i="123"/>
  <c r="U61" i="123"/>
  <c r="T62" i="123"/>
  <c r="U62" i="123"/>
  <c r="T63" i="123"/>
  <c r="U63" i="123"/>
  <c r="T64" i="123"/>
  <c r="U64" i="123"/>
  <c r="T65" i="123"/>
  <c r="U65" i="123"/>
  <c r="T66" i="123"/>
  <c r="U66" i="123"/>
  <c r="T68" i="123"/>
  <c r="U68" i="123"/>
  <c r="T69" i="123"/>
  <c r="U69" i="123"/>
  <c r="T70" i="123"/>
  <c r="U70" i="123"/>
  <c r="T71" i="123"/>
  <c r="T72" i="123"/>
  <c r="U72" i="123"/>
  <c r="T73" i="123"/>
  <c r="U73" i="123"/>
  <c r="T74" i="123"/>
  <c r="U74" i="123"/>
  <c r="T75" i="123"/>
  <c r="U75" i="123"/>
  <c r="T76" i="123"/>
  <c r="U76" i="123"/>
  <c r="T77" i="123"/>
  <c r="U77" i="123"/>
  <c r="T78" i="123"/>
  <c r="U78" i="123"/>
  <c r="T79" i="123"/>
  <c r="U79" i="123"/>
  <c r="T80" i="123"/>
  <c r="U80" i="123"/>
  <c r="T81" i="123"/>
  <c r="U81" i="123"/>
  <c r="T82" i="123"/>
  <c r="U82" i="123"/>
  <c r="T83" i="123"/>
  <c r="U83" i="123"/>
  <c r="T84" i="123"/>
  <c r="U84" i="123"/>
  <c r="T85" i="123"/>
  <c r="U85" i="123"/>
  <c r="T86" i="123"/>
  <c r="U86" i="123"/>
  <c r="T87" i="123"/>
  <c r="U87" i="123"/>
  <c r="T88" i="123"/>
  <c r="U88" i="123"/>
  <c r="T89" i="123"/>
  <c r="U89" i="123"/>
  <c r="T90" i="123"/>
  <c r="U90" i="123"/>
  <c r="T91" i="123"/>
  <c r="U91" i="123"/>
  <c r="T92" i="123"/>
  <c r="U92" i="123"/>
  <c r="T93" i="123"/>
  <c r="U93" i="123"/>
  <c r="T94" i="123"/>
  <c r="U94" i="123"/>
  <c r="T95" i="123"/>
  <c r="U95" i="123"/>
  <c r="T96" i="123"/>
  <c r="U96" i="123"/>
  <c r="T97" i="123"/>
  <c r="U97" i="123"/>
  <c r="T98" i="123"/>
  <c r="U98" i="123"/>
  <c r="T99" i="123"/>
  <c r="U99" i="123"/>
  <c r="T100" i="123"/>
  <c r="U100" i="123"/>
  <c r="U101" i="123"/>
  <c r="T102" i="123"/>
  <c r="U102" i="123"/>
  <c r="T103" i="123"/>
  <c r="U103" i="123"/>
  <c r="T104" i="123"/>
  <c r="U104" i="123"/>
  <c r="T105" i="123"/>
  <c r="U105" i="123"/>
  <c r="T106" i="123"/>
  <c r="U106" i="123"/>
  <c r="T107" i="123"/>
  <c r="U107" i="123"/>
  <c r="T108" i="123"/>
  <c r="U108" i="123"/>
  <c r="T109" i="123"/>
  <c r="U109" i="123"/>
  <c r="T110" i="123"/>
  <c r="U110" i="123"/>
  <c r="T111" i="123"/>
  <c r="U111" i="123"/>
  <c r="T112" i="123"/>
  <c r="U112" i="123"/>
  <c r="T113" i="123"/>
  <c r="U113" i="123"/>
  <c r="T114" i="123"/>
  <c r="U114" i="123"/>
  <c r="T115" i="123"/>
  <c r="U115" i="123"/>
  <c r="T116" i="123"/>
  <c r="U116" i="123"/>
  <c r="U117" i="123"/>
  <c r="T118" i="123"/>
  <c r="U118" i="123"/>
  <c r="T119" i="123"/>
  <c r="U119" i="123"/>
  <c r="T120" i="123"/>
  <c r="U120" i="123"/>
  <c r="T121" i="123"/>
  <c r="U121" i="123"/>
  <c r="T122" i="123"/>
  <c r="U122" i="123"/>
  <c r="T123" i="123"/>
  <c r="U123" i="123"/>
  <c r="T124" i="123"/>
  <c r="U124" i="123"/>
  <c r="T125" i="123"/>
  <c r="U125" i="123"/>
  <c r="T126" i="123"/>
  <c r="U126" i="123"/>
  <c r="T127" i="123"/>
  <c r="U127" i="123"/>
  <c r="T128" i="123"/>
  <c r="U128" i="123"/>
  <c r="T129" i="123"/>
  <c r="U129" i="123"/>
  <c r="T130" i="123"/>
  <c r="U130" i="123"/>
  <c r="T131" i="123"/>
  <c r="U131" i="123"/>
  <c r="T132" i="123"/>
  <c r="U132" i="123"/>
  <c r="T133" i="123"/>
  <c r="U133" i="123"/>
  <c r="T134" i="123"/>
  <c r="U134" i="123"/>
  <c r="T135" i="123"/>
  <c r="U135" i="123"/>
  <c r="U136" i="123"/>
  <c r="U137" i="123"/>
  <c r="T138" i="123"/>
  <c r="U138" i="123"/>
  <c r="T139" i="123"/>
  <c r="U139" i="123"/>
  <c r="T140" i="123"/>
  <c r="U140" i="123"/>
  <c r="T141" i="123"/>
  <c r="U141" i="123"/>
  <c r="T142" i="123"/>
  <c r="U142" i="123"/>
  <c r="T143" i="123"/>
  <c r="U143" i="123"/>
  <c r="T144" i="123"/>
  <c r="U144" i="123"/>
  <c r="U145" i="123"/>
  <c r="T146" i="123"/>
  <c r="T147" i="123"/>
  <c r="U147" i="123"/>
  <c r="T148" i="123"/>
  <c r="U148" i="123"/>
  <c r="AK3" i="127" l="1"/>
  <c r="AI3" i="123"/>
  <c r="W12" i="123"/>
  <c r="S5" i="123"/>
  <c r="Y114" i="123"/>
  <c r="Y91" i="123"/>
  <c r="Y139" i="123"/>
  <c r="Y76" i="123"/>
  <c r="Y115" i="123"/>
  <c r="Y55" i="123"/>
  <c r="W129" i="123"/>
  <c r="W41" i="123"/>
  <c r="Y103" i="123"/>
  <c r="Y51" i="123"/>
  <c r="Y147" i="123"/>
  <c r="W137" i="123"/>
  <c r="Y123" i="123"/>
  <c r="Y75" i="123"/>
  <c r="W18" i="123"/>
  <c r="Y137" i="123"/>
  <c r="Y122" i="123"/>
  <c r="Y26" i="123"/>
  <c r="Y110" i="123"/>
  <c r="Y146" i="123"/>
  <c r="Y135" i="123"/>
  <c r="Y105" i="123"/>
  <c r="Y67" i="123"/>
  <c r="Y50" i="123"/>
  <c r="W27" i="123"/>
  <c r="Y143" i="123"/>
  <c r="Y58" i="123"/>
  <c r="Y18" i="123"/>
  <c r="Y142" i="123"/>
  <c r="Y138" i="123"/>
  <c r="Y131" i="123"/>
  <c r="Y130" i="123"/>
  <c r="Y129" i="123"/>
  <c r="Y127" i="123"/>
  <c r="Y111" i="123"/>
  <c r="Y107" i="123"/>
  <c r="Y106" i="123"/>
  <c r="Y99" i="123"/>
  <c r="Y98" i="123"/>
  <c r="Y95" i="123"/>
  <c r="Y90" i="123"/>
  <c r="Y87" i="123"/>
  <c r="Y83" i="123"/>
  <c r="Y82" i="123"/>
  <c r="Y79" i="123"/>
  <c r="Y78" i="123"/>
  <c r="Y74" i="123"/>
  <c r="Y73" i="123"/>
  <c r="Y71" i="123"/>
  <c r="Y66" i="123"/>
  <c r="Y63" i="123"/>
  <c r="Y59" i="123"/>
  <c r="Y43" i="123"/>
  <c r="Y42" i="123"/>
  <c r="Y41" i="123"/>
  <c r="Y39" i="123"/>
  <c r="Y37" i="123"/>
  <c r="Y35" i="123"/>
  <c r="Y34" i="123"/>
  <c r="Y31" i="123"/>
  <c r="Y27" i="123"/>
  <c r="Y23" i="123"/>
  <c r="Y19" i="123"/>
  <c r="Y15" i="123"/>
  <c r="Y11" i="123"/>
  <c r="Y10" i="123"/>
  <c r="Y9" i="123"/>
  <c r="Y7" i="123"/>
  <c r="Y3" i="123"/>
  <c r="W105" i="123"/>
  <c r="W73" i="123"/>
  <c r="W9" i="123"/>
  <c r="W142" i="123"/>
  <c r="W110" i="123"/>
  <c r="W78" i="123"/>
  <c r="W76" i="123"/>
  <c r="W98" i="123"/>
  <c r="W59" i="123"/>
  <c r="W130" i="123"/>
  <c r="W147" i="123"/>
  <c r="W127" i="123"/>
  <c r="W122" i="123"/>
  <c r="W115" i="123"/>
  <c r="W95" i="123"/>
  <c r="W90" i="123"/>
  <c r="W83" i="123"/>
  <c r="W63" i="123"/>
  <c r="W58" i="123"/>
  <c r="W51" i="123"/>
  <c r="W31" i="123"/>
  <c r="W26" i="123"/>
  <c r="W19" i="123"/>
  <c r="W91" i="123"/>
  <c r="W71" i="123"/>
  <c r="W34" i="123"/>
  <c r="W7" i="123"/>
  <c r="W146" i="123"/>
  <c r="W139" i="123"/>
  <c r="W114" i="123"/>
  <c r="W107" i="123"/>
  <c r="W87" i="123"/>
  <c r="W82" i="123"/>
  <c r="W75" i="123"/>
  <c r="W55" i="123"/>
  <c r="W50" i="123"/>
  <c r="W43" i="123"/>
  <c r="W23" i="123"/>
  <c r="W11" i="123"/>
  <c r="W135" i="123"/>
  <c r="W143" i="123"/>
  <c r="W138" i="123"/>
  <c r="W131" i="123"/>
  <c r="W111" i="123"/>
  <c r="W106" i="123"/>
  <c r="W99" i="123"/>
  <c r="W79" i="123"/>
  <c r="W74" i="123"/>
  <c r="W67" i="123"/>
  <c r="W42" i="123"/>
  <c r="W35" i="123"/>
  <c r="W15" i="123"/>
  <c r="W10" i="123"/>
  <c r="W123" i="123"/>
  <c r="W103" i="123"/>
  <c r="W66" i="123"/>
  <c r="W39" i="123"/>
  <c r="W37" i="123"/>
  <c r="D34" i="108"/>
  <c r="D31" i="108"/>
  <c r="D27" i="108"/>
  <c r="X27" i="123" l="1"/>
  <c r="X131" i="123"/>
  <c r="X7" i="123"/>
  <c r="X147" i="123"/>
  <c r="X9" i="123"/>
  <c r="X138" i="123"/>
  <c r="X130" i="123"/>
  <c r="X111" i="123"/>
  <c r="X50" i="123"/>
  <c r="X146" i="123"/>
  <c r="X51" i="123"/>
  <c r="X127" i="123"/>
  <c r="X142" i="123"/>
  <c r="X42" i="123"/>
  <c r="X34" i="123"/>
  <c r="X63" i="123"/>
  <c r="X73" i="123"/>
  <c r="X39" i="123"/>
  <c r="X143" i="123"/>
  <c r="X71" i="123"/>
  <c r="X59" i="123"/>
  <c r="X87" i="123"/>
  <c r="X103" i="123"/>
  <c r="X79" i="123"/>
  <c r="X11" i="123"/>
  <c r="X107" i="123"/>
  <c r="X19" i="123"/>
  <c r="X95" i="123"/>
  <c r="X76" i="123"/>
  <c r="X15" i="123"/>
  <c r="X35" i="123"/>
  <c r="X55" i="123"/>
  <c r="X58" i="123"/>
  <c r="X67" i="123"/>
  <c r="X82" i="123"/>
  <c r="X83" i="123"/>
  <c r="X105" i="123"/>
  <c r="X66" i="123"/>
  <c r="X135" i="123"/>
  <c r="X91" i="123"/>
  <c r="X90" i="123"/>
  <c r="X98" i="123"/>
  <c r="X18" i="123"/>
  <c r="X123" i="123"/>
  <c r="X23" i="123"/>
  <c r="X26" i="123"/>
  <c r="X78" i="123"/>
  <c r="X37" i="123"/>
  <c r="X75" i="123"/>
  <c r="X74" i="123"/>
  <c r="X99" i="123"/>
  <c r="X114" i="123"/>
  <c r="X115" i="123"/>
  <c r="X10" i="123"/>
  <c r="X106" i="123"/>
  <c r="X43" i="123"/>
  <c r="X139" i="123"/>
  <c r="X31" i="123"/>
  <c r="X122" i="123"/>
  <c r="X110" i="123"/>
  <c r="X137" i="123"/>
  <c r="X41" i="123"/>
  <c r="X129" i="123"/>
  <c r="X12" i="123"/>
  <c r="W5" i="123"/>
  <c r="W145" i="123"/>
  <c r="S145" i="123"/>
  <c r="W124" i="123"/>
  <c r="S124" i="123"/>
  <c r="W4" i="123"/>
  <c r="S4" i="123"/>
  <c r="W119" i="123"/>
  <c r="S119" i="123"/>
  <c r="W148" i="123"/>
  <c r="S148" i="123"/>
  <c r="S12" i="123"/>
  <c r="W81" i="123"/>
  <c r="S81" i="123"/>
  <c r="W6" i="123"/>
  <c r="S6" i="123"/>
  <c r="W125" i="123"/>
  <c r="S125" i="123"/>
  <c r="W13" i="123"/>
  <c r="S13" i="123"/>
  <c r="W132" i="123"/>
  <c r="S132" i="123"/>
  <c r="W70" i="123"/>
  <c r="S70" i="123"/>
  <c r="W8" i="123"/>
  <c r="S8" i="123"/>
  <c r="W53" i="123"/>
  <c r="S53" i="123"/>
  <c r="W52" i="123"/>
  <c r="S52" i="123"/>
  <c r="W85" i="123"/>
  <c r="S85" i="123"/>
  <c r="W48" i="123"/>
  <c r="S48" i="123"/>
  <c r="W33" i="123"/>
  <c r="S33" i="123"/>
  <c r="W16" i="123"/>
  <c r="S16" i="123"/>
  <c r="W56" i="123"/>
  <c r="S56" i="123"/>
  <c r="W72" i="123"/>
  <c r="S72" i="123"/>
  <c r="W14" i="123"/>
  <c r="S14" i="123"/>
  <c r="W134" i="123"/>
  <c r="S134" i="123"/>
  <c r="W94" i="123"/>
  <c r="S94" i="123"/>
  <c r="W45" i="123"/>
  <c r="S45" i="123"/>
  <c r="W141" i="123"/>
  <c r="S141" i="123"/>
  <c r="W112" i="123"/>
  <c r="S112" i="123"/>
  <c r="W20" i="123"/>
  <c r="S20" i="123"/>
  <c r="W88" i="123"/>
  <c r="S88" i="123"/>
  <c r="W100" i="123"/>
  <c r="S100" i="123"/>
  <c r="W64" i="123"/>
  <c r="S64" i="123"/>
  <c r="W86" i="123"/>
  <c r="S86" i="123"/>
  <c r="W120" i="123"/>
  <c r="S120" i="123"/>
  <c r="W84" i="123"/>
  <c r="S84" i="123"/>
  <c r="W40" i="123"/>
  <c r="S40" i="123"/>
  <c r="W54" i="123"/>
  <c r="S54" i="123"/>
  <c r="W68" i="123"/>
  <c r="S68" i="123"/>
  <c r="W24" i="123"/>
  <c r="S24" i="123"/>
  <c r="W96" i="123"/>
  <c r="S96" i="123"/>
  <c r="W126" i="123"/>
  <c r="S126" i="123"/>
  <c r="W65" i="123"/>
  <c r="S65" i="123"/>
  <c r="W104" i="123"/>
  <c r="S104" i="123"/>
  <c r="W89" i="123"/>
  <c r="S89" i="123"/>
  <c r="W136" i="123"/>
  <c r="S136" i="123"/>
  <c r="W22" i="123"/>
  <c r="S22" i="123"/>
  <c r="W118" i="123"/>
  <c r="S118" i="123"/>
  <c r="W101" i="123"/>
  <c r="S101" i="123"/>
  <c r="W61" i="123"/>
  <c r="S61" i="123"/>
  <c r="W21" i="123"/>
  <c r="S21" i="123"/>
  <c r="W92" i="123"/>
  <c r="S92" i="123"/>
  <c r="W49" i="123"/>
  <c r="S49" i="123"/>
  <c r="W44" i="123"/>
  <c r="S44" i="123"/>
  <c r="W97" i="123"/>
  <c r="S97" i="123"/>
  <c r="W17" i="123"/>
  <c r="S17" i="123"/>
  <c r="W121" i="123"/>
  <c r="S121" i="123"/>
  <c r="W30" i="123"/>
  <c r="S30" i="123"/>
  <c r="W133" i="123"/>
  <c r="S133" i="123"/>
  <c r="W93" i="123"/>
  <c r="S93" i="123"/>
  <c r="W117" i="123"/>
  <c r="S117" i="123"/>
  <c r="W28" i="123"/>
  <c r="S28" i="123"/>
  <c r="W60" i="123"/>
  <c r="S60" i="123"/>
  <c r="W36" i="123"/>
  <c r="S36" i="123"/>
  <c r="W46" i="123"/>
  <c r="S46" i="123"/>
  <c r="W128" i="123"/>
  <c r="S128" i="123"/>
  <c r="W57" i="123"/>
  <c r="S57" i="123"/>
  <c r="W144" i="123"/>
  <c r="S144" i="123"/>
  <c r="W38" i="123"/>
  <c r="S38" i="123"/>
  <c r="W80" i="123"/>
  <c r="S80" i="123"/>
  <c r="W109" i="123"/>
  <c r="S109" i="123"/>
  <c r="W69" i="123"/>
  <c r="S69" i="123"/>
  <c r="W77" i="123"/>
  <c r="S77" i="123"/>
  <c r="W116" i="123"/>
  <c r="S116" i="123"/>
  <c r="W47" i="123"/>
  <c r="S47" i="123"/>
  <c r="W25" i="123"/>
  <c r="S25" i="123"/>
  <c r="W62" i="123"/>
  <c r="S62" i="123"/>
  <c r="W102" i="123"/>
  <c r="S102" i="123"/>
  <c r="W108" i="123"/>
  <c r="S108" i="123"/>
  <c r="W29" i="123"/>
  <c r="S29" i="123"/>
  <c r="W113" i="123"/>
  <c r="S113" i="123"/>
  <c r="W32" i="123"/>
  <c r="S32" i="123"/>
  <c r="W140" i="123"/>
  <c r="S140" i="123"/>
  <c r="X32" i="123" l="1"/>
  <c r="X80" i="123"/>
  <c r="X61" i="123"/>
  <c r="X86" i="123"/>
  <c r="X85" i="123"/>
  <c r="X46" i="123"/>
  <c r="X101" i="123"/>
  <c r="X64" i="123"/>
  <c r="X134" i="123"/>
  <c r="X81" i="123"/>
  <c r="X124" i="123"/>
  <c r="X119" i="123"/>
  <c r="X116" i="123"/>
  <c r="X30" i="123"/>
  <c r="X54" i="123"/>
  <c r="X56" i="123"/>
  <c r="X4" i="123"/>
  <c r="X113" i="123"/>
  <c r="X38" i="123"/>
  <c r="X49" i="123"/>
  <c r="X40" i="123"/>
  <c r="X112" i="123"/>
  <c r="X132" i="123"/>
  <c r="X29" i="123"/>
  <c r="X25" i="123"/>
  <c r="X69" i="123"/>
  <c r="X144" i="123"/>
  <c r="X36" i="123"/>
  <c r="X93" i="123"/>
  <c r="X17" i="123"/>
  <c r="X92" i="123"/>
  <c r="X118" i="123"/>
  <c r="X104" i="123"/>
  <c r="X24" i="123"/>
  <c r="X84" i="123"/>
  <c r="X100" i="123"/>
  <c r="X141" i="123"/>
  <c r="X14" i="123"/>
  <c r="X33" i="123"/>
  <c r="X53" i="123"/>
  <c r="X13" i="123"/>
  <c r="X102" i="123"/>
  <c r="X28" i="123"/>
  <c r="X136" i="123"/>
  <c r="X20" i="123"/>
  <c r="X70" i="123"/>
  <c r="X77" i="123"/>
  <c r="X121" i="123"/>
  <c r="X89" i="123"/>
  <c r="X16" i="123"/>
  <c r="X148" i="123"/>
  <c r="X145" i="123"/>
  <c r="X128" i="123"/>
  <c r="X44" i="123"/>
  <c r="X126" i="123"/>
  <c r="X94" i="123"/>
  <c r="X6" i="123"/>
  <c r="X62" i="123"/>
  <c r="X117" i="123"/>
  <c r="X96" i="123"/>
  <c r="X52" i="123"/>
  <c r="X140" i="123"/>
  <c r="X108" i="123"/>
  <c r="X47" i="123"/>
  <c r="X109" i="123"/>
  <c r="X57" i="123"/>
  <c r="X60" i="123"/>
  <c r="X133" i="123"/>
  <c r="X97" i="123"/>
  <c r="X21" i="123"/>
  <c r="X22" i="123"/>
  <c r="X65" i="123"/>
  <c r="X68" i="123"/>
  <c r="X120" i="123"/>
  <c r="X88" i="123"/>
  <c r="X45" i="123"/>
  <c r="X72" i="123"/>
  <c r="X48" i="123"/>
  <c r="X8" i="123"/>
  <c r="X125" i="123"/>
  <c r="X5" i="123"/>
  <c r="C149" i="123"/>
  <c r="B149" i="123"/>
  <c r="Q20" i="128"/>
  <c r="P20" i="128"/>
  <c r="O20" i="128"/>
  <c r="N20" i="128"/>
  <c r="M20" i="128"/>
  <c r="L20" i="128"/>
  <c r="K20" i="128"/>
  <c r="J20" i="128"/>
  <c r="I20" i="128"/>
  <c r="H20" i="128"/>
  <c r="G20" i="128"/>
  <c r="F20" i="128"/>
  <c r="E20" i="128"/>
  <c r="T4" i="128"/>
  <c r="T5" i="128"/>
  <c r="T6" i="128"/>
  <c r="T7" i="128"/>
  <c r="T8" i="128"/>
  <c r="T9" i="128"/>
  <c r="T10" i="128"/>
  <c r="T11" i="128"/>
  <c r="T12" i="128"/>
  <c r="T13" i="128"/>
  <c r="T14" i="128"/>
  <c r="T15" i="128"/>
  <c r="T16" i="128"/>
  <c r="T17" i="128"/>
  <c r="T18" i="128"/>
  <c r="T19" i="128"/>
  <c r="R4" i="128"/>
  <c r="R5" i="128"/>
  <c r="R6" i="128"/>
  <c r="R7" i="128"/>
  <c r="R8" i="128"/>
  <c r="R9" i="128"/>
  <c r="R10" i="128"/>
  <c r="R11" i="128"/>
  <c r="R12" i="128"/>
  <c r="R13" i="128"/>
  <c r="R14" i="128"/>
  <c r="R15" i="128"/>
  <c r="R16" i="128"/>
  <c r="R17" i="128"/>
  <c r="R18" i="128"/>
  <c r="R19" i="128"/>
  <c r="R3" i="128"/>
  <c r="C19" i="127"/>
  <c r="B19" i="127"/>
  <c r="R20" i="128" l="1"/>
  <c r="S4" i="128" s="1"/>
  <c r="U19" i="128"/>
  <c r="U18" i="128"/>
  <c r="U17" i="128"/>
  <c r="AH17" i="128" s="1"/>
  <c r="U16" i="128"/>
  <c r="U15" i="128"/>
  <c r="U14" i="128"/>
  <c r="U13" i="128"/>
  <c r="U12" i="128"/>
  <c r="U11" i="128"/>
  <c r="U10" i="128"/>
  <c r="AH10" i="128" s="1"/>
  <c r="U9" i="128"/>
  <c r="AH9" i="128" s="1"/>
  <c r="U8" i="128"/>
  <c r="AH8" i="128" s="1"/>
  <c r="U7" i="128"/>
  <c r="AH7" i="128" s="1"/>
  <c r="U6" i="128"/>
  <c r="AH6" i="128" s="1"/>
  <c r="U5" i="128"/>
  <c r="AH5" i="128" s="1"/>
  <c r="U4" i="128"/>
  <c r="AH4" i="128" s="1"/>
  <c r="C1" i="127"/>
  <c r="B1" i="127"/>
  <c r="D6" i="127"/>
  <c r="D7" i="127"/>
  <c r="D8" i="127"/>
  <c r="D14" i="127"/>
  <c r="D15" i="127"/>
  <c r="D16" i="127"/>
  <c r="D3" i="127"/>
  <c r="R3" i="125"/>
  <c r="S3" i="125" s="1"/>
  <c r="R4" i="125"/>
  <c r="S4" i="125" s="1"/>
  <c r="R5" i="125"/>
  <c r="S5" i="125" s="1"/>
  <c r="R6" i="125"/>
  <c r="S6" i="125" s="1"/>
  <c r="R7" i="125"/>
  <c r="S7" i="125" s="1"/>
  <c r="R8" i="125"/>
  <c r="S8" i="125"/>
  <c r="R2" i="125"/>
  <c r="S2" i="125" s="1"/>
  <c r="D1" i="124"/>
  <c r="D4" i="124"/>
  <c r="D5" i="124"/>
  <c r="D6" i="124"/>
  <c r="D7" i="124"/>
  <c r="D8" i="124"/>
  <c r="D9" i="124"/>
  <c r="D10" i="124"/>
  <c r="D11" i="124"/>
  <c r="D12" i="124"/>
  <c r="D13" i="124"/>
  <c r="D14" i="124"/>
  <c r="D15" i="124"/>
  <c r="D16" i="124"/>
  <c r="D17" i="124"/>
  <c r="D18" i="124"/>
  <c r="D3" i="124"/>
  <c r="C1" i="124"/>
  <c r="B1" i="124"/>
  <c r="C1" i="123"/>
  <c r="B1" i="123"/>
  <c r="E1" i="123" s="1"/>
  <c r="F1" i="123" s="1"/>
  <c r="D60" i="123"/>
  <c r="G60" i="123" s="1"/>
  <c r="D105" i="123"/>
  <c r="G105" i="123" s="1"/>
  <c r="D90" i="123"/>
  <c r="G90" i="123" s="1"/>
  <c r="D4" i="123"/>
  <c r="G4" i="123" s="1"/>
  <c r="D11" i="123"/>
  <c r="G11" i="123" s="1"/>
  <c r="D72" i="123"/>
  <c r="G72" i="123" s="1"/>
  <c r="D106" i="123"/>
  <c r="G106" i="123" s="1"/>
  <c r="D66" i="123"/>
  <c r="G66" i="123" s="1"/>
  <c r="D40" i="123"/>
  <c r="G40" i="123" s="1"/>
  <c r="D87" i="123"/>
  <c r="G87" i="123" s="1"/>
  <c r="D39" i="123"/>
  <c r="G39" i="123" s="1"/>
  <c r="D9" i="123"/>
  <c r="G9" i="123" s="1"/>
  <c r="D77" i="123"/>
  <c r="G77" i="123" s="1"/>
  <c r="D85" i="123"/>
  <c r="G85" i="123" s="1"/>
  <c r="D91" i="123"/>
  <c r="G91" i="123" s="1"/>
  <c r="D12" i="123"/>
  <c r="G12" i="123" s="1"/>
  <c r="D54" i="123"/>
  <c r="G54" i="123" s="1"/>
  <c r="D81" i="123"/>
  <c r="G81" i="123" s="1"/>
  <c r="D55" i="123"/>
  <c r="G55" i="123" s="1"/>
  <c r="D38" i="123"/>
  <c r="G38" i="123" s="1"/>
  <c r="D78" i="123"/>
  <c r="G78" i="123" s="1"/>
  <c r="D23" i="123"/>
  <c r="G23" i="123" s="1"/>
  <c r="D93" i="123"/>
  <c r="G93" i="123" s="1"/>
  <c r="D82" i="123"/>
  <c r="G82" i="123" s="1"/>
  <c r="D6" i="123"/>
  <c r="G6" i="123" s="1"/>
  <c r="D83" i="123"/>
  <c r="G83" i="123" s="1"/>
  <c r="D51" i="123"/>
  <c r="G51" i="123" s="1"/>
  <c r="D107" i="123"/>
  <c r="G107" i="123" s="1"/>
  <c r="D98" i="123"/>
  <c r="G98" i="123" s="1"/>
  <c r="D110" i="123"/>
  <c r="G110" i="123" s="1"/>
  <c r="D68" i="123"/>
  <c r="G68" i="123" s="1"/>
  <c r="D47" i="123"/>
  <c r="G47" i="123" s="1"/>
  <c r="D123" i="123"/>
  <c r="G123" i="123" s="1"/>
  <c r="D117" i="123"/>
  <c r="G117" i="123" s="1"/>
  <c r="D137" i="123"/>
  <c r="G137" i="123" s="1"/>
  <c r="D133" i="123"/>
  <c r="G133" i="123" s="1"/>
  <c r="D10" i="123"/>
  <c r="G10" i="123" s="1"/>
  <c r="D7" i="123"/>
  <c r="G7" i="123" s="1"/>
  <c r="D45" i="123"/>
  <c r="G45" i="123" s="1"/>
  <c r="D80" i="123"/>
  <c r="G80" i="123" s="1"/>
  <c r="D49" i="123"/>
  <c r="G49" i="123" s="1"/>
  <c r="D42" i="123"/>
  <c r="G42" i="123" s="1"/>
  <c r="D43" i="123"/>
  <c r="G43" i="123" s="1"/>
  <c r="D50" i="123"/>
  <c r="G50" i="123" s="1"/>
  <c r="D124" i="123"/>
  <c r="G124" i="123" s="1"/>
  <c r="D44" i="123"/>
  <c r="G44" i="123" s="1"/>
  <c r="D73" i="123"/>
  <c r="G73" i="123" s="1"/>
  <c r="D13" i="123"/>
  <c r="G13" i="123" s="1"/>
  <c r="D41" i="123"/>
  <c r="G41" i="123" s="1"/>
  <c r="D113" i="123"/>
  <c r="G113" i="123" s="1"/>
  <c r="D28" i="123"/>
  <c r="G28" i="123" s="1"/>
  <c r="D61" i="123"/>
  <c r="G61" i="123" s="1"/>
  <c r="D139" i="123"/>
  <c r="G139" i="123" s="1"/>
  <c r="D16" i="123"/>
  <c r="G16" i="123" s="1"/>
  <c r="D76" i="123"/>
  <c r="G76" i="123" s="1"/>
  <c r="D26" i="123"/>
  <c r="G26" i="123" s="1"/>
  <c r="D5" i="123"/>
  <c r="G5" i="123" s="1"/>
  <c r="D74" i="123"/>
  <c r="G74" i="123" s="1"/>
  <c r="D141" i="123"/>
  <c r="G141" i="123" s="1"/>
  <c r="D70" i="123"/>
  <c r="G70" i="123" s="1"/>
  <c r="D89" i="123"/>
  <c r="G89" i="123" s="1"/>
  <c r="D115" i="123"/>
  <c r="G115" i="123" s="1"/>
  <c r="D57" i="123"/>
  <c r="G57" i="123" s="1"/>
  <c r="D29" i="123"/>
  <c r="G29" i="123" s="1"/>
  <c r="D59" i="123"/>
  <c r="G59" i="123" s="1"/>
  <c r="D33" i="123"/>
  <c r="G33" i="123" s="1"/>
  <c r="D65" i="123"/>
  <c r="G65" i="123" s="1"/>
  <c r="D22" i="123"/>
  <c r="G22" i="123" s="1"/>
  <c r="D32" i="123"/>
  <c r="G32" i="123" s="1"/>
  <c r="D58" i="123"/>
  <c r="G58" i="123" s="1"/>
  <c r="D116" i="123"/>
  <c r="G116" i="123" s="1"/>
  <c r="D144" i="123"/>
  <c r="G144" i="123" s="1"/>
  <c r="D27" i="123"/>
  <c r="G27" i="123" s="1"/>
  <c r="D88" i="123"/>
  <c r="G88" i="123" s="1"/>
  <c r="D14" i="123"/>
  <c r="G14" i="123" s="1"/>
  <c r="D62" i="123"/>
  <c r="G62" i="123" s="1"/>
  <c r="D96" i="123"/>
  <c r="G96" i="123" s="1"/>
  <c r="D142" i="123"/>
  <c r="G142" i="123" s="1"/>
  <c r="D19" i="123"/>
  <c r="G19" i="123" s="1"/>
  <c r="D119" i="123"/>
  <c r="G119" i="123" s="1"/>
  <c r="D71" i="123"/>
  <c r="G71" i="123" s="1"/>
  <c r="D20" i="123"/>
  <c r="G20" i="123" s="1"/>
  <c r="D64" i="123"/>
  <c r="G64" i="123" s="1"/>
  <c r="D35" i="123"/>
  <c r="G35" i="123" s="1"/>
  <c r="D108" i="123"/>
  <c r="G108" i="123" s="1"/>
  <c r="D30" i="123"/>
  <c r="G30" i="123" s="1"/>
  <c r="D125" i="123"/>
  <c r="G125" i="123" s="1"/>
  <c r="D36" i="123"/>
  <c r="G36" i="123" s="1"/>
  <c r="D122" i="123"/>
  <c r="G122" i="123" s="1"/>
  <c r="D114" i="123"/>
  <c r="G114" i="123" s="1"/>
  <c r="D92" i="123"/>
  <c r="G92" i="123" s="1"/>
  <c r="D17" i="123"/>
  <c r="G17" i="123" s="1"/>
  <c r="D52" i="123"/>
  <c r="G52" i="123" s="1"/>
  <c r="D86" i="123"/>
  <c r="G86" i="123" s="1"/>
  <c r="D135" i="123"/>
  <c r="G135" i="123" s="1"/>
  <c r="D136" i="123"/>
  <c r="G136" i="123" s="1"/>
  <c r="D103" i="123"/>
  <c r="G103" i="123" s="1"/>
  <c r="D112" i="123"/>
  <c r="G112" i="123" s="1"/>
  <c r="D126" i="123"/>
  <c r="G126" i="123" s="1"/>
  <c r="D97" i="123"/>
  <c r="G97" i="123" s="1"/>
  <c r="D131" i="123"/>
  <c r="G131" i="123" s="1"/>
  <c r="D132" i="123"/>
  <c r="G132" i="123" s="1"/>
  <c r="D127" i="123"/>
  <c r="G127" i="123" s="1"/>
  <c r="D128" i="123"/>
  <c r="G128" i="123" s="1"/>
  <c r="D31" i="123"/>
  <c r="G31" i="123" s="1"/>
  <c r="D34" i="123"/>
  <c r="G34" i="123" s="1"/>
  <c r="D99" i="123"/>
  <c r="G99" i="123" s="1"/>
  <c r="D104" i="123"/>
  <c r="G104" i="123" s="1"/>
  <c r="D129" i="123"/>
  <c r="G129" i="123" s="1"/>
  <c r="D95" i="123"/>
  <c r="G95" i="123" s="1"/>
  <c r="D130" i="123"/>
  <c r="G130" i="123" s="1"/>
  <c r="D100" i="123"/>
  <c r="G100" i="123" s="1"/>
  <c r="D118" i="123"/>
  <c r="G118" i="123" s="1"/>
  <c r="D140" i="123"/>
  <c r="G140" i="123" s="1"/>
  <c r="D138" i="123"/>
  <c r="G138" i="123" s="1"/>
  <c r="D111" i="123"/>
  <c r="G111" i="123" s="1"/>
  <c r="D134" i="123"/>
  <c r="G134" i="123" s="1"/>
  <c r="D8" i="123"/>
  <c r="G8" i="123" s="1"/>
  <c r="D120" i="123"/>
  <c r="G120" i="123" s="1"/>
  <c r="D75" i="123"/>
  <c r="G75" i="123" s="1"/>
  <c r="D37" i="123"/>
  <c r="G37" i="123" s="1"/>
  <c r="D101" i="123"/>
  <c r="G101" i="123" s="1"/>
  <c r="D102" i="123"/>
  <c r="G102" i="123" s="1"/>
  <c r="D79" i="123"/>
  <c r="G79" i="123" s="1"/>
  <c r="D94" i="123"/>
  <c r="G94" i="123" s="1"/>
  <c r="D69" i="123"/>
  <c r="G69" i="123" s="1"/>
  <c r="D48" i="123"/>
  <c r="G48" i="123" s="1"/>
  <c r="D109" i="123"/>
  <c r="G109" i="123" s="1"/>
  <c r="D25" i="123"/>
  <c r="G25" i="123" s="1"/>
  <c r="D46" i="123"/>
  <c r="G46" i="123" s="1"/>
  <c r="D63" i="123"/>
  <c r="G63" i="123" s="1"/>
  <c r="D56" i="123"/>
  <c r="G56" i="123" s="1"/>
  <c r="D53" i="123"/>
  <c r="G53" i="123" s="1"/>
  <c r="D15" i="123"/>
  <c r="G15" i="123" s="1"/>
  <c r="D84" i="123"/>
  <c r="G84" i="123" s="1"/>
  <c r="D147" i="123"/>
  <c r="G147" i="123" s="1"/>
  <c r="D143" i="123"/>
  <c r="G143" i="123" s="1"/>
  <c r="D146" i="123"/>
  <c r="G146" i="123" s="1"/>
  <c r="D121" i="123"/>
  <c r="G121" i="123" s="1"/>
  <c r="D145" i="123"/>
  <c r="G145" i="123" s="1"/>
  <c r="D24" i="123"/>
  <c r="G24" i="123" s="1"/>
  <c r="D21" i="123"/>
  <c r="G21" i="123" s="1"/>
  <c r="D18" i="123"/>
  <c r="G18" i="123" s="1"/>
  <c r="D67" i="123"/>
  <c r="G67" i="123" s="1"/>
  <c r="D148" i="123"/>
  <c r="G148" i="123" s="1"/>
  <c r="O268" i="122"/>
  <c r="N268" i="122"/>
  <c r="M268" i="122"/>
  <c r="L268" i="122"/>
  <c r="K268" i="122"/>
  <c r="J268" i="122"/>
  <c r="I268" i="122"/>
  <c r="H268" i="122"/>
  <c r="G268" i="122"/>
  <c r="F268" i="122"/>
  <c r="E268" i="122"/>
  <c r="D268" i="122"/>
  <c r="C268" i="122"/>
  <c r="P267" i="122"/>
  <c r="Q267" i="122" s="1"/>
  <c r="P266" i="122"/>
  <c r="Q266" i="122" s="1"/>
  <c r="P265" i="122"/>
  <c r="Q265" i="122" s="1"/>
  <c r="P264" i="122"/>
  <c r="Q264" i="122" s="1"/>
  <c r="P263" i="122"/>
  <c r="Q263" i="122" s="1"/>
  <c r="P262" i="122"/>
  <c r="Q262" i="122" s="1"/>
  <c r="P261" i="122"/>
  <c r="Q261" i="122" s="1"/>
  <c r="P260" i="122"/>
  <c r="Q260" i="122" s="1"/>
  <c r="P259" i="122"/>
  <c r="Q259" i="122" s="1"/>
  <c r="P258" i="122"/>
  <c r="Q258" i="122" s="1"/>
  <c r="P257" i="122"/>
  <c r="Q257" i="122" s="1"/>
  <c r="P256" i="122"/>
  <c r="Q256" i="122" s="1"/>
  <c r="P255" i="122"/>
  <c r="Q255" i="122" s="1"/>
  <c r="P254" i="122"/>
  <c r="Q254" i="122" s="1"/>
  <c r="P253" i="122"/>
  <c r="Q253" i="122" s="1"/>
  <c r="P252" i="122"/>
  <c r="Q252" i="122" s="1"/>
  <c r="P251" i="122"/>
  <c r="Q251" i="122" s="1"/>
  <c r="P250" i="122"/>
  <c r="Q250" i="122" s="1"/>
  <c r="P249" i="122"/>
  <c r="Q249" i="122" s="1"/>
  <c r="P248" i="122"/>
  <c r="Q248" i="122" s="1"/>
  <c r="P247" i="122"/>
  <c r="Q247" i="122" s="1"/>
  <c r="P246" i="122"/>
  <c r="Q246" i="122" s="1"/>
  <c r="P245" i="122"/>
  <c r="Q245" i="122" s="1"/>
  <c r="P244" i="122"/>
  <c r="Q244" i="122" s="1"/>
  <c r="P243" i="122"/>
  <c r="Q243" i="122" s="1"/>
  <c r="P242" i="122"/>
  <c r="Q242" i="122" s="1"/>
  <c r="P241" i="122"/>
  <c r="Q241" i="122" s="1"/>
  <c r="P240" i="122"/>
  <c r="Q240" i="122" s="1"/>
  <c r="P239" i="122"/>
  <c r="Q239" i="122" s="1"/>
  <c r="P238" i="122"/>
  <c r="Q238" i="122" s="1"/>
  <c r="P237" i="122"/>
  <c r="Q237" i="122" s="1"/>
  <c r="P236" i="122"/>
  <c r="Q236" i="122" s="1"/>
  <c r="P235" i="122"/>
  <c r="Q235" i="122" s="1"/>
  <c r="P234" i="122"/>
  <c r="Q234" i="122" s="1"/>
  <c r="P233" i="122"/>
  <c r="Q233" i="122" s="1"/>
  <c r="P232" i="122"/>
  <c r="Q232" i="122" s="1"/>
  <c r="P231" i="122"/>
  <c r="Q231" i="122" s="1"/>
  <c r="P230" i="122"/>
  <c r="Q230" i="122" s="1"/>
  <c r="P229" i="122"/>
  <c r="Q229" i="122" s="1"/>
  <c r="P228" i="122"/>
  <c r="Q228" i="122" s="1"/>
  <c r="P227" i="122"/>
  <c r="Q227" i="122" s="1"/>
  <c r="P226" i="122"/>
  <c r="Q226" i="122" s="1"/>
  <c r="P225" i="122"/>
  <c r="Q225" i="122" s="1"/>
  <c r="P224" i="122"/>
  <c r="Q224" i="122" s="1"/>
  <c r="P223" i="122"/>
  <c r="Q223" i="122" s="1"/>
  <c r="P222" i="122"/>
  <c r="Q222" i="122" s="1"/>
  <c r="P221" i="122"/>
  <c r="Q221" i="122" s="1"/>
  <c r="P220" i="122"/>
  <c r="Q220" i="122" s="1"/>
  <c r="P219" i="122"/>
  <c r="Q219" i="122" s="1"/>
  <c r="P218" i="122"/>
  <c r="Q218" i="122" s="1"/>
  <c r="P217" i="122"/>
  <c r="Q217" i="122" s="1"/>
  <c r="P216" i="122"/>
  <c r="Q216" i="122" s="1"/>
  <c r="P215" i="122"/>
  <c r="Q215" i="122" s="1"/>
  <c r="P214" i="122"/>
  <c r="Q214" i="122" s="1"/>
  <c r="P213" i="122"/>
  <c r="Q213" i="122" s="1"/>
  <c r="P212" i="122"/>
  <c r="Q212" i="122" s="1"/>
  <c r="P211" i="122"/>
  <c r="Q211" i="122" s="1"/>
  <c r="P210" i="122"/>
  <c r="Q210" i="122" s="1"/>
  <c r="P209" i="122"/>
  <c r="Q209" i="122" s="1"/>
  <c r="P208" i="122"/>
  <c r="Q208" i="122" s="1"/>
  <c r="P207" i="122"/>
  <c r="Q207" i="122" s="1"/>
  <c r="P206" i="122"/>
  <c r="Q206" i="122" s="1"/>
  <c r="P205" i="122"/>
  <c r="Q205" i="122" s="1"/>
  <c r="P204" i="122"/>
  <c r="Q204" i="122" s="1"/>
  <c r="P203" i="122"/>
  <c r="Q203" i="122" s="1"/>
  <c r="P202" i="122"/>
  <c r="Q202" i="122" s="1"/>
  <c r="P201" i="122"/>
  <c r="Q201" i="122" s="1"/>
  <c r="P200" i="122"/>
  <c r="Q200" i="122" s="1"/>
  <c r="P199" i="122"/>
  <c r="Q199" i="122" s="1"/>
  <c r="P198" i="122"/>
  <c r="Q198" i="122" s="1"/>
  <c r="P197" i="122"/>
  <c r="Q197" i="122" s="1"/>
  <c r="P196" i="122"/>
  <c r="Q196" i="122" s="1"/>
  <c r="P195" i="122"/>
  <c r="Q195" i="122" s="1"/>
  <c r="P194" i="122"/>
  <c r="Q194" i="122" s="1"/>
  <c r="P193" i="122"/>
  <c r="Q193" i="122" s="1"/>
  <c r="P192" i="122"/>
  <c r="Q192" i="122" s="1"/>
  <c r="P191" i="122"/>
  <c r="Q191" i="122" s="1"/>
  <c r="P190" i="122"/>
  <c r="Q190" i="122" s="1"/>
  <c r="P189" i="122"/>
  <c r="Q189" i="122" s="1"/>
  <c r="P188" i="122"/>
  <c r="Q188" i="122" s="1"/>
  <c r="P187" i="122"/>
  <c r="Q187" i="122" s="1"/>
  <c r="P186" i="122"/>
  <c r="Q186" i="122" s="1"/>
  <c r="P185" i="122"/>
  <c r="Q185" i="122" s="1"/>
  <c r="P184" i="122"/>
  <c r="Q184" i="122" s="1"/>
  <c r="P183" i="122"/>
  <c r="Q183" i="122" s="1"/>
  <c r="P182" i="122"/>
  <c r="Q182" i="122" s="1"/>
  <c r="P181" i="122"/>
  <c r="Q181" i="122" s="1"/>
  <c r="P180" i="122"/>
  <c r="Q180" i="122" s="1"/>
  <c r="P179" i="122"/>
  <c r="Q179" i="122" s="1"/>
  <c r="P178" i="122"/>
  <c r="Q178" i="122" s="1"/>
  <c r="P177" i="122"/>
  <c r="Q177" i="122" s="1"/>
  <c r="P176" i="122"/>
  <c r="Q176" i="122" s="1"/>
  <c r="P175" i="122"/>
  <c r="Q175" i="122" s="1"/>
  <c r="P174" i="122"/>
  <c r="Q174" i="122" s="1"/>
  <c r="P173" i="122"/>
  <c r="Q173" i="122" s="1"/>
  <c r="P172" i="122"/>
  <c r="Q172" i="122" s="1"/>
  <c r="P171" i="122"/>
  <c r="Q171" i="122" s="1"/>
  <c r="P170" i="122"/>
  <c r="Q170" i="122" s="1"/>
  <c r="P169" i="122"/>
  <c r="Q169" i="122" s="1"/>
  <c r="P168" i="122"/>
  <c r="Q168" i="122" s="1"/>
  <c r="P167" i="122"/>
  <c r="Q167" i="122" s="1"/>
  <c r="P166" i="122"/>
  <c r="Q166" i="122" s="1"/>
  <c r="P165" i="122"/>
  <c r="Q165" i="122" s="1"/>
  <c r="P164" i="122"/>
  <c r="Q164" i="122" s="1"/>
  <c r="P163" i="122"/>
  <c r="Q163" i="122" s="1"/>
  <c r="P162" i="122"/>
  <c r="Q162" i="122" s="1"/>
  <c r="P161" i="122"/>
  <c r="Q161" i="122" s="1"/>
  <c r="P160" i="122"/>
  <c r="Q160" i="122" s="1"/>
  <c r="P159" i="122"/>
  <c r="Q159" i="122" s="1"/>
  <c r="P158" i="122"/>
  <c r="Q158" i="122" s="1"/>
  <c r="P157" i="122"/>
  <c r="Q157" i="122" s="1"/>
  <c r="P156" i="122"/>
  <c r="Q156" i="122" s="1"/>
  <c r="P155" i="122"/>
  <c r="Q155" i="122" s="1"/>
  <c r="P154" i="122"/>
  <c r="Q154" i="122" s="1"/>
  <c r="P153" i="122"/>
  <c r="Q153" i="122" s="1"/>
  <c r="P152" i="122"/>
  <c r="Q152" i="122" s="1"/>
  <c r="P151" i="122"/>
  <c r="Q151" i="122" s="1"/>
  <c r="P150" i="122"/>
  <c r="Q150" i="122" s="1"/>
  <c r="P149" i="122"/>
  <c r="Q149" i="122" s="1"/>
  <c r="P148" i="122"/>
  <c r="Q148" i="122" s="1"/>
  <c r="P147" i="122"/>
  <c r="Q147" i="122" s="1"/>
  <c r="P146" i="122"/>
  <c r="Q146" i="122" s="1"/>
  <c r="P145" i="122"/>
  <c r="Q145" i="122" s="1"/>
  <c r="P144" i="122"/>
  <c r="Q144" i="122" s="1"/>
  <c r="P143" i="122"/>
  <c r="Q143" i="122" s="1"/>
  <c r="P142" i="122"/>
  <c r="Q142" i="122" s="1"/>
  <c r="P141" i="122"/>
  <c r="Q141" i="122" s="1"/>
  <c r="P140" i="122"/>
  <c r="Q140" i="122" s="1"/>
  <c r="P139" i="122"/>
  <c r="Q139" i="122" s="1"/>
  <c r="P138" i="122"/>
  <c r="Q138" i="122" s="1"/>
  <c r="P137" i="122"/>
  <c r="Q137" i="122" s="1"/>
  <c r="P136" i="122"/>
  <c r="Q136" i="122" s="1"/>
  <c r="P135" i="122"/>
  <c r="Q135" i="122" s="1"/>
  <c r="P134" i="122"/>
  <c r="Q134" i="122" s="1"/>
  <c r="P133" i="122"/>
  <c r="Q133" i="122" s="1"/>
  <c r="P132" i="122"/>
  <c r="Q132" i="122" s="1"/>
  <c r="P131" i="122"/>
  <c r="Q131" i="122" s="1"/>
  <c r="P130" i="122"/>
  <c r="Q130" i="122" s="1"/>
  <c r="P129" i="122"/>
  <c r="Q129" i="122" s="1"/>
  <c r="P128" i="122"/>
  <c r="Q128" i="122" s="1"/>
  <c r="P127" i="122"/>
  <c r="Q127" i="122" s="1"/>
  <c r="P126" i="122"/>
  <c r="Q126" i="122" s="1"/>
  <c r="P125" i="122"/>
  <c r="Q125" i="122" s="1"/>
  <c r="P124" i="122"/>
  <c r="Q124" i="122" s="1"/>
  <c r="P123" i="122"/>
  <c r="Q123" i="122" s="1"/>
  <c r="P122" i="122"/>
  <c r="Q122" i="122" s="1"/>
  <c r="P121" i="122"/>
  <c r="Q121" i="122" s="1"/>
  <c r="P120" i="122"/>
  <c r="Q120" i="122" s="1"/>
  <c r="P119" i="122"/>
  <c r="Q119" i="122" s="1"/>
  <c r="P118" i="122"/>
  <c r="Q118" i="122" s="1"/>
  <c r="P117" i="122"/>
  <c r="Q117" i="122" s="1"/>
  <c r="P116" i="122"/>
  <c r="Q116" i="122" s="1"/>
  <c r="P115" i="122"/>
  <c r="Q115" i="122" s="1"/>
  <c r="P114" i="122"/>
  <c r="Q114" i="122" s="1"/>
  <c r="P113" i="122"/>
  <c r="Q113" i="122" s="1"/>
  <c r="P112" i="122"/>
  <c r="Q112" i="122" s="1"/>
  <c r="P111" i="122"/>
  <c r="Q111" i="122" s="1"/>
  <c r="P110" i="122"/>
  <c r="Q110" i="122" s="1"/>
  <c r="P109" i="122"/>
  <c r="Q109" i="122" s="1"/>
  <c r="P108" i="122"/>
  <c r="Q108" i="122" s="1"/>
  <c r="P107" i="122"/>
  <c r="Q107" i="122" s="1"/>
  <c r="P106" i="122"/>
  <c r="Q106" i="122" s="1"/>
  <c r="P105" i="122"/>
  <c r="Q105" i="122" s="1"/>
  <c r="P104" i="122"/>
  <c r="Q104" i="122" s="1"/>
  <c r="P103" i="122"/>
  <c r="Q103" i="122" s="1"/>
  <c r="P102" i="122"/>
  <c r="Q102" i="122" s="1"/>
  <c r="P101" i="122"/>
  <c r="Q101" i="122" s="1"/>
  <c r="P100" i="122"/>
  <c r="Q100" i="122" s="1"/>
  <c r="P99" i="122"/>
  <c r="Q99" i="122" s="1"/>
  <c r="P98" i="122"/>
  <c r="Q98" i="122" s="1"/>
  <c r="P97" i="122"/>
  <c r="Q97" i="122" s="1"/>
  <c r="P96" i="122"/>
  <c r="Q96" i="122" s="1"/>
  <c r="P95" i="122"/>
  <c r="Q95" i="122" s="1"/>
  <c r="P94" i="122"/>
  <c r="Q94" i="122" s="1"/>
  <c r="P93" i="122"/>
  <c r="Q93" i="122" s="1"/>
  <c r="P92" i="122"/>
  <c r="Q92" i="122" s="1"/>
  <c r="P91" i="122"/>
  <c r="Q91" i="122" s="1"/>
  <c r="P90" i="122"/>
  <c r="Q90" i="122" s="1"/>
  <c r="P89" i="122"/>
  <c r="Q89" i="122" s="1"/>
  <c r="P88" i="122"/>
  <c r="Q88" i="122" s="1"/>
  <c r="P87" i="122"/>
  <c r="Q87" i="122" s="1"/>
  <c r="P86" i="122"/>
  <c r="Q86" i="122" s="1"/>
  <c r="P85" i="122"/>
  <c r="Q85" i="122" s="1"/>
  <c r="P84" i="122"/>
  <c r="Q84" i="122" s="1"/>
  <c r="P83" i="122"/>
  <c r="Q83" i="122" s="1"/>
  <c r="P82" i="122"/>
  <c r="Q82" i="122" s="1"/>
  <c r="P81" i="122"/>
  <c r="Q81" i="122" s="1"/>
  <c r="P80" i="122"/>
  <c r="Q80" i="122" s="1"/>
  <c r="P79" i="122"/>
  <c r="Q79" i="122" s="1"/>
  <c r="P78" i="122"/>
  <c r="Q78" i="122" s="1"/>
  <c r="P77" i="122"/>
  <c r="Q77" i="122" s="1"/>
  <c r="P76" i="122"/>
  <c r="Q76" i="122" s="1"/>
  <c r="P75" i="122"/>
  <c r="Q75" i="122" s="1"/>
  <c r="P74" i="122"/>
  <c r="Q74" i="122" s="1"/>
  <c r="P73" i="122"/>
  <c r="Q73" i="122" s="1"/>
  <c r="P72" i="122"/>
  <c r="Q72" i="122" s="1"/>
  <c r="P71" i="122"/>
  <c r="Q71" i="122" s="1"/>
  <c r="P70" i="122"/>
  <c r="Q70" i="122" s="1"/>
  <c r="P69" i="122"/>
  <c r="Q69" i="122" s="1"/>
  <c r="P68" i="122"/>
  <c r="Q68" i="122" s="1"/>
  <c r="P67" i="122"/>
  <c r="Q67" i="122" s="1"/>
  <c r="P66" i="122"/>
  <c r="Q66" i="122" s="1"/>
  <c r="P65" i="122"/>
  <c r="Q65" i="122" s="1"/>
  <c r="P64" i="122"/>
  <c r="Q64" i="122" s="1"/>
  <c r="P63" i="122"/>
  <c r="Q63" i="122" s="1"/>
  <c r="P62" i="122"/>
  <c r="Q62" i="122" s="1"/>
  <c r="P61" i="122"/>
  <c r="Q61" i="122" s="1"/>
  <c r="P60" i="122"/>
  <c r="Q60" i="122" s="1"/>
  <c r="P59" i="122"/>
  <c r="Q59" i="122" s="1"/>
  <c r="P58" i="122"/>
  <c r="Q58" i="122" s="1"/>
  <c r="P57" i="122"/>
  <c r="Q57" i="122" s="1"/>
  <c r="P56" i="122"/>
  <c r="Q56" i="122" s="1"/>
  <c r="P55" i="122"/>
  <c r="Q55" i="122" s="1"/>
  <c r="P54" i="122"/>
  <c r="Q54" i="122" s="1"/>
  <c r="P53" i="122"/>
  <c r="Q53" i="122" s="1"/>
  <c r="P52" i="122"/>
  <c r="Q52" i="122" s="1"/>
  <c r="P51" i="122"/>
  <c r="Q51" i="122" s="1"/>
  <c r="P50" i="122"/>
  <c r="Q50" i="122" s="1"/>
  <c r="P49" i="122"/>
  <c r="Q49" i="122" s="1"/>
  <c r="P48" i="122"/>
  <c r="Q48" i="122" s="1"/>
  <c r="P47" i="122"/>
  <c r="Q47" i="122" s="1"/>
  <c r="P46" i="122"/>
  <c r="Q46" i="122" s="1"/>
  <c r="P45" i="122"/>
  <c r="Q45" i="122" s="1"/>
  <c r="P44" i="122"/>
  <c r="Q44" i="122" s="1"/>
  <c r="P43" i="122"/>
  <c r="Q43" i="122" s="1"/>
  <c r="P42" i="122"/>
  <c r="Q42" i="122" s="1"/>
  <c r="P41" i="122"/>
  <c r="Q41" i="122" s="1"/>
  <c r="P40" i="122"/>
  <c r="Q40" i="122" s="1"/>
  <c r="P39" i="122"/>
  <c r="Q39" i="122" s="1"/>
  <c r="P38" i="122"/>
  <c r="Q38" i="122" s="1"/>
  <c r="P37" i="122"/>
  <c r="Q37" i="122" s="1"/>
  <c r="P36" i="122"/>
  <c r="Q36" i="122" s="1"/>
  <c r="P35" i="122"/>
  <c r="Q35" i="122" s="1"/>
  <c r="P34" i="122"/>
  <c r="Q34" i="122" s="1"/>
  <c r="P33" i="122"/>
  <c r="Q33" i="122" s="1"/>
  <c r="P32" i="122"/>
  <c r="Q32" i="122" s="1"/>
  <c r="P31" i="122"/>
  <c r="Q31" i="122" s="1"/>
  <c r="P30" i="122"/>
  <c r="Q30" i="122" s="1"/>
  <c r="P29" i="122"/>
  <c r="Q29" i="122" s="1"/>
  <c r="P28" i="122"/>
  <c r="Q28" i="122" s="1"/>
  <c r="P27" i="122"/>
  <c r="Q27" i="122" s="1"/>
  <c r="P26" i="122"/>
  <c r="Q26" i="122" s="1"/>
  <c r="P25" i="122"/>
  <c r="Q25" i="122" s="1"/>
  <c r="P24" i="122"/>
  <c r="Q24" i="122" s="1"/>
  <c r="P23" i="122"/>
  <c r="Q23" i="122" s="1"/>
  <c r="P22" i="122"/>
  <c r="Q22" i="122" s="1"/>
  <c r="P21" i="122"/>
  <c r="Q21" i="122" s="1"/>
  <c r="P20" i="122"/>
  <c r="Q20" i="122" s="1"/>
  <c r="P19" i="122"/>
  <c r="Q19" i="122" s="1"/>
  <c r="P18" i="122"/>
  <c r="Q18" i="122" s="1"/>
  <c r="P17" i="122"/>
  <c r="Q17" i="122" s="1"/>
  <c r="P16" i="122"/>
  <c r="Q16" i="122" s="1"/>
  <c r="P15" i="122"/>
  <c r="Q15" i="122" s="1"/>
  <c r="P14" i="122"/>
  <c r="Q14" i="122" s="1"/>
  <c r="P13" i="122"/>
  <c r="Q13" i="122" s="1"/>
  <c r="P12" i="122"/>
  <c r="Q12" i="122" s="1"/>
  <c r="P11" i="122"/>
  <c r="Q11" i="122" s="1"/>
  <c r="P10" i="122"/>
  <c r="Q10" i="122" s="1"/>
  <c r="P9" i="122"/>
  <c r="Q9" i="122" s="1"/>
  <c r="P8" i="122"/>
  <c r="Q8" i="122" s="1"/>
  <c r="P7" i="122"/>
  <c r="Q7" i="122" s="1"/>
  <c r="P6" i="122"/>
  <c r="Q6" i="122" s="1"/>
  <c r="P4" i="122"/>
  <c r="Q4" i="122" s="1"/>
  <c r="P3" i="122"/>
  <c r="Q3" i="122" s="1"/>
  <c r="P2" i="122"/>
  <c r="Q2" i="122" s="1"/>
  <c r="AK30" i="123" l="1"/>
  <c r="AO30" i="123" s="1"/>
  <c r="AL30" i="123"/>
  <c r="AP30" i="123" s="1"/>
  <c r="AM30" i="123"/>
  <c r="AQ30" i="123" s="1"/>
  <c r="AJ30" i="123"/>
  <c r="AN30" i="123" s="1"/>
  <c r="AR30" i="123" s="1"/>
  <c r="Z30" i="123"/>
  <c r="AK44" i="123"/>
  <c r="AO44" i="123" s="1"/>
  <c r="AL44" i="123"/>
  <c r="AP44" i="123" s="1"/>
  <c r="AM44" i="123"/>
  <c r="AQ44" i="123" s="1"/>
  <c r="AJ44" i="123"/>
  <c r="AN44" i="123" s="1"/>
  <c r="Z44" i="123"/>
  <c r="AK72" i="123"/>
  <c r="AO72" i="123" s="1"/>
  <c r="AL72" i="123"/>
  <c r="AP72" i="123" s="1"/>
  <c r="AM72" i="123"/>
  <c r="AQ72" i="123" s="1"/>
  <c r="AJ72" i="123"/>
  <c r="AN72" i="123" s="1"/>
  <c r="Z72" i="123"/>
  <c r="AJ53" i="123"/>
  <c r="AN53" i="123" s="1"/>
  <c r="AR53" i="123" s="1"/>
  <c r="AK53" i="123"/>
  <c r="AO53" i="123" s="1"/>
  <c r="AL53" i="123"/>
  <c r="AP53" i="123" s="1"/>
  <c r="AM53" i="123"/>
  <c r="AQ53" i="123" s="1"/>
  <c r="Z53" i="123"/>
  <c r="AJ129" i="123"/>
  <c r="AN129" i="123" s="1"/>
  <c r="AK129" i="123"/>
  <c r="AO129" i="123" s="1"/>
  <c r="AL129" i="123"/>
  <c r="AP129" i="123" s="1"/>
  <c r="AM129" i="123"/>
  <c r="AQ129" i="123" s="1"/>
  <c r="Z129" i="123"/>
  <c r="AK96" i="123"/>
  <c r="AO96" i="123" s="1"/>
  <c r="AL96" i="123"/>
  <c r="AP96" i="123" s="1"/>
  <c r="AM96" i="123"/>
  <c r="AQ96" i="123" s="1"/>
  <c r="AJ96" i="123"/>
  <c r="AN96" i="123" s="1"/>
  <c r="Z96" i="123"/>
  <c r="AJ89" i="123"/>
  <c r="AN89" i="123" s="1"/>
  <c r="AK89" i="123"/>
  <c r="AO89" i="123" s="1"/>
  <c r="AL89" i="123"/>
  <c r="AP89" i="123" s="1"/>
  <c r="AM89" i="123"/>
  <c r="AQ89" i="123" s="1"/>
  <c r="Z89" i="123"/>
  <c r="AK78" i="123"/>
  <c r="AO78" i="123" s="1"/>
  <c r="AL78" i="123"/>
  <c r="AP78" i="123" s="1"/>
  <c r="AM78" i="123"/>
  <c r="AQ78" i="123" s="1"/>
  <c r="AJ78" i="123"/>
  <c r="AN78" i="123" s="1"/>
  <c r="Z78" i="123"/>
  <c r="AJ11" i="123"/>
  <c r="AN11" i="123" s="1"/>
  <c r="AL11" i="123"/>
  <c r="AP11" i="123" s="1"/>
  <c r="AK11" i="123"/>
  <c r="AO11" i="123" s="1"/>
  <c r="AM11" i="123"/>
  <c r="AQ11" i="123" s="1"/>
  <c r="Z11" i="123"/>
  <c r="AJ15" i="123"/>
  <c r="AN15" i="123" s="1"/>
  <c r="AL15" i="123"/>
  <c r="AP15" i="123" s="1"/>
  <c r="AM15" i="123"/>
  <c r="AQ15" i="123" s="1"/>
  <c r="AK15" i="123"/>
  <c r="AO15" i="123" s="1"/>
  <c r="Z15" i="123"/>
  <c r="AK132" i="123"/>
  <c r="AO132" i="123" s="1"/>
  <c r="AL132" i="123"/>
  <c r="AP132" i="123" s="1"/>
  <c r="AM132" i="123"/>
  <c r="AQ132" i="123" s="1"/>
  <c r="AJ132" i="123"/>
  <c r="AN132" i="123" s="1"/>
  <c r="Z132" i="123"/>
  <c r="AJ115" i="123"/>
  <c r="AN115" i="123" s="1"/>
  <c r="AR115" i="123" s="1"/>
  <c r="AL115" i="123"/>
  <c r="AP115" i="123" s="1"/>
  <c r="AM115" i="123"/>
  <c r="AQ115" i="123" s="1"/>
  <c r="AK115" i="123"/>
  <c r="AO115" i="123" s="1"/>
  <c r="Z115" i="123"/>
  <c r="AK110" i="123"/>
  <c r="AO110" i="123" s="1"/>
  <c r="AL110" i="123"/>
  <c r="AP110" i="123" s="1"/>
  <c r="AM110" i="123"/>
  <c r="AQ110" i="123" s="1"/>
  <c r="AJ110" i="123"/>
  <c r="AN110" i="123" s="1"/>
  <c r="Z110" i="123"/>
  <c r="AK94" i="123"/>
  <c r="AO94" i="123" s="1"/>
  <c r="AL94" i="123"/>
  <c r="AP94" i="123" s="1"/>
  <c r="AM94" i="123"/>
  <c r="AQ94" i="123" s="1"/>
  <c r="AJ94" i="123"/>
  <c r="AN94" i="123" s="1"/>
  <c r="Z94" i="123"/>
  <c r="AK52" i="123"/>
  <c r="AO52" i="123" s="1"/>
  <c r="AL52" i="123"/>
  <c r="AP52" i="123" s="1"/>
  <c r="AM52" i="123"/>
  <c r="AQ52" i="123" s="1"/>
  <c r="AJ52" i="123"/>
  <c r="AN52" i="123" s="1"/>
  <c r="Z52" i="123"/>
  <c r="AK32" i="123"/>
  <c r="AO32" i="123" s="1"/>
  <c r="AL32" i="123"/>
  <c r="AP32" i="123" s="1"/>
  <c r="AM32" i="123"/>
  <c r="AQ32" i="123" s="1"/>
  <c r="AJ32" i="123"/>
  <c r="AN32" i="123" s="1"/>
  <c r="Z32" i="123"/>
  <c r="AK98" i="123"/>
  <c r="AO98" i="123" s="1"/>
  <c r="AL98" i="123"/>
  <c r="AP98" i="123" s="1"/>
  <c r="AM98" i="123"/>
  <c r="AQ98" i="123" s="1"/>
  <c r="AJ98" i="123"/>
  <c r="AN98" i="123" s="1"/>
  <c r="AR98" i="123" s="1"/>
  <c r="Z98" i="123"/>
  <c r="AJ77" i="123"/>
  <c r="AN77" i="123" s="1"/>
  <c r="AK77" i="123"/>
  <c r="AO77" i="123" s="1"/>
  <c r="AL77" i="123"/>
  <c r="AP77" i="123" s="1"/>
  <c r="AM77" i="123"/>
  <c r="AQ77" i="123" s="1"/>
  <c r="Z77" i="123"/>
  <c r="AJ21" i="123"/>
  <c r="AN21" i="123" s="1"/>
  <c r="AK21" i="123"/>
  <c r="AO21" i="123" s="1"/>
  <c r="AL21" i="123"/>
  <c r="AP21" i="123" s="1"/>
  <c r="AM21" i="123"/>
  <c r="AQ21" i="123" s="1"/>
  <c r="Z21" i="123"/>
  <c r="AJ95" i="123"/>
  <c r="AN95" i="123" s="1"/>
  <c r="AR95" i="123" s="1"/>
  <c r="AL95" i="123"/>
  <c r="AP95" i="123" s="1"/>
  <c r="AM95" i="123"/>
  <c r="AQ95" i="123" s="1"/>
  <c r="AK95" i="123"/>
  <c r="AO95" i="123" s="1"/>
  <c r="Z95" i="123"/>
  <c r="AK58" i="123"/>
  <c r="AO58" i="123" s="1"/>
  <c r="AL58" i="123"/>
  <c r="AP58" i="123" s="1"/>
  <c r="AM58" i="123"/>
  <c r="AQ58" i="123" s="1"/>
  <c r="AJ58" i="123"/>
  <c r="AN58" i="123" s="1"/>
  <c r="Z58" i="123"/>
  <c r="AJ85" i="123"/>
  <c r="AN85" i="123" s="1"/>
  <c r="AK85" i="123"/>
  <c r="AO85" i="123" s="1"/>
  <c r="AL85" i="123"/>
  <c r="AP85" i="123" s="1"/>
  <c r="AM85" i="123"/>
  <c r="AQ85" i="123" s="1"/>
  <c r="Z85" i="123"/>
  <c r="AK108" i="123"/>
  <c r="AO108" i="123" s="1"/>
  <c r="AL108" i="123"/>
  <c r="AP108" i="123" s="1"/>
  <c r="AM108" i="123"/>
  <c r="AQ108" i="123" s="1"/>
  <c r="AJ108" i="123"/>
  <c r="AN108" i="123" s="1"/>
  <c r="Z108" i="123"/>
  <c r="AK124" i="123"/>
  <c r="AO124" i="123" s="1"/>
  <c r="AL124" i="123"/>
  <c r="AP124" i="123" s="1"/>
  <c r="AM124" i="123"/>
  <c r="AQ124" i="123" s="1"/>
  <c r="AJ124" i="123"/>
  <c r="AN124" i="123" s="1"/>
  <c r="Z124" i="123"/>
  <c r="AK8" i="123"/>
  <c r="AO8" i="123" s="1"/>
  <c r="AL8" i="123"/>
  <c r="AP8" i="123" s="1"/>
  <c r="AM8" i="123"/>
  <c r="AQ8" i="123" s="1"/>
  <c r="AJ8" i="123"/>
  <c r="AN8" i="123" s="1"/>
  <c r="Z8" i="123"/>
  <c r="AK142" i="123"/>
  <c r="AO142" i="123" s="1"/>
  <c r="AL142" i="123"/>
  <c r="AP142" i="123" s="1"/>
  <c r="AM142" i="123"/>
  <c r="AQ142" i="123" s="1"/>
  <c r="AJ142" i="123"/>
  <c r="AN142" i="123" s="1"/>
  <c r="Z142" i="123"/>
  <c r="AJ7" i="123"/>
  <c r="AN7" i="123" s="1"/>
  <c r="AL7" i="123"/>
  <c r="AP7" i="123" s="1"/>
  <c r="AM7" i="123"/>
  <c r="AQ7" i="123" s="1"/>
  <c r="AK7" i="123"/>
  <c r="AO7" i="123" s="1"/>
  <c r="Z7" i="123"/>
  <c r="AK134" i="123"/>
  <c r="AO134" i="123" s="1"/>
  <c r="AL134" i="123"/>
  <c r="AP134" i="123" s="1"/>
  <c r="AM134" i="123"/>
  <c r="AQ134" i="123" s="1"/>
  <c r="AJ134" i="123"/>
  <c r="AN134" i="123" s="1"/>
  <c r="Z134" i="123"/>
  <c r="AJ139" i="123"/>
  <c r="AN139" i="123" s="1"/>
  <c r="AL139" i="123"/>
  <c r="AP139" i="123" s="1"/>
  <c r="AM139" i="123"/>
  <c r="AQ139" i="123" s="1"/>
  <c r="AK139" i="123"/>
  <c r="AO139" i="123" s="1"/>
  <c r="Z139" i="123"/>
  <c r="AJ69" i="123"/>
  <c r="AN69" i="123" s="1"/>
  <c r="AK69" i="123"/>
  <c r="AO69" i="123" s="1"/>
  <c r="AL69" i="123"/>
  <c r="AP69" i="123" s="1"/>
  <c r="AM69" i="123"/>
  <c r="AQ69" i="123" s="1"/>
  <c r="Z69" i="123"/>
  <c r="AK86" i="123"/>
  <c r="AO86" i="123" s="1"/>
  <c r="AL86" i="123"/>
  <c r="AP86" i="123" s="1"/>
  <c r="AM86" i="123"/>
  <c r="AQ86" i="123" s="1"/>
  <c r="AJ86" i="123"/>
  <c r="AN86" i="123" s="1"/>
  <c r="Z86" i="123"/>
  <c r="AK16" i="123"/>
  <c r="AO16" i="123" s="1"/>
  <c r="AL16" i="123"/>
  <c r="AP16" i="123" s="1"/>
  <c r="AM16" i="123"/>
  <c r="AQ16" i="123" s="1"/>
  <c r="AJ16" i="123"/>
  <c r="AN16" i="123" s="1"/>
  <c r="Z16" i="123"/>
  <c r="AJ23" i="123"/>
  <c r="AN23" i="123" s="1"/>
  <c r="AL23" i="123"/>
  <c r="AP23" i="123" s="1"/>
  <c r="AM23" i="123"/>
  <c r="AQ23" i="123" s="1"/>
  <c r="AK23" i="123"/>
  <c r="AO23" i="123" s="1"/>
  <c r="Z23" i="123"/>
  <c r="AK24" i="123"/>
  <c r="AO24" i="123" s="1"/>
  <c r="AL24" i="123"/>
  <c r="AP24" i="123" s="1"/>
  <c r="AM24" i="123"/>
  <c r="AQ24" i="123" s="1"/>
  <c r="AJ24" i="123"/>
  <c r="AN24" i="123" s="1"/>
  <c r="Z24" i="123"/>
  <c r="AJ131" i="123"/>
  <c r="AN131" i="123" s="1"/>
  <c r="AL131" i="123"/>
  <c r="AP131" i="123" s="1"/>
  <c r="AM131" i="123"/>
  <c r="AQ131" i="123" s="1"/>
  <c r="AK131" i="123"/>
  <c r="AO131" i="123" s="1"/>
  <c r="Z131" i="123"/>
  <c r="AK10" i="123"/>
  <c r="AO10" i="123" s="1"/>
  <c r="AL10" i="123"/>
  <c r="AP10" i="123" s="1"/>
  <c r="AM10" i="123"/>
  <c r="AQ10" i="123" s="1"/>
  <c r="AJ10" i="123"/>
  <c r="AN10" i="123" s="1"/>
  <c r="Z10" i="123"/>
  <c r="AJ145" i="123"/>
  <c r="AN145" i="123" s="1"/>
  <c r="AK145" i="123"/>
  <c r="AO145" i="123" s="1"/>
  <c r="AL145" i="123"/>
  <c r="AP145" i="123" s="1"/>
  <c r="AM145" i="123"/>
  <c r="AQ145" i="123" s="1"/>
  <c r="Z145" i="123"/>
  <c r="AJ17" i="123"/>
  <c r="AN17" i="123" s="1"/>
  <c r="AK17" i="123"/>
  <c r="AO17" i="123" s="1"/>
  <c r="AL17" i="123"/>
  <c r="AP17" i="123" s="1"/>
  <c r="AM17" i="123"/>
  <c r="AQ17" i="123" s="1"/>
  <c r="Z17" i="123"/>
  <c r="AK38" i="123"/>
  <c r="AO38" i="123" s="1"/>
  <c r="AL38" i="123"/>
  <c r="AP38" i="123" s="1"/>
  <c r="AM38" i="123"/>
  <c r="AQ38" i="123" s="1"/>
  <c r="AJ38" i="123"/>
  <c r="AN38" i="123" s="1"/>
  <c r="Z38" i="123"/>
  <c r="AK104" i="123"/>
  <c r="AO104" i="123" s="1"/>
  <c r="AL104" i="123"/>
  <c r="AP104" i="123" s="1"/>
  <c r="AM104" i="123"/>
  <c r="AQ104" i="123" s="1"/>
  <c r="AJ104" i="123"/>
  <c r="AN104" i="123" s="1"/>
  <c r="Z104" i="123"/>
  <c r="AK70" i="123"/>
  <c r="AO70" i="123" s="1"/>
  <c r="AL70" i="123"/>
  <c r="AP70" i="123" s="1"/>
  <c r="AM70" i="123"/>
  <c r="AQ70" i="123" s="1"/>
  <c r="AJ70" i="123"/>
  <c r="AN70" i="123" s="1"/>
  <c r="Z70" i="123"/>
  <c r="AJ107" i="123"/>
  <c r="AN107" i="123" s="1"/>
  <c r="AL107" i="123"/>
  <c r="AP107" i="123" s="1"/>
  <c r="AM107" i="123"/>
  <c r="AQ107" i="123" s="1"/>
  <c r="AK107" i="123"/>
  <c r="AO107" i="123" s="1"/>
  <c r="Z107" i="123"/>
  <c r="AJ121" i="123"/>
  <c r="AN121" i="123" s="1"/>
  <c r="AK121" i="123"/>
  <c r="AO121" i="123" s="1"/>
  <c r="AL121" i="123"/>
  <c r="AP121" i="123" s="1"/>
  <c r="AM121" i="123"/>
  <c r="AQ121" i="123" s="1"/>
  <c r="Z121" i="123"/>
  <c r="AJ63" i="123"/>
  <c r="AN63" i="123" s="1"/>
  <c r="AR63" i="123" s="1"/>
  <c r="AL63" i="123"/>
  <c r="AP63" i="123" s="1"/>
  <c r="AK63" i="123"/>
  <c r="AO63" i="123" s="1"/>
  <c r="AM63" i="123"/>
  <c r="AQ63" i="123" s="1"/>
  <c r="Z63" i="123"/>
  <c r="AK102" i="123"/>
  <c r="AO102" i="123" s="1"/>
  <c r="AL102" i="123"/>
  <c r="AP102" i="123" s="1"/>
  <c r="AM102" i="123"/>
  <c r="AQ102" i="123" s="1"/>
  <c r="AJ102" i="123"/>
  <c r="AN102" i="123" s="1"/>
  <c r="Z102" i="123"/>
  <c r="AK138" i="123"/>
  <c r="AO138" i="123" s="1"/>
  <c r="AL138" i="123"/>
  <c r="AP138" i="123" s="1"/>
  <c r="AM138" i="123"/>
  <c r="AQ138" i="123" s="1"/>
  <c r="AJ138" i="123"/>
  <c r="AN138" i="123" s="1"/>
  <c r="Z138" i="123"/>
  <c r="AJ99" i="123"/>
  <c r="AN99" i="123" s="1"/>
  <c r="AL99" i="123"/>
  <c r="AP99" i="123" s="1"/>
  <c r="AK99" i="123"/>
  <c r="AO99" i="123" s="1"/>
  <c r="AM99" i="123"/>
  <c r="AQ99" i="123" s="1"/>
  <c r="Z99" i="123"/>
  <c r="AK126" i="123"/>
  <c r="AO126" i="123" s="1"/>
  <c r="AL126" i="123"/>
  <c r="AP126" i="123" s="1"/>
  <c r="AM126" i="123"/>
  <c r="AQ126" i="123" s="1"/>
  <c r="AJ126" i="123"/>
  <c r="AN126" i="123" s="1"/>
  <c r="Z126" i="123"/>
  <c r="AK92" i="123"/>
  <c r="AO92" i="123" s="1"/>
  <c r="AL92" i="123"/>
  <c r="AP92" i="123" s="1"/>
  <c r="AM92" i="123"/>
  <c r="AQ92" i="123" s="1"/>
  <c r="AJ92" i="123"/>
  <c r="AN92" i="123" s="1"/>
  <c r="Z92" i="123"/>
  <c r="AK64" i="123"/>
  <c r="AO64" i="123" s="1"/>
  <c r="AL64" i="123"/>
  <c r="AP64" i="123" s="1"/>
  <c r="AM64" i="123"/>
  <c r="AQ64" i="123" s="1"/>
  <c r="AJ64" i="123"/>
  <c r="AN64" i="123" s="1"/>
  <c r="Z64" i="123"/>
  <c r="AK14" i="123"/>
  <c r="AO14" i="123" s="1"/>
  <c r="AL14" i="123"/>
  <c r="AP14" i="123" s="1"/>
  <c r="AM14" i="123"/>
  <c r="AQ14" i="123" s="1"/>
  <c r="AJ14" i="123"/>
  <c r="AN14" i="123" s="1"/>
  <c r="Z14" i="123"/>
  <c r="AJ65" i="123"/>
  <c r="AN65" i="123" s="1"/>
  <c r="AR65" i="123" s="1"/>
  <c r="AK65" i="123"/>
  <c r="AO65" i="123" s="1"/>
  <c r="AL65" i="123"/>
  <c r="AP65" i="123" s="1"/>
  <c r="AM65" i="123"/>
  <c r="AQ65" i="123" s="1"/>
  <c r="Z65" i="123"/>
  <c r="AJ141" i="123"/>
  <c r="AN141" i="123" s="1"/>
  <c r="AK141" i="123"/>
  <c r="AO141" i="123" s="1"/>
  <c r="AL141" i="123"/>
  <c r="AP141" i="123" s="1"/>
  <c r="AM141" i="123"/>
  <c r="AQ141" i="123" s="1"/>
  <c r="Z141" i="123"/>
  <c r="AK28" i="123"/>
  <c r="AO28" i="123" s="1"/>
  <c r="AL28" i="123"/>
  <c r="AP28" i="123" s="1"/>
  <c r="AM28" i="123"/>
  <c r="AQ28" i="123" s="1"/>
  <c r="AJ28" i="123"/>
  <c r="AN28" i="123" s="1"/>
  <c r="Z28" i="123"/>
  <c r="AJ43" i="123"/>
  <c r="AN43" i="123" s="1"/>
  <c r="AL43" i="123"/>
  <c r="AP43" i="123" s="1"/>
  <c r="AM43" i="123"/>
  <c r="AQ43" i="123" s="1"/>
  <c r="AK43" i="123"/>
  <c r="AO43" i="123" s="1"/>
  <c r="Z43" i="123"/>
  <c r="AJ137" i="123"/>
  <c r="AN137" i="123" s="1"/>
  <c r="AK137" i="123"/>
  <c r="AO137" i="123" s="1"/>
  <c r="AL137" i="123"/>
  <c r="AP137" i="123" s="1"/>
  <c r="AM137" i="123"/>
  <c r="AQ137" i="123" s="1"/>
  <c r="Z137" i="123"/>
  <c r="AJ51" i="123"/>
  <c r="AN51" i="123" s="1"/>
  <c r="AL51" i="123"/>
  <c r="AP51" i="123" s="1"/>
  <c r="AM51" i="123"/>
  <c r="AQ51" i="123" s="1"/>
  <c r="AK51" i="123"/>
  <c r="AO51" i="123" s="1"/>
  <c r="Z51" i="123"/>
  <c r="AJ55" i="123"/>
  <c r="AN55" i="123" s="1"/>
  <c r="AL55" i="123"/>
  <c r="AP55" i="123" s="1"/>
  <c r="AM55" i="123"/>
  <c r="AQ55" i="123" s="1"/>
  <c r="AK55" i="123"/>
  <c r="AO55" i="123" s="1"/>
  <c r="Z55" i="123"/>
  <c r="AJ39" i="123"/>
  <c r="AN39" i="123" s="1"/>
  <c r="AL39" i="123"/>
  <c r="AP39" i="123" s="1"/>
  <c r="AM39" i="123"/>
  <c r="AQ39" i="123" s="1"/>
  <c r="AK39" i="123"/>
  <c r="AO39" i="123" s="1"/>
  <c r="Z39" i="123"/>
  <c r="AK90" i="123"/>
  <c r="AO90" i="123" s="1"/>
  <c r="AL90" i="123"/>
  <c r="AP90" i="123" s="1"/>
  <c r="AM90" i="123"/>
  <c r="AQ90" i="123" s="1"/>
  <c r="AJ90" i="123"/>
  <c r="AN90" i="123" s="1"/>
  <c r="Z90" i="123"/>
  <c r="AK56" i="123"/>
  <c r="AO56" i="123" s="1"/>
  <c r="AL56" i="123"/>
  <c r="AP56" i="123" s="1"/>
  <c r="AM56" i="123"/>
  <c r="AQ56" i="123" s="1"/>
  <c r="AJ56" i="123"/>
  <c r="AN56" i="123" s="1"/>
  <c r="AR56" i="123" s="1"/>
  <c r="Z56" i="123"/>
  <c r="AJ35" i="123"/>
  <c r="AN35" i="123" s="1"/>
  <c r="AL35" i="123"/>
  <c r="AP35" i="123" s="1"/>
  <c r="AM35" i="123"/>
  <c r="AQ35" i="123" s="1"/>
  <c r="AK35" i="123"/>
  <c r="AO35" i="123" s="1"/>
  <c r="Z35" i="123"/>
  <c r="AK50" i="123"/>
  <c r="AO50" i="123" s="1"/>
  <c r="AL50" i="123"/>
  <c r="AP50" i="123" s="1"/>
  <c r="AM50" i="123"/>
  <c r="AQ50" i="123" s="1"/>
  <c r="AJ50" i="123"/>
  <c r="AN50" i="123" s="1"/>
  <c r="Z50" i="123"/>
  <c r="AM146" i="123"/>
  <c r="AQ146" i="123" s="1"/>
  <c r="AL146" i="123"/>
  <c r="AP146" i="123" s="1"/>
  <c r="AJ146" i="123"/>
  <c r="AN146" i="123" s="1"/>
  <c r="AK146" i="123"/>
  <c r="AO146" i="123" s="1"/>
  <c r="Z146" i="123"/>
  <c r="AK46" i="123"/>
  <c r="AO46" i="123" s="1"/>
  <c r="AL46" i="123"/>
  <c r="AP46" i="123" s="1"/>
  <c r="AM46" i="123"/>
  <c r="AQ46" i="123" s="1"/>
  <c r="AJ46" i="123"/>
  <c r="AN46" i="123" s="1"/>
  <c r="Z46" i="123"/>
  <c r="AJ101" i="123"/>
  <c r="AN101" i="123" s="1"/>
  <c r="AK101" i="123"/>
  <c r="AO101" i="123" s="1"/>
  <c r="AL101" i="123"/>
  <c r="AP101" i="123" s="1"/>
  <c r="AM101" i="123"/>
  <c r="AQ101" i="123" s="1"/>
  <c r="Z101" i="123"/>
  <c r="AK140" i="123"/>
  <c r="AO140" i="123" s="1"/>
  <c r="AL140" i="123"/>
  <c r="AP140" i="123" s="1"/>
  <c r="AM140" i="123"/>
  <c r="AQ140" i="123" s="1"/>
  <c r="AJ140" i="123"/>
  <c r="AN140" i="123" s="1"/>
  <c r="Z140" i="123"/>
  <c r="AK34" i="123"/>
  <c r="AO34" i="123" s="1"/>
  <c r="AL34" i="123"/>
  <c r="AP34" i="123" s="1"/>
  <c r="AM34" i="123"/>
  <c r="AQ34" i="123" s="1"/>
  <c r="AJ34" i="123"/>
  <c r="AN34" i="123" s="1"/>
  <c r="Z34" i="123"/>
  <c r="AK112" i="123"/>
  <c r="AO112" i="123" s="1"/>
  <c r="AL112" i="123"/>
  <c r="AP112" i="123" s="1"/>
  <c r="AM112" i="123"/>
  <c r="AQ112" i="123" s="1"/>
  <c r="AJ112" i="123"/>
  <c r="AN112" i="123" s="1"/>
  <c r="AR112" i="123" s="1"/>
  <c r="Z112" i="123"/>
  <c r="AK114" i="123"/>
  <c r="AO114" i="123" s="1"/>
  <c r="AL114" i="123"/>
  <c r="AP114" i="123" s="1"/>
  <c r="AM114" i="123"/>
  <c r="AQ114" i="123" s="1"/>
  <c r="AJ114" i="123"/>
  <c r="AN114" i="123" s="1"/>
  <c r="Z114" i="123"/>
  <c r="AK20" i="123"/>
  <c r="AO20" i="123" s="1"/>
  <c r="AL20" i="123"/>
  <c r="AP20" i="123" s="1"/>
  <c r="AM20" i="123"/>
  <c r="AQ20" i="123" s="1"/>
  <c r="AJ20" i="123"/>
  <c r="AN20" i="123" s="1"/>
  <c r="Z20" i="123"/>
  <c r="AK88" i="123"/>
  <c r="AO88" i="123" s="1"/>
  <c r="AL88" i="123"/>
  <c r="AP88" i="123" s="1"/>
  <c r="AM88" i="123"/>
  <c r="AQ88" i="123" s="1"/>
  <c r="AJ88" i="123"/>
  <c r="AN88" i="123" s="1"/>
  <c r="Z88" i="123"/>
  <c r="AJ33" i="123"/>
  <c r="AN33" i="123" s="1"/>
  <c r="AK33" i="123"/>
  <c r="AO33" i="123" s="1"/>
  <c r="AL33" i="123"/>
  <c r="AP33" i="123" s="1"/>
  <c r="AM33" i="123"/>
  <c r="AQ33" i="123" s="1"/>
  <c r="Z33" i="123"/>
  <c r="AK74" i="123"/>
  <c r="AO74" i="123" s="1"/>
  <c r="AL74" i="123"/>
  <c r="AP74" i="123" s="1"/>
  <c r="AM74" i="123"/>
  <c r="AQ74" i="123" s="1"/>
  <c r="AJ74" i="123"/>
  <c r="AN74" i="123" s="1"/>
  <c r="Z74" i="123"/>
  <c r="AJ113" i="123"/>
  <c r="AN113" i="123" s="1"/>
  <c r="AK113" i="123"/>
  <c r="AO113" i="123" s="1"/>
  <c r="AL113" i="123"/>
  <c r="AP113" i="123" s="1"/>
  <c r="AM113" i="123"/>
  <c r="AQ113" i="123" s="1"/>
  <c r="Z113" i="123"/>
  <c r="AK42" i="123"/>
  <c r="AO42" i="123" s="1"/>
  <c r="AL42" i="123"/>
  <c r="AP42" i="123" s="1"/>
  <c r="AM42" i="123"/>
  <c r="AQ42" i="123" s="1"/>
  <c r="AJ42" i="123"/>
  <c r="AN42" i="123" s="1"/>
  <c r="Z42" i="123"/>
  <c r="AJ117" i="123"/>
  <c r="AN117" i="123" s="1"/>
  <c r="AK117" i="123"/>
  <c r="AO117" i="123" s="1"/>
  <c r="AL117" i="123"/>
  <c r="AP117" i="123" s="1"/>
  <c r="AM117" i="123"/>
  <c r="AQ117" i="123" s="1"/>
  <c r="Z117" i="123"/>
  <c r="AJ83" i="123"/>
  <c r="AN83" i="123" s="1"/>
  <c r="AL83" i="123"/>
  <c r="AP83" i="123" s="1"/>
  <c r="AM83" i="123"/>
  <c r="AQ83" i="123" s="1"/>
  <c r="AK83" i="123"/>
  <c r="AO83" i="123" s="1"/>
  <c r="Z83" i="123"/>
  <c r="AJ81" i="123"/>
  <c r="AN81" i="123" s="1"/>
  <c r="AK81" i="123"/>
  <c r="AO81" i="123" s="1"/>
  <c r="AL81" i="123"/>
  <c r="AP81" i="123" s="1"/>
  <c r="AM81" i="123"/>
  <c r="AQ81" i="123" s="1"/>
  <c r="Z81" i="123"/>
  <c r="AJ87" i="123"/>
  <c r="AN87" i="123" s="1"/>
  <c r="AL87" i="123"/>
  <c r="AP87" i="123" s="1"/>
  <c r="AK87" i="123"/>
  <c r="AO87" i="123" s="1"/>
  <c r="AM87" i="123"/>
  <c r="AQ87" i="123" s="1"/>
  <c r="Z87" i="123"/>
  <c r="AJ105" i="123"/>
  <c r="AN105" i="123" s="1"/>
  <c r="AK105" i="123"/>
  <c r="AO105" i="123" s="1"/>
  <c r="AL105" i="123"/>
  <c r="AP105" i="123" s="1"/>
  <c r="AM105" i="123"/>
  <c r="AQ105" i="123" s="1"/>
  <c r="Z105" i="123"/>
  <c r="AJ79" i="123"/>
  <c r="AN79" i="123" s="1"/>
  <c r="AL79" i="123"/>
  <c r="AP79" i="123" s="1"/>
  <c r="AM79" i="123"/>
  <c r="AQ79" i="123" s="1"/>
  <c r="AK79" i="123"/>
  <c r="AO79" i="123" s="1"/>
  <c r="Z79" i="123"/>
  <c r="AK62" i="123"/>
  <c r="AO62" i="123" s="1"/>
  <c r="AL62" i="123"/>
  <c r="AP62" i="123" s="1"/>
  <c r="AM62" i="123"/>
  <c r="AQ62" i="123" s="1"/>
  <c r="AJ62" i="123"/>
  <c r="AN62" i="123" s="1"/>
  <c r="Z62" i="123"/>
  <c r="AJ133" i="123"/>
  <c r="AN133" i="123" s="1"/>
  <c r="AR133" i="123" s="1"/>
  <c r="AK133" i="123"/>
  <c r="AO133" i="123" s="1"/>
  <c r="AL133" i="123"/>
  <c r="AP133" i="123" s="1"/>
  <c r="AM133" i="123"/>
  <c r="AQ133" i="123" s="1"/>
  <c r="Z133" i="123"/>
  <c r="AL148" i="123"/>
  <c r="AP148" i="123" s="1"/>
  <c r="AM148" i="123"/>
  <c r="AQ148" i="123" s="1"/>
  <c r="AJ148" i="123"/>
  <c r="AN148" i="123" s="1"/>
  <c r="AK148" i="123"/>
  <c r="AO148" i="123" s="1"/>
  <c r="Z148" i="123"/>
  <c r="AJ143" i="123"/>
  <c r="AN143" i="123" s="1"/>
  <c r="AL143" i="123"/>
  <c r="AP143" i="123" s="1"/>
  <c r="AK143" i="123"/>
  <c r="AO143" i="123" s="1"/>
  <c r="AM143" i="123"/>
  <c r="AQ143" i="123" s="1"/>
  <c r="Z143" i="123"/>
  <c r="AJ25" i="123"/>
  <c r="AN25" i="123" s="1"/>
  <c r="AK25" i="123"/>
  <c r="AO25" i="123" s="1"/>
  <c r="AL25" i="123"/>
  <c r="AP25" i="123" s="1"/>
  <c r="AM25" i="123"/>
  <c r="AQ25" i="123" s="1"/>
  <c r="Z25" i="123"/>
  <c r="AJ37" i="123"/>
  <c r="AN37" i="123" s="1"/>
  <c r="AK37" i="123"/>
  <c r="AO37" i="123" s="1"/>
  <c r="AL37" i="123"/>
  <c r="AP37" i="123" s="1"/>
  <c r="AM37" i="123"/>
  <c r="AQ37" i="123" s="1"/>
  <c r="Z37" i="123"/>
  <c r="AK118" i="123"/>
  <c r="AO118" i="123" s="1"/>
  <c r="AL118" i="123"/>
  <c r="AP118" i="123" s="1"/>
  <c r="AM118" i="123"/>
  <c r="AQ118" i="123" s="1"/>
  <c r="AJ118" i="123"/>
  <c r="AN118" i="123" s="1"/>
  <c r="Z118" i="123"/>
  <c r="AJ31" i="123"/>
  <c r="AN31" i="123" s="1"/>
  <c r="AL31" i="123"/>
  <c r="AP31" i="123" s="1"/>
  <c r="AM31" i="123"/>
  <c r="AQ31" i="123" s="1"/>
  <c r="AK31" i="123"/>
  <c r="AO31" i="123" s="1"/>
  <c r="Z31" i="123"/>
  <c r="AJ103" i="123"/>
  <c r="AN103" i="123" s="1"/>
  <c r="AL103" i="123"/>
  <c r="AP103" i="123" s="1"/>
  <c r="AM103" i="123"/>
  <c r="AQ103" i="123" s="1"/>
  <c r="AK103" i="123"/>
  <c r="AO103" i="123" s="1"/>
  <c r="Z103" i="123"/>
  <c r="AK122" i="123"/>
  <c r="AO122" i="123" s="1"/>
  <c r="AL122" i="123"/>
  <c r="AP122" i="123" s="1"/>
  <c r="AM122" i="123"/>
  <c r="AQ122" i="123" s="1"/>
  <c r="AJ122" i="123"/>
  <c r="AN122" i="123" s="1"/>
  <c r="Z122" i="123"/>
  <c r="AJ71" i="123"/>
  <c r="AN71" i="123" s="1"/>
  <c r="AL71" i="123"/>
  <c r="AP71" i="123" s="1"/>
  <c r="AM71" i="123"/>
  <c r="AQ71" i="123" s="1"/>
  <c r="AK71" i="123"/>
  <c r="AO71" i="123" s="1"/>
  <c r="Z71" i="123"/>
  <c r="AJ27" i="123"/>
  <c r="AN27" i="123" s="1"/>
  <c r="AL27" i="123"/>
  <c r="AP27" i="123" s="1"/>
  <c r="AK27" i="123"/>
  <c r="AO27" i="123" s="1"/>
  <c r="AM27" i="123"/>
  <c r="AQ27" i="123" s="1"/>
  <c r="Z27" i="123"/>
  <c r="AJ59" i="123"/>
  <c r="AN59" i="123" s="1"/>
  <c r="AL59" i="123"/>
  <c r="AP59" i="123" s="1"/>
  <c r="AM59" i="123"/>
  <c r="AQ59" i="123" s="1"/>
  <c r="AK59" i="123"/>
  <c r="AO59" i="123" s="1"/>
  <c r="Z59" i="123"/>
  <c r="AJ5" i="123"/>
  <c r="AN5" i="123" s="1"/>
  <c r="AK5" i="123"/>
  <c r="AO5" i="123" s="1"/>
  <c r="AL5" i="123"/>
  <c r="AP5" i="123" s="1"/>
  <c r="AM5" i="123"/>
  <c r="AQ5" i="123" s="1"/>
  <c r="Z5" i="123"/>
  <c r="AJ41" i="123"/>
  <c r="AN41" i="123" s="1"/>
  <c r="AK41" i="123"/>
  <c r="AO41" i="123" s="1"/>
  <c r="AL41" i="123"/>
  <c r="AP41" i="123" s="1"/>
  <c r="AM41" i="123"/>
  <c r="AQ41" i="123" s="1"/>
  <c r="Z41" i="123"/>
  <c r="AJ49" i="123"/>
  <c r="AN49" i="123" s="1"/>
  <c r="AK49" i="123"/>
  <c r="AO49" i="123" s="1"/>
  <c r="AL49" i="123"/>
  <c r="AP49" i="123" s="1"/>
  <c r="AM49" i="123"/>
  <c r="AQ49" i="123" s="1"/>
  <c r="Z49" i="123"/>
  <c r="AJ123" i="123"/>
  <c r="AN123" i="123" s="1"/>
  <c r="AL123" i="123"/>
  <c r="AP123" i="123" s="1"/>
  <c r="AM123" i="123"/>
  <c r="AQ123" i="123" s="1"/>
  <c r="AK123" i="123"/>
  <c r="AO123" i="123" s="1"/>
  <c r="Z123" i="123"/>
  <c r="AK6" i="123"/>
  <c r="AO6" i="123" s="1"/>
  <c r="AL6" i="123"/>
  <c r="AP6" i="123" s="1"/>
  <c r="AM6" i="123"/>
  <c r="AQ6" i="123" s="1"/>
  <c r="AJ6" i="123"/>
  <c r="AN6" i="123" s="1"/>
  <c r="Z6" i="123"/>
  <c r="AK54" i="123"/>
  <c r="AO54" i="123" s="1"/>
  <c r="AL54" i="123"/>
  <c r="AP54" i="123" s="1"/>
  <c r="AM54" i="123"/>
  <c r="AQ54" i="123" s="1"/>
  <c r="AJ54" i="123"/>
  <c r="AN54" i="123" s="1"/>
  <c r="AR54" i="123" s="1"/>
  <c r="Z54" i="123"/>
  <c r="AK40" i="123"/>
  <c r="AO40" i="123" s="1"/>
  <c r="AL40" i="123"/>
  <c r="AP40" i="123" s="1"/>
  <c r="AM40" i="123"/>
  <c r="AQ40" i="123" s="1"/>
  <c r="AJ40" i="123"/>
  <c r="AN40" i="123" s="1"/>
  <c r="Z40" i="123"/>
  <c r="AK60" i="123"/>
  <c r="AO60" i="123" s="1"/>
  <c r="AL60" i="123"/>
  <c r="AP60" i="123" s="1"/>
  <c r="AM60" i="123"/>
  <c r="AQ60" i="123" s="1"/>
  <c r="AJ60" i="123"/>
  <c r="AN60" i="123" s="1"/>
  <c r="Z60" i="123"/>
  <c r="AJ111" i="123"/>
  <c r="AN111" i="123" s="1"/>
  <c r="AL111" i="123"/>
  <c r="AP111" i="123" s="1"/>
  <c r="AM111" i="123"/>
  <c r="AQ111" i="123" s="1"/>
  <c r="AK111" i="123"/>
  <c r="AO111" i="123" s="1"/>
  <c r="Z111" i="123"/>
  <c r="AK22" i="123"/>
  <c r="AO22" i="123" s="1"/>
  <c r="AL22" i="123"/>
  <c r="AP22" i="123" s="1"/>
  <c r="AM22" i="123"/>
  <c r="AQ22" i="123" s="1"/>
  <c r="AJ22" i="123"/>
  <c r="AN22" i="123" s="1"/>
  <c r="Z22" i="123"/>
  <c r="AK4" i="123"/>
  <c r="AO4" i="123" s="1"/>
  <c r="AL4" i="123"/>
  <c r="AP4" i="123" s="1"/>
  <c r="AM4" i="123"/>
  <c r="AQ4" i="123" s="1"/>
  <c r="AJ4" i="123"/>
  <c r="AN4" i="123" s="1"/>
  <c r="G1" i="123"/>
  <c r="Z4" i="123"/>
  <c r="AJ67" i="123"/>
  <c r="AN67" i="123" s="1"/>
  <c r="AL67" i="123"/>
  <c r="AP67" i="123" s="1"/>
  <c r="AM67" i="123"/>
  <c r="AQ67" i="123" s="1"/>
  <c r="AK67" i="123"/>
  <c r="AO67" i="123" s="1"/>
  <c r="Z67" i="123"/>
  <c r="AJ147" i="123"/>
  <c r="AN147" i="123" s="1"/>
  <c r="AK147" i="123"/>
  <c r="AO147" i="123" s="1"/>
  <c r="AL147" i="123"/>
  <c r="AP147" i="123" s="1"/>
  <c r="AM147" i="123"/>
  <c r="AQ147" i="123" s="1"/>
  <c r="Z147" i="123"/>
  <c r="AJ109" i="123"/>
  <c r="AN109" i="123" s="1"/>
  <c r="AK109" i="123"/>
  <c r="AO109" i="123" s="1"/>
  <c r="AL109" i="123"/>
  <c r="AP109" i="123" s="1"/>
  <c r="AM109" i="123"/>
  <c r="AQ109" i="123" s="1"/>
  <c r="Z109" i="123"/>
  <c r="AJ75" i="123"/>
  <c r="AN75" i="123" s="1"/>
  <c r="AL75" i="123"/>
  <c r="AP75" i="123" s="1"/>
  <c r="AM75" i="123"/>
  <c r="AQ75" i="123" s="1"/>
  <c r="AK75" i="123"/>
  <c r="AO75" i="123" s="1"/>
  <c r="Z75" i="123"/>
  <c r="AK100" i="123"/>
  <c r="AO100" i="123" s="1"/>
  <c r="AL100" i="123"/>
  <c r="AP100" i="123" s="1"/>
  <c r="AM100" i="123"/>
  <c r="AQ100" i="123" s="1"/>
  <c r="AJ100" i="123"/>
  <c r="AN100" i="123" s="1"/>
  <c r="Z100" i="123"/>
  <c r="AK128" i="123"/>
  <c r="AO128" i="123" s="1"/>
  <c r="AL128" i="123"/>
  <c r="AP128" i="123" s="1"/>
  <c r="AM128" i="123"/>
  <c r="AQ128" i="123" s="1"/>
  <c r="AJ128" i="123"/>
  <c r="AN128" i="123" s="1"/>
  <c r="AR128" i="123" s="1"/>
  <c r="Z128" i="123"/>
  <c r="AK136" i="123"/>
  <c r="AO136" i="123" s="1"/>
  <c r="AL136" i="123"/>
  <c r="AP136" i="123" s="1"/>
  <c r="AM136" i="123"/>
  <c r="AQ136" i="123" s="1"/>
  <c r="AJ136" i="123"/>
  <c r="AN136" i="123" s="1"/>
  <c r="Z136" i="123"/>
  <c r="AK36" i="123"/>
  <c r="AO36" i="123" s="1"/>
  <c r="AL36" i="123"/>
  <c r="AP36" i="123" s="1"/>
  <c r="AM36" i="123"/>
  <c r="AQ36" i="123" s="1"/>
  <c r="AJ36" i="123"/>
  <c r="AN36" i="123" s="1"/>
  <c r="Z36" i="123"/>
  <c r="AJ119" i="123"/>
  <c r="AN119" i="123" s="1"/>
  <c r="AL119" i="123"/>
  <c r="AP119" i="123" s="1"/>
  <c r="AK119" i="123"/>
  <c r="AO119" i="123" s="1"/>
  <c r="AM119" i="123"/>
  <c r="AQ119" i="123" s="1"/>
  <c r="Z119" i="123"/>
  <c r="AK144" i="123"/>
  <c r="AO144" i="123" s="1"/>
  <c r="AL144" i="123"/>
  <c r="AP144" i="123" s="1"/>
  <c r="AM144" i="123"/>
  <c r="AQ144" i="123" s="1"/>
  <c r="AJ144" i="123"/>
  <c r="AN144" i="123" s="1"/>
  <c r="Z144" i="123"/>
  <c r="AJ29" i="123"/>
  <c r="AN29" i="123" s="1"/>
  <c r="AK29" i="123"/>
  <c r="AO29" i="123" s="1"/>
  <c r="AL29" i="123"/>
  <c r="AP29" i="123" s="1"/>
  <c r="AM29" i="123"/>
  <c r="AQ29" i="123" s="1"/>
  <c r="Z29" i="123"/>
  <c r="AK26" i="123"/>
  <c r="AO26" i="123" s="1"/>
  <c r="AL26" i="123"/>
  <c r="AP26" i="123" s="1"/>
  <c r="AM26" i="123"/>
  <c r="AQ26" i="123" s="1"/>
  <c r="AJ26" i="123"/>
  <c r="AN26" i="123" s="1"/>
  <c r="Z26" i="123"/>
  <c r="AJ13" i="123"/>
  <c r="AN13" i="123" s="1"/>
  <c r="AR13" i="123" s="1"/>
  <c r="AK13" i="123"/>
  <c r="AO13" i="123" s="1"/>
  <c r="AL13" i="123"/>
  <c r="AP13" i="123" s="1"/>
  <c r="AM13" i="123"/>
  <c r="AQ13" i="123" s="1"/>
  <c r="Z13" i="123"/>
  <c r="AK80" i="123"/>
  <c r="AO80" i="123" s="1"/>
  <c r="AL80" i="123"/>
  <c r="AP80" i="123" s="1"/>
  <c r="AM80" i="123"/>
  <c r="AQ80" i="123" s="1"/>
  <c r="AJ80" i="123"/>
  <c r="AN80" i="123" s="1"/>
  <c r="AR80" i="123" s="1"/>
  <c r="Z80" i="123"/>
  <c r="AJ47" i="123"/>
  <c r="AN47" i="123" s="1"/>
  <c r="AL47" i="123"/>
  <c r="AP47" i="123" s="1"/>
  <c r="AK47" i="123"/>
  <c r="AO47" i="123" s="1"/>
  <c r="AM47" i="123"/>
  <c r="AQ47" i="123" s="1"/>
  <c r="Z47" i="123"/>
  <c r="AK82" i="123"/>
  <c r="AO82" i="123" s="1"/>
  <c r="AL82" i="123"/>
  <c r="AP82" i="123" s="1"/>
  <c r="AM82" i="123"/>
  <c r="AQ82" i="123" s="1"/>
  <c r="AJ82" i="123"/>
  <c r="AN82" i="123" s="1"/>
  <c r="Z82" i="123"/>
  <c r="AK12" i="123"/>
  <c r="AO12" i="123" s="1"/>
  <c r="AL12" i="123"/>
  <c r="AP12" i="123" s="1"/>
  <c r="AM12" i="123"/>
  <c r="AQ12" i="123" s="1"/>
  <c r="AJ12" i="123"/>
  <c r="AN12" i="123" s="1"/>
  <c r="Z12" i="123"/>
  <c r="AK66" i="123"/>
  <c r="AO66" i="123" s="1"/>
  <c r="AL66" i="123"/>
  <c r="AP66" i="123" s="1"/>
  <c r="AM66" i="123"/>
  <c r="AQ66" i="123" s="1"/>
  <c r="AJ66" i="123"/>
  <c r="AN66" i="123" s="1"/>
  <c r="Z66" i="123"/>
  <c r="AJ97" i="123"/>
  <c r="AN97" i="123" s="1"/>
  <c r="AK97" i="123"/>
  <c r="AO97" i="123" s="1"/>
  <c r="AL97" i="123"/>
  <c r="AP97" i="123" s="1"/>
  <c r="AM97" i="123"/>
  <c r="AQ97" i="123" s="1"/>
  <c r="Z97" i="123"/>
  <c r="AJ61" i="123"/>
  <c r="AN61" i="123" s="1"/>
  <c r="AK61" i="123"/>
  <c r="AO61" i="123" s="1"/>
  <c r="AL61" i="123"/>
  <c r="AP61" i="123" s="1"/>
  <c r="AM61" i="123"/>
  <c r="AQ61" i="123" s="1"/>
  <c r="Z61" i="123"/>
  <c r="AJ9" i="123"/>
  <c r="AN9" i="123" s="1"/>
  <c r="AR9" i="123" s="1"/>
  <c r="AK9" i="123"/>
  <c r="AO9" i="123" s="1"/>
  <c r="AL9" i="123"/>
  <c r="AP9" i="123" s="1"/>
  <c r="AM9" i="123"/>
  <c r="AQ9" i="123" s="1"/>
  <c r="Z9" i="123"/>
  <c r="AK18" i="123"/>
  <c r="AO18" i="123" s="1"/>
  <c r="AL18" i="123"/>
  <c r="AP18" i="123" s="1"/>
  <c r="AM18" i="123"/>
  <c r="AQ18" i="123" s="1"/>
  <c r="AJ18" i="123"/>
  <c r="AN18" i="123" s="1"/>
  <c r="AR18" i="123" s="1"/>
  <c r="Z18" i="123"/>
  <c r="AK84" i="123"/>
  <c r="AO84" i="123" s="1"/>
  <c r="AL84" i="123"/>
  <c r="AP84" i="123" s="1"/>
  <c r="AM84" i="123"/>
  <c r="AQ84" i="123" s="1"/>
  <c r="AJ84" i="123"/>
  <c r="AN84" i="123" s="1"/>
  <c r="Z84" i="123"/>
  <c r="AK48" i="123"/>
  <c r="AO48" i="123" s="1"/>
  <c r="AL48" i="123"/>
  <c r="AP48" i="123" s="1"/>
  <c r="AM48" i="123"/>
  <c r="AQ48" i="123" s="1"/>
  <c r="AJ48" i="123"/>
  <c r="AN48" i="123" s="1"/>
  <c r="Z48" i="123"/>
  <c r="AK120" i="123"/>
  <c r="AO120" i="123" s="1"/>
  <c r="AL120" i="123"/>
  <c r="AP120" i="123" s="1"/>
  <c r="AM120" i="123"/>
  <c r="AQ120" i="123" s="1"/>
  <c r="AJ120" i="123"/>
  <c r="AN120" i="123" s="1"/>
  <c r="Z120" i="123"/>
  <c r="AK130" i="123"/>
  <c r="AO130" i="123" s="1"/>
  <c r="AL130" i="123"/>
  <c r="AP130" i="123" s="1"/>
  <c r="AM130" i="123"/>
  <c r="AQ130" i="123" s="1"/>
  <c r="AJ130" i="123"/>
  <c r="AN130" i="123" s="1"/>
  <c r="Z130" i="123"/>
  <c r="AJ127" i="123"/>
  <c r="AN127" i="123" s="1"/>
  <c r="AL127" i="123"/>
  <c r="AP127" i="123" s="1"/>
  <c r="AM127" i="123"/>
  <c r="AQ127" i="123" s="1"/>
  <c r="AK127" i="123"/>
  <c r="AO127" i="123" s="1"/>
  <c r="Z127" i="123"/>
  <c r="AJ135" i="123"/>
  <c r="AN135" i="123" s="1"/>
  <c r="AL135" i="123"/>
  <c r="AP135" i="123" s="1"/>
  <c r="AM135" i="123"/>
  <c r="AQ135" i="123" s="1"/>
  <c r="AK135" i="123"/>
  <c r="AO135" i="123" s="1"/>
  <c r="Z135" i="123"/>
  <c r="AJ125" i="123"/>
  <c r="AN125" i="123" s="1"/>
  <c r="AR125" i="123" s="1"/>
  <c r="AK125" i="123"/>
  <c r="AO125" i="123" s="1"/>
  <c r="AL125" i="123"/>
  <c r="AP125" i="123" s="1"/>
  <c r="AM125" i="123"/>
  <c r="AQ125" i="123" s="1"/>
  <c r="Z125" i="123"/>
  <c r="AJ19" i="123"/>
  <c r="AN19" i="123" s="1"/>
  <c r="AL19" i="123"/>
  <c r="AP19" i="123" s="1"/>
  <c r="AM19" i="123"/>
  <c r="AQ19" i="123" s="1"/>
  <c r="AK19" i="123"/>
  <c r="AO19" i="123" s="1"/>
  <c r="Z19" i="123"/>
  <c r="AK116" i="123"/>
  <c r="AO116" i="123" s="1"/>
  <c r="AL116" i="123"/>
  <c r="AP116" i="123" s="1"/>
  <c r="AM116" i="123"/>
  <c r="AQ116" i="123" s="1"/>
  <c r="AJ116" i="123"/>
  <c r="AN116" i="123" s="1"/>
  <c r="Z116" i="123"/>
  <c r="AJ57" i="123"/>
  <c r="AN57" i="123" s="1"/>
  <c r="AK57" i="123"/>
  <c r="AO57" i="123" s="1"/>
  <c r="AL57" i="123"/>
  <c r="AP57" i="123" s="1"/>
  <c r="AM57" i="123"/>
  <c r="AQ57" i="123" s="1"/>
  <c r="Z57" i="123"/>
  <c r="AK76" i="123"/>
  <c r="AO76" i="123" s="1"/>
  <c r="AL76" i="123"/>
  <c r="AP76" i="123" s="1"/>
  <c r="AM76" i="123"/>
  <c r="AQ76" i="123" s="1"/>
  <c r="AJ76" i="123"/>
  <c r="AN76" i="123" s="1"/>
  <c r="Z76" i="123"/>
  <c r="AJ73" i="123"/>
  <c r="AN73" i="123" s="1"/>
  <c r="AK73" i="123"/>
  <c r="AO73" i="123" s="1"/>
  <c r="AL73" i="123"/>
  <c r="AP73" i="123" s="1"/>
  <c r="AM73" i="123"/>
  <c r="AQ73" i="123" s="1"/>
  <c r="Z73" i="123"/>
  <c r="AJ45" i="123"/>
  <c r="AN45" i="123" s="1"/>
  <c r="AK45" i="123"/>
  <c r="AO45" i="123" s="1"/>
  <c r="AL45" i="123"/>
  <c r="AP45" i="123" s="1"/>
  <c r="AM45" i="123"/>
  <c r="AQ45" i="123" s="1"/>
  <c r="Z45" i="123"/>
  <c r="AK68" i="123"/>
  <c r="AO68" i="123" s="1"/>
  <c r="AL68" i="123"/>
  <c r="AP68" i="123" s="1"/>
  <c r="AM68" i="123"/>
  <c r="AQ68" i="123" s="1"/>
  <c r="AJ68" i="123"/>
  <c r="AN68" i="123" s="1"/>
  <c r="Z68" i="123"/>
  <c r="AJ93" i="123"/>
  <c r="AN93" i="123" s="1"/>
  <c r="AR93" i="123" s="1"/>
  <c r="AK93" i="123"/>
  <c r="AO93" i="123" s="1"/>
  <c r="AL93" i="123"/>
  <c r="AP93" i="123" s="1"/>
  <c r="AM93" i="123"/>
  <c r="AQ93" i="123" s="1"/>
  <c r="Z93" i="123"/>
  <c r="AJ91" i="123"/>
  <c r="AN91" i="123" s="1"/>
  <c r="AL91" i="123"/>
  <c r="AP91" i="123" s="1"/>
  <c r="AM91" i="123"/>
  <c r="AQ91" i="123" s="1"/>
  <c r="AK91" i="123"/>
  <c r="AO91" i="123" s="1"/>
  <c r="Z91" i="123"/>
  <c r="AK106" i="123"/>
  <c r="AO106" i="123" s="1"/>
  <c r="AL106" i="123"/>
  <c r="AP106" i="123" s="1"/>
  <c r="AM106" i="123"/>
  <c r="AQ106" i="123" s="1"/>
  <c r="AJ106" i="123"/>
  <c r="AN106" i="123" s="1"/>
  <c r="Z106" i="123"/>
  <c r="Q268" i="122"/>
  <c r="P268" i="122"/>
  <c r="AN11" i="128"/>
  <c r="AK11" i="128"/>
  <c r="AM11" i="128"/>
  <c r="AL11" i="128"/>
  <c r="AN13" i="128"/>
  <c r="AM13" i="128"/>
  <c r="AK13" i="128"/>
  <c r="AL13" i="128"/>
  <c r="AN14" i="128"/>
  <c r="AM14" i="128"/>
  <c r="AL14" i="128"/>
  <c r="AK14" i="128"/>
  <c r="AK15" i="128"/>
  <c r="AN15" i="128"/>
  <c r="AM15" i="128"/>
  <c r="AL15" i="128"/>
  <c r="AN16" i="128"/>
  <c r="AM16" i="128"/>
  <c r="AL16" i="128"/>
  <c r="AK16" i="128"/>
  <c r="AN19" i="128"/>
  <c r="AM19" i="128"/>
  <c r="AL19" i="128"/>
  <c r="AK19" i="128"/>
  <c r="AN12" i="128"/>
  <c r="AM12" i="128"/>
  <c r="AL12" i="128"/>
  <c r="AK12" i="128"/>
  <c r="AN18" i="128"/>
  <c r="AM18" i="128"/>
  <c r="AL18" i="128"/>
  <c r="AK18" i="128"/>
  <c r="AJ4" i="128"/>
  <c r="AK4" i="128"/>
  <c r="AL4" i="128"/>
  <c r="AM4" i="128"/>
  <c r="AN4" i="128"/>
  <c r="AJ5" i="128"/>
  <c r="AK5" i="128"/>
  <c r="AL5" i="128"/>
  <c r="AN5" i="128"/>
  <c r="AM5" i="128"/>
  <c r="AJ6" i="128"/>
  <c r="AK6" i="128"/>
  <c r="AL6" i="128"/>
  <c r="AM6" i="128"/>
  <c r="AN6" i="128"/>
  <c r="AJ7" i="128"/>
  <c r="AN7" i="128"/>
  <c r="AK7" i="128"/>
  <c r="AL7" i="128"/>
  <c r="AM7" i="128"/>
  <c r="AJ8" i="128"/>
  <c r="AK8" i="128"/>
  <c r="AN8" i="128"/>
  <c r="AL8" i="128"/>
  <c r="AM8" i="128"/>
  <c r="AJ9" i="128"/>
  <c r="AN9" i="128"/>
  <c r="AK9" i="128"/>
  <c r="AM9" i="128"/>
  <c r="AL9" i="128"/>
  <c r="AJ17" i="128"/>
  <c r="AK17" i="128"/>
  <c r="AO17" i="128" s="1"/>
  <c r="AL17" i="128"/>
  <c r="AM17" i="128"/>
  <c r="AN17" i="128"/>
  <c r="AJ10" i="128"/>
  <c r="AM10" i="128"/>
  <c r="AK10" i="128"/>
  <c r="AL10" i="128"/>
  <c r="AN10" i="128"/>
  <c r="AH12" i="128"/>
  <c r="AJ12" i="128"/>
  <c r="AH18" i="128"/>
  <c r="AJ18" i="128"/>
  <c r="AH11" i="128"/>
  <c r="AJ11" i="128"/>
  <c r="AH19" i="128"/>
  <c r="AJ19" i="128"/>
  <c r="AH13" i="128"/>
  <c r="AJ13" i="128"/>
  <c r="AH14" i="128"/>
  <c r="AJ14" i="128"/>
  <c r="AH15" i="128"/>
  <c r="AJ15" i="128"/>
  <c r="AH16" i="128"/>
  <c r="AJ16" i="128"/>
  <c r="S20" i="128"/>
  <c r="S15" i="128"/>
  <c r="S12" i="128"/>
  <c r="S14" i="128"/>
  <c r="S3" i="128"/>
  <c r="S13" i="128"/>
  <c r="S11" i="128"/>
  <c r="S18" i="128"/>
  <c r="S10" i="128"/>
  <c r="S19" i="128"/>
  <c r="S17" i="128"/>
  <c r="S9" i="128"/>
  <c r="S16" i="128"/>
  <c r="S8" i="128"/>
  <c r="S7" i="128"/>
  <c r="S6" i="128"/>
  <c r="S5" i="128"/>
  <c r="J16" i="127"/>
  <c r="L16" i="127" s="1"/>
  <c r="N17" i="127"/>
  <c r="N18" i="127"/>
  <c r="N16" i="127"/>
  <c r="D1" i="123"/>
  <c r="E128" i="123" s="1"/>
  <c r="J14" i="127"/>
  <c r="L14" i="127" s="1"/>
  <c r="N14" i="127"/>
  <c r="J8" i="127"/>
  <c r="L8" i="127" s="1"/>
  <c r="N10" i="127"/>
  <c r="N9" i="127"/>
  <c r="N8" i="127"/>
  <c r="N12" i="127"/>
  <c r="N11" i="127"/>
  <c r="N13" i="127"/>
  <c r="J15" i="127"/>
  <c r="L15" i="127" s="1"/>
  <c r="N15" i="127"/>
  <c r="J6" i="127"/>
  <c r="L6" i="127" s="1"/>
  <c r="N6" i="127"/>
  <c r="J7" i="127"/>
  <c r="L7" i="127" s="1"/>
  <c r="N7" i="127"/>
  <c r="D1" i="127"/>
  <c r="D19" i="127"/>
  <c r="J138" i="123"/>
  <c r="L138" i="123" s="1"/>
  <c r="J99" i="123"/>
  <c r="L99" i="123" s="1"/>
  <c r="J141" i="123"/>
  <c r="L141" i="123" s="1"/>
  <c r="J28" i="123"/>
  <c r="L28" i="123" s="1"/>
  <c r="J43" i="123"/>
  <c r="L43" i="123" s="1"/>
  <c r="J137" i="123"/>
  <c r="L137" i="123" s="1"/>
  <c r="J51" i="123"/>
  <c r="L51" i="123" s="1"/>
  <c r="J55" i="123"/>
  <c r="L55" i="123" s="1"/>
  <c r="J39" i="123"/>
  <c r="L39" i="123" s="1"/>
  <c r="J90" i="123"/>
  <c r="L90" i="123" s="1"/>
  <c r="J146" i="123"/>
  <c r="L146" i="123" s="1"/>
  <c r="J46" i="123"/>
  <c r="L46" i="123" s="1"/>
  <c r="J101" i="123"/>
  <c r="L101" i="123" s="1"/>
  <c r="J140" i="123"/>
  <c r="L140" i="123" s="1"/>
  <c r="J34" i="123"/>
  <c r="L34" i="123" s="1"/>
  <c r="J112" i="123"/>
  <c r="L112" i="123" s="1"/>
  <c r="J114" i="123"/>
  <c r="L114" i="123" s="1"/>
  <c r="J20" i="123"/>
  <c r="L20" i="123" s="1"/>
  <c r="J88" i="123"/>
  <c r="L88" i="123" s="1"/>
  <c r="J33" i="123"/>
  <c r="L33" i="123" s="1"/>
  <c r="J74" i="123"/>
  <c r="L74" i="123" s="1"/>
  <c r="J113" i="123"/>
  <c r="L113" i="123" s="1"/>
  <c r="J42" i="123"/>
  <c r="L42" i="123" s="1"/>
  <c r="J117" i="123"/>
  <c r="L117" i="123" s="1"/>
  <c r="J83" i="123"/>
  <c r="L83" i="123" s="1"/>
  <c r="J81" i="123"/>
  <c r="L81" i="123" s="1"/>
  <c r="J87" i="123"/>
  <c r="L87" i="123" s="1"/>
  <c r="J105" i="123"/>
  <c r="L105" i="123" s="1"/>
  <c r="J92" i="123"/>
  <c r="L92" i="123" s="1"/>
  <c r="J31" i="123"/>
  <c r="L31" i="123" s="1"/>
  <c r="J59" i="123"/>
  <c r="L59" i="123" s="1"/>
  <c r="J123" i="123"/>
  <c r="L123" i="123" s="1"/>
  <c r="J147" i="123"/>
  <c r="L147" i="123" s="1"/>
  <c r="J109" i="123"/>
  <c r="L109" i="123" s="1"/>
  <c r="J75" i="123"/>
  <c r="L75" i="123" s="1"/>
  <c r="J100" i="123"/>
  <c r="L100" i="123" s="1"/>
  <c r="J128" i="123"/>
  <c r="L128" i="123" s="1"/>
  <c r="J136" i="123"/>
  <c r="L136" i="123" s="1"/>
  <c r="J36" i="123"/>
  <c r="L36" i="123" s="1"/>
  <c r="J119" i="123"/>
  <c r="L119" i="123" s="1"/>
  <c r="J144" i="123"/>
  <c r="L144" i="123" s="1"/>
  <c r="J29" i="123"/>
  <c r="L29" i="123" s="1"/>
  <c r="J26" i="123"/>
  <c r="L26" i="123" s="1"/>
  <c r="J13" i="123"/>
  <c r="L13" i="123" s="1"/>
  <c r="J80" i="123"/>
  <c r="L80" i="123" s="1"/>
  <c r="J47" i="123"/>
  <c r="L47" i="123" s="1"/>
  <c r="J82" i="123"/>
  <c r="L82" i="123" s="1"/>
  <c r="J12" i="123"/>
  <c r="L12" i="123" s="1"/>
  <c r="J66" i="123"/>
  <c r="L66" i="123" s="1"/>
  <c r="J102" i="123"/>
  <c r="L102" i="123" s="1"/>
  <c r="J14" i="123"/>
  <c r="L14" i="123" s="1"/>
  <c r="J25" i="123"/>
  <c r="L25" i="123" s="1"/>
  <c r="J71" i="123"/>
  <c r="L71" i="123" s="1"/>
  <c r="J49" i="123"/>
  <c r="L49" i="123" s="1"/>
  <c r="J54" i="123"/>
  <c r="L54" i="123" s="1"/>
  <c r="J67" i="123"/>
  <c r="L67" i="123" s="1"/>
  <c r="J18" i="123"/>
  <c r="L18" i="123" s="1"/>
  <c r="J84" i="123"/>
  <c r="L84" i="123" s="1"/>
  <c r="J48" i="123"/>
  <c r="L48" i="123" s="1"/>
  <c r="J120" i="123"/>
  <c r="L120" i="123" s="1"/>
  <c r="J130" i="123"/>
  <c r="L130" i="123" s="1"/>
  <c r="J127" i="123"/>
  <c r="L127" i="123" s="1"/>
  <c r="J135" i="123"/>
  <c r="L135" i="123" s="1"/>
  <c r="J125" i="123"/>
  <c r="L125" i="123" s="1"/>
  <c r="J19" i="123"/>
  <c r="L19" i="123" s="1"/>
  <c r="J116" i="123"/>
  <c r="L116" i="123" s="1"/>
  <c r="J57" i="123"/>
  <c r="L57" i="123" s="1"/>
  <c r="J76" i="123"/>
  <c r="L76" i="123" s="1"/>
  <c r="J73" i="123"/>
  <c r="L73" i="123" s="1"/>
  <c r="J45" i="123"/>
  <c r="L45" i="123" s="1"/>
  <c r="J68" i="123"/>
  <c r="L68" i="123" s="1"/>
  <c r="J93" i="123"/>
  <c r="L93" i="123" s="1"/>
  <c r="J91" i="123"/>
  <c r="L91" i="123" s="1"/>
  <c r="J106" i="123"/>
  <c r="L106" i="123" s="1"/>
  <c r="J121" i="123"/>
  <c r="L121" i="123" s="1"/>
  <c r="J126" i="123"/>
  <c r="L126" i="123" s="1"/>
  <c r="J143" i="123"/>
  <c r="L143" i="123" s="1"/>
  <c r="J103" i="123"/>
  <c r="L103" i="123" s="1"/>
  <c r="J5" i="123"/>
  <c r="L5" i="123" s="1"/>
  <c r="J60" i="123"/>
  <c r="L60" i="123" s="1"/>
  <c r="J21" i="123"/>
  <c r="L21" i="123" s="1"/>
  <c r="J15" i="123"/>
  <c r="L15" i="123" s="1"/>
  <c r="J69" i="123"/>
  <c r="L69" i="123" s="1"/>
  <c r="J8" i="123"/>
  <c r="L8" i="123" s="1"/>
  <c r="J95" i="123"/>
  <c r="L95" i="123" s="1"/>
  <c r="J132" i="123"/>
  <c r="L132" i="123" s="1"/>
  <c r="J86" i="123"/>
  <c r="L86" i="123" s="1"/>
  <c r="J30" i="123"/>
  <c r="L30" i="123" s="1"/>
  <c r="J142" i="123"/>
  <c r="L142" i="123" s="1"/>
  <c r="J58" i="123"/>
  <c r="L58" i="123" s="1"/>
  <c r="J115" i="123"/>
  <c r="L115" i="123" s="1"/>
  <c r="J16" i="123"/>
  <c r="L16" i="123" s="1"/>
  <c r="J44" i="123"/>
  <c r="L44" i="123" s="1"/>
  <c r="J7" i="123"/>
  <c r="L7" i="123" s="1"/>
  <c r="J110" i="123"/>
  <c r="L110" i="123" s="1"/>
  <c r="J23" i="123"/>
  <c r="L23" i="123" s="1"/>
  <c r="J85" i="123"/>
  <c r="L85" i="123" s="1"/>
  <c r="J72" i="123"/>
  <c r="L72" i="123" s="1"/>
  <c r="J63" i="123"/>
  <c r="L63" i="123" s="1"/>
  <c r="J65" i="123"/>
  <c r="L65" i="123" s="1"/>
  <c r="J148" i="123"/>
  <c r="L148" i="123" s="1"/>
  <c r="J118" i="123"/>
  <c r="L118" i="123" s="1"/>
  <c r="J122" i="123"/>
  <c r="L122" i="123" s="1"/>
  <c r="J41" i="123"/>
  <c r="L41" i="123" s="1"/>
  <c r="J40" i="123"/>
  <c r="L40" i="123" s="1"/>
  <c r="J24" i="123"/>
  <c r="L24" i="123" s="1"/>
  <c r="J53" i="123"/>
  <c r="L53" i="123" s="1"/>
  <c r="J94" i="123"/>
  <c r="L94" i="123" s="1"/>
  <c r="J134" i="123"/>
  <c r="L134" i="123" s="1"/>
  <c r="J129" i="123"/>
  <c r="L129" i="123" s="1"/>
  <c r="J131" i="123"/>
  <c r="L131" i="123" s="1"/>
  <c r="J52" i="123"/>
  <c r="L52" i="123" s="1"/>
  <c r="J108" i="123"/>
  <c r="L108" i="123" s="1"/>
  <c r="J96" i="123"/>
  <c r="L96" i="123" s="1"/>
  <c r="J32" i="123"/>
  <c r="L32" i="123" s="1"/>
  <c r="J89" i="123"/>
  <c r="L89" i="123" s="1"/>
  <c r="J139" i="123"/>
  <c r="L139" i="123" s="1"/>
  <c r="J124" i="123"/>
  <c r="L124" i="123" s="1"/>
  <c r="J10" i="123"/>
  <c r="L10" i="123" s="1"/>
  <c r="J98" i="123"/>
  <c r="L98" i="123" s="1"/>
  <c r="J78" i="123"/>
  <c r="L78" i="123" s="1"/>
  <c r="J77" i="123"/>
  <c r="L77" i="123" s="1"/>
  <c r="J11" i="123"/>
  <c r="L11" i="123" s="1"/>
  <c r="J64" i="123"/>
  <c r="L64" i="123" s="1"/>
  <c r="J37" i="123"/>
  <c r="L37" i="123" s="1"/>
  <c r="J27" i="123"/>
  <c r="L27" i="123" s="1"/>
  <c r="J6" i="123"/>
  <c r="L6" i="123" s="1"/>
  <c r="J145" i="123"/>
  <c r="L145" i="123" s="1"/>
  <c r="J56" i="123"/>
  <c r="L56" i="123" s="1"/>
  <c r="J79" i="123"/>
  <c r="L79" i="123" s="1"/>
  <c r="J111" i="123"/>
  <c r="L111" i="123" s="1"/>
  <c r="J104" i="123"/>
  <c r="L104" i="123" s="1"/>
  <c r="J97" i="123"/>
  <c r="L97" i="123" s="1"/>
  <c r="J17" i="123"/>
  <c r="L17" i="123" s="1"/>
  <c r="J35" i="123"/>
  <c r="L35" i="123" s="1"/>
  <c r="J62" i="123"/>
  <c r="L62" i="123" s="1"/>
  <c r="J22" i="123"/>
  <c r="L22" i="123" s="1"/>
  <c r="J70" i="123"/>
  <c r="L70" i="123" s="1"/>
  <c r="J61" i="123"/>
  <c r="L61" i="123" s="1"/>
  <c r="J50" i="123"/>
  <c r="L50" i="123" s="1"/>
  <c r="J133" i="123"/>
  <c r="L133" i="123" s="1"/>
  <c r="J107" i="123"/>
  <c r="L107" i="123" s="1"/>
  <c r="J38" i="123"/>
  <c r="L38" i="123" s="1"/>
  <c r="J9" i="123"/>
  <c r="L9" i="123" s="1"/>
  <c r="D149" i="123"/>
  <c r="T20" i="128"/>
  <c r="U3" i="128"/>
  <c r="J4" i="123"/>
  <c r="L4" i="123" s="1"/>
  <c r="W45" i="61"/>
  <c r="S72" i="61"/>
  <c r="S26" i="61"/>
  <c r="T23" i="61"/>
  <c r="S23" i="61"/>
  <c r="AB14" i="127" l="1"/>
  <c r="AO14" i="127"/>
  <c r="AS14" i="127" s="1"/>
  <c r="AL14" i="127"/>
  <c r="AP14" i="127" s="1"/>
  <c r="AT14" i="127" s="1"/>
  <c r="AM14" i="127"/>
  <c r="AQ14" i="127" s="1"/>
  <c r="AN14" i="127"/>
  <c r="AR14" i="127" s="1"/>
  <c r="AB16" i="127"/>
  <c r="AL16" i="127"/>
  <c r="AP16" i="127" s="1"/>
  <c r="AT16" i="127" s="1"/>
  <c r="AM16" i="127"/>
  <c r="AQ16" i="127" s="1"/>
  <c r="AN16" i="127"/>
  <c r="AR16" i="127" s="1"/>
  <c r="AO16" i="127"/>
  <c r="AS16" i="127" s="1"/>
  <c r="AB18" i="127"/>
  <c r="AI18" i="127" s="1"/>
  <c r="AO18" i="127"/>
  <c r="AS18" i="127" s="1"/>
  <c r="AL18" i="127"/>
  <c r="AP18" i="127" s="1"/>
  <c r="AM18" i="127"/>
  <c r="AQ18" i="127" s="1"/>
  <c r="AN18" i="127"/>
  <c r="AR18" i="127" s="1"/>
  <c r="AB17" i="127"/>
  <c r="AM17" i="127"/>
  <c r="AQ17" i="127" s="1"/>
  <c r="AN17" i="127"/>
  <c r="AR17" i="127" s="1"/>
  <c r="AO17" i="127"/>
  <c r="AS17" i="127" s="1"/>
  <c r="AL17" i="127"/>
  <c r="AP17" i="127" s="1"/>
  <c r="AB15" i="127"/>
  <c r="AL15" i="127"/>
  <c r="AP15" i="127" s="1"/>
  <c r="AM15" i="127"/>
  <c r="AQ15" i="127" s="1"/>
  <c r="AN15" i="127"/>
  <c r="AR15" i="127" s="1"/>
  <c r="AO15" i="127"/>
  <c r="AS15" i="127" s="1"/>
  <c r="AB11" i="127"/>
  <c r="AL11" i="127"/>
  <c r="AP11" i="127" s="1"/>
  <c r="AM11" i="127"/>
  <c r="AQ11" i="127" s="1"/>
  <c r="AN11" i="127"/>
  <c r="AR11" i="127" s="1"/>
  <c r="AO11" i="127"/>
  <c r="AS11" i="127" s="1"/>
  <c r="AB7" i="127"/>
  <c r="AL7" i="127"/>
  <c r="AP7" i="127" s="1"/>
  <c r="AM7" i="127"/>
  <c r="AQ7" i="127" s="1"/>
  <c r="AN7" i="127"/>
  <c r="AR7" i="127" s="1"/>
  <c r="AO7" i="127"/>
  <c r="AS7" i="127" s="1"/>
  <c r="AB12" i="127"/>
  <c r="AM12" i="127"/>
  <c r="AQ12" i="127" s="1"/>
  <c r="AN12" i="127"/>
  <c r="AR12" i="127" s="1"/>
  <c r="AO12" i="127"/>
  <c r="AS12" i="127" s="1"/>
  <c r="AL12" i="127"/>
  <c r="AP12" i="127" s="1"/>
  <c r="AT12" i="127" s="1"/>
  <c r="AB8" i="127"/>
  <c r="AG8" i="127" s="1"/>
  <c r="AL8" i="127"/>
  <c r="AP8" i="127" s="1"/>
  <c r="AM8" i="127"/>
  <c r="AQ8" i="127" s="1"/>
  <c r="AN8" i="127"/>
  <c r="AR8" i="127" s="1"/>
  <c r="AO8" i="127"/>
  <c r="AS8" i="127" s="1"/>
  <c r="AB6" i="127"/>
  <c r="AO6" i="127"/>
  <c r="AS6" i="127" s="1"/>
  <c r="AN6" i="127"/>
  <c r="AR6" i="127" s="1"/>
  <c r="AL6" i="127"/>
  <c r="AP6" i="127" s="1"/>
  <c r="AT6" i="127" s="1"/>
  <c r="AM6" i="127"/>
  <c r="AQ6" i="127" s="1"/>
  <c r="AB9" i="127"/>
  <c r="AM9" i="127"/>
  <c r="AQ9" i="127" s="1"/>
  <c r="AN9" i="127"/>
  <c r="AR9" i="127" s="1"/>
  <c r="AO9" i="127"/>
  <c r="AS9" i="127" s="1"/>
  <c r="AL9" i="127"/>
  <c r="AP9" i="127" s="1"/>
  <c r="AT9" i="127" s="1"/>
  <c r="AB13" i="127"/>
  <c r="AO13" i="127"/>
  <c r="AS13" i="127" s="1"/>
  <c r="AN13" i="127"/>
  <c r="AR13" i="127" s="1"/>
  <c r="AM13" i="127"/>
  <c r="AQ13" i="127" s="1"/>
  <c r="AL13" i="127"/>
  <c r="AP13" i="127" s="1"/>
  <c r="AB10" i="127"/>
  <c r="AN10" i="127"/>
  <c r="AR10" i="127" s="1"/>
  <c r="AO10" i="127"/>
  <c r="AS10" i="127" s="1"/>
  <c r="AL10" i="127"/>
  <c r="AP10" i="127" s="1"/>
  <c r="AM10" i="127"/>
  <c r="AQ10" i="127" s="1"/>
  <c r="AR102" i="123"/>
  <c r="AR58" i="123"/>
  <c r="AR110" i="123"/>
  <c r="AR76" i="123"/>
  <c r="AR120" i="123"/>
  <c r="AR12" i="123"/>
  <c r="AR88" i="123"/>
  <c r="AR126" i="123"/>
  <c r="AR104" i="123"/>
  <c r="AR16" i="123"/>
  <c r="AR124" i="123"/>
  <c r="AR32" i="123"/>
  <c r="AR78" i="123"/>
  <c r="AR135" i="123"/>
  <c r="AR61" i="123"/>
  <c r="AR75" i="123"/>
  <c r="AR123" i="123"/>
  <c r="AR103" i="123"/>
  <c r="AR113" i="123"/>
  <c r="AR39" i="123"/>
  <c r="AR121" i="123"/>
  <c r="AR131" i="123"/>
  <c r="AR11" i="123"/>
  <c r="AF120" i="123"/>
  <c r="AH120" i="123"/>
  <c r="AD120" i="123"/>
  <c r="AG120" i="123"/>
  <c r="AE120" i="123"/>
  <c r="AG124" i="123"/>
  <c r="AD124" i="123"/>
  <c r="AH124" i="123"/>
  <c r="AE124" i="123"/>
  <c r="AF124" i="123"/>
  <c r="AF61" i="123"/>
  <c r="AD61" i="123"/>
  <c r="AE61" i="123"/>
  <c r="AG61" i="123"/>
  <c r="AH61" i="123"/>
  <c r="AE26" i="123"/>
  <c r="AF26" i="123"/>
  <c r="AG26" i="123"/>
  <c r="AH26" i="123"/>
  <c r="AD26" i="123"/>
  <c r="AH75" i="123"/>
  <c r="AD75" i="123"/>
  <c r="AG75" i="123"/>
  <c r="AE75" i="123"/>
  <c r="AF75" i="123"/>
  <c r="AR81" i="123"/>
  <c r="AF39" i="123"/>
  <c r="AE39" i="123"/>
  <c r="AD39" i="123"/>
  <c r="AG39" i="123"/>
  <c r="AH39" i="123"/>
  <c r="AG106" i="123"/>
  <c r="AE106" i="123"/>
  <c r="AF106" i="123"/>
  <c r="AD106" i="123"/>
  <c r="AH106" i="123"/>
  <c r="AR68" i="123"/>
  <c r="AR45" i="123"/>
  <c r="AD116" i="123"/>
  <c r="AE116" i="123"/>
  <c r="AF116" i="123"/>
  <c r="AH116" i="123"/>
  <c r="AG116" i="123"/>
  <c r="AR127" i="123"/>
  <c r="AD84" i="123"/>
  <c r="AF84" i="123"/>
  <c r="AE84" i="123"/>
  <c r="AG84" i="123"/>
  <c r="AH84" i="123"/>
  <c r="AR97" i="123"/>
  <c r="AF47" i="123"/>
  <c r="AD47" i="123"/>
  <c r="AG47" i="123"/>
  <c r="AH47" i="123"/>
  <c r="AE47" i="123"/>
  <c r="AR26" i="123"/>
  <c r="AR29" i="123"/>
  <c r="AH136" i="123"/>
  <c r="AG136" i="123"/>
  <c r="AE136" i="123"/>
  <c r="AD136" i="123"/>
  <c r="AF136" i="123"/>
  <c r="AR109" i="123"/>
  <c r="AF40" i="123"/>
  <c r="AG40" i="123"/>
  <c r="AH40" i="123"/>
  <c r="AD40" i="123"/>
  <c r="AE40" i="123"/>
  <c r="AR49" i="123"/>
  <c r="AG27" i="123"/>
  <c r="AH27" i="123"/>
  <c r="AE27" i="123"/>
  <c r="AF27" i="123"/>
  <c r="AD27" i="123"/>
  <c r="AR31" i="123"/>
  <c r="AF143" i="123"/>
  <c r="AH143" i="123"/>
  <c r="AG143" i="123"/>
  <c r="AD143" i="123"/>
  <c r="AE143" i="123"/>
  <c r="AR62" i="123"/>
  <c r="AR79" i="123"/>
  <c r="AD83" i="123"/>
  <c r="AG83" i="123"/>
  <c r="AH83" i="123"/>
  <c r="AE83" i="123"/>
  <c r="AF83" i="123"/>
  <c r="AD114" i="123"/>
  <c r="AG114" i="123"/>
  <c r="AE114" i="123"/>
  <c r="AF114" i="123"/>
  <c r="AH114" i="123"/>
  <c r="AR140" i="123"/>
  <c r="AR101" i="123"/>
  <c r="AR146" i="123"/>
  <c r="AE35" i="123"/>
  <c r="AG35" i="123"/>
  <c r="AF35" i="123"/>
  <c r="AD35" i="123"/>
  <c r="AH35" i="123"/>
  <c r="AR55" i="123"/>
  <c r="AH28" i="123"/>
  <c r="AF28" i="123"/>
  <c r="AD28" i="123"/>
  <c r="AE28" i="123"/>
  <c r="AG28" i="123"/>
  <c r="AR14" i="123"/>
  <c r="AD138" i="123"/>
  <c r="AG138" i="123"/>
  <c r="AH138" i="123"/>
  <c r="AE138" i="123"/>
  <c r="AF138" i="123"/>
  <c r="AR107" i="123"/>
  <c r="AD17" i="123"/>
  <c r="AG17" i="123"/>
  <c r="AH17" i="123"/>
  <c r="AE17" i="123"/>
  <c r="AF17" i="123"/>
  <c r="AH69" i="123"/>
  <c r="AE69" i="123"/>
  <c r="AD69" i="123"/>
  <c r="AF69" i="123"/>
  <c r="AG69" i="123"/>
  <c r="AF85" i="123"/>
  <c r="AD85" i="123"/>
  <c r="AG85" i="123"/>
  <c r="AH85" i="123"/>
  <c r="AE85" i="123"/>
  <c r="AR77" i="123"/>
  <c r="AF94" i="123"/>
  <c r="AH94" i="123"/>
  <c r="AD94" i="123"/>
  <c r="AG94" i="123"/>
  <c r="AE94" i="123"/>
  <c r="AR132" i="123"/>
  <c r="AR15" i="123"/>
  <c r="AD96" i="123"/>
  <c r="AE96" i="123"/>
  <c r="AF96" i="123"/>
  <c r="AH96" i="123"/>
  <c r="AG96" i="123"/>
  <c r="AR72" i="123"/>
  <c r="AH67" i="123"/>
  <c r="AE67" i="123"/>
  <c r="AF67" i="123"/>
  <c r="AD67" i="123"/>
  <c r="AG67" i="123"/>
  <c r="AF88" i="123"/>
  <c r="AH88" i="123"/>
  <c r="AG88" i="123"/>
  <c r="AD88" i="123"/>
  <c r="AE88" i="123"/>
  <c r="AG146" i="123"/>
  <c r="AD146" i="123"/>
  <c r="AE146" i="123"/>
  <c r="AF146" i="123"/>
  <c r="AH146" i="123"/>
  <c r="AF137" i="123"/>
  <c r="AD137" i="123"/>
  <c r="AG137" i="123"/>
  <c r="AH137" i="123"/>
  <c r="AE137" i="123"/>
  <c r="AR57" i="123"/>
  <c r="AR148" i="123"/>
  <c r="AD113" i="123"/>
  <c r="AG113" i="123"/>
  <c r="AH113" i="123"/>
  <c r="AE113" i="123"/>
  <c r="AF113" i="123"/>
  <c r="AE14" i="123"/>
  <c r="AF14" i="123"/>
  <c r="AG14" i="123"/>
  <c r="AH14" i="123"/>
  <c r="AD14" i="123"/>
  <c r="AD132" i="123"/>
  <c r="AE132" i="123"/>
  <c r="AF132" i="123"/>
  <c r="AH132" i="123"/>
  <c r="AG132" i="123"/>
  <c r="AD72" i="123"/>
  <c r="AE72" i="123"/>
  <c r="AF72" i="123"/>
  <c r="AH72" i="123"/>
  <c r="AG72" i="123"/>
  <c r="AR106" i="123"/>
  <c r="AR91" i="123"/>
  <c r="AH73" i="123"/>
  <c r="AD73" i="123"/>
  <c r="AG73" i="123"/>
  <c r="AF73" i="123"/>
  <c r="AE73" i="123"/>
  <c r="AR116" i="123"/>
  <c r="AR19" i="123"/>
  <c r="AH130" i="123"/>
  <c r="AD130" i="123"/>
  <c r="AE130" i="123"/>
  <c r="AF130" i="123"/>
  <c r="AG130" i="123"/>
  <c r="AR84" i="123"/>
  <c r="AD66" i="123"/>
  <c r="AH66" i="123"/>
  <c r="AE66" i="123"/>
  <c r="AF66" i="123"/>
  <c r="AG66" i="123"/>
  <c r="AD144" i="123"/>
  <c r="AH144" i="123"/>
  <c r="AE144" i="123"/>
  <c r="AF144" i="123"/>
  <c r="AG144" i="123"/>
  <c r="AR136" i="123"/>
  <c r="AE147" i="123"/>
  <c r="AD147" i="123"/>
  <c r="AG147" i="123"/>
  <c r="AF147" i="123"/>
  <c r="AH147" i="123"/>
  <c r="AG22" i="123"/>
  <c r="AD22" i="123"/>
  <c r="AE22" i="123"/>
  <c r="AF22" i="123"/>
  <c r="AH22" i="123"/>
  <c r="AR40" i="123"/>
  <c r="AE41" i="123"/>
  <c r="AD41" i="123"/>
  <c r="AG41" i="123"/>
  <c r="AH41" i="123"/>
  <c r="AF41" i="123"/>
  <c r="AR71" i="123"/>
  <c r="AG118" i="123"/>
  <c r="AF118" i="123"/>
  <c r="AD118" i="123"/>
  <c r="AE118" i="123"/>
  <c r="AH118" i="123"/>
  <c r="AE105" i="123"/>
  <c r="AD105" i="123"/>
  <c r="AG105" i="123"/>
  <c r="AH105" i="123"/>
  <c r="AF105" i="123"/>
  <c r="AR117" i="123"/>
  <c r="AD33" i="123"/>
  <c r="AG33" i="123"/>
  <c r="AH33" i="123"/>
  <c r="AE33" i="123"/>
  <c r="AF33" i="123"/>
  <c r="AR114" i="123"/>
  <c r="AE46" i="123"/>
  <c r="AF46" i="123"/>
  <c r="AG46" i="123"/>
  <c r="AH46" i="123"/>
  <c r="AD46" i="123"/>
  <c r="AH51" i="123"/>
  <c r="AE51" i="123"/>
  <c r="AF51" i="123"/>
  <c r="AD51" i="123"/>
  <c r="AG51" i="123"/>
  <c r="AR28" i="123"/>
  <c r="AR141" i="123"/>
  <c r="AH92" i="123"/>
  <c r="AG92" i="123"/>
  <c r="AE92" i="123"/>
  <c r="AD92" i="123"/>
  <c r="AF92" i="123"/>
  <c r="AR138" i="123"/>
  <c r="AG70" i="123"/>
  <c r="AH70" i="123"/>
  <c r="AE70" i="123"/>
  <c r="AD70" i="123"/>
  <c r="AF70" i="123"/>
  <c r="AR145" i="123"/>
  <c r="AD23" i="123"/>
  <c r="AG23" i="123"/>
  <c r="AH23" i="123"/>
  <c r="AE23" i="123"/>
  <c r="AF23" i="123"/>
  <c r="AR139" i="123"/>
  <c r="AF8" i="123"/>
  <c r="AD8" i="123"/>
  <c r="AG8" i="123"/>
  <c r="AH8" i="123"/>
  <c r="AE8" i="123"/>
  <c r="AG98" i="123"/>
  <c r="AD98" i="123"/>
  <c r="AE98" i="123"/>
  <c r="AF98" i="123"/>
  <c r="AH98" i="123"/>
  <c r="AR94" i="123"/>
  <c r="AD11" i="123"/>
  <c r="AG11" i="123"/>
  <c r="AH11" i="123"/>
  <c r="AE11" i="123"/>
  <c r="AF11" i="123"/>
  <c r="AR96" i="123"/>
  <c r="AR129" i="123"/>
  <c r="AG30" i="123"/>
  <c r="AH30" i="123"/>
  <c r="AE30" i="123"/>
  <c r="AD30" i="123"/>
  <c r="AF30" i="123"/>
  <c r="AG12" i="123"/>
  <c r="AH12" i="123"/>
  <c r="AD12" i="123"/>
  <c r="AE12" i="123"/>
  <c r="AF12" i="123"/>
  <c r="AE111" i="123"/>
  <c r="AF111" i="123"/>
  <c r="AG111" i="123"/>
  <c r="AD111" i="123"/>
  <c r="AH111" i="123"/>
  <c r="AE5" i="123"/>
  <c r="AD5" i="123"/>
  <c r="AG5" i="123"/>
  <c r="AH5" i="123"/>
  <c r="AF5" i="123"/>
  <c r="AH16" i="123"/>
  <c r="AD16" i="123"/>
  <c r="AE16" i="123"/>
  <c r="AF16" i="123"/>
  <c r="AG16" i="123"/>
  <c r="AE32" i="123"/>
  <c r="AF32" i="123"/>
  <c r="AG32" i="123"/>
  <c r="AH32" i="123"/>
  <c r="AD32" i="123"/>
  <c r="AG103" i="123"/>
  <c r="AH103" i="123"/>
  <c r="AF103" i="123"/>
  <c r="AE103" i="123"/>
  <c r="AD103" i="123"/>
  <c r="AH62" i="123"/>
  <c r="AE62" i="123"/>
  <c r="AD62" i="123"/>
  <c r="AF62" i="123"/>
  <c r="AG62" i="123"/>
  <c r="AD121" i="123"/>
  <c r="AG121" i="123"/>
  <c r="AH121" i="123"/>
  <c r="AE121" i="123"/>
  <c r="AF121" i="123"/>
  <c r="AE21" i="123"/>
  <c r="AD21" i="123"/>
  <c r="AG21" i="123"/>
  <c r="AH21" i="123"/>
  <c r="AF21" i="123"/>
  <c r="AF93" i="123"/>
  <c r="AG93" i="123"/>
  <c r="AH93" i="123"/>
  <c r="AD93" i="123"/>
  <c r="AE93" i="123"/>
  <c r="AD125" i="123"/>
  <c r="AE125" i="123"/>
  <c r="AF125" i="123"/>
  <c r="AG125" i="123"/>
  <c r="AH125" i="123"/>
  <c r="AR130" i="123"/>
  <c r="AD9" i="123"/>
  <c r="AG9" i="123"/>
  <c r="AH9" i="123"/>
  <c r="AE9" i="123"/>
  <c r="AF9" i="123"/>
  <c r="AR66" i="123"/>
  <c r="AD13" i="123"/>
  <c r="AG13" i="123"/>
  <c r="AH13" i="123"/>
  <c r="AE13" i="123"/>
  <c r="AF13" i="123"/>
  <c r="AR144" i="123"/>
  <c r="AR119" i="123"/>
  <c r="AE100" i="123"/>
  <c r="AF100" i="123"/>
  <c r="AH100" i="123"/>
  <c r="AG100" i="123"/>
  <c r="AD100" i="123"/>
  <c r="AR67" i="123"/>
  <c r="AR22" i="123"/>
  <c r="AR111" i="123"/>
  <c r="AD6" i="123"/>
  <c r="AE6" i="123"/>
  <c r="AF6" i="123"/>
  <c r="AG6" i="123"/>
  <c r="AH6" i="123"/>
  <c r="AR5" i="123"/>
  <c r="AE122" i="123"/>
  <c r="AF122" i="123"/>
  <c r="AH122" i="123"/>
  <c r="AG122" i="123"/>
  <c r="AD122" i="123"/>
  <c r="AR118" i="123"/>
  <c r="AR37" i="123"/>
  <c r="AE133" i="123"/>
  <c r="AF133" i="123"/>
  <c r="AH133" i="123"/>
  <c r="AG133" i="123"/>
  <c r="AD133" i="123"/>
  <c r="AR87" i="123"/>
  <c r="AE42" i="123"/>
  <c r="AF42" i="123"/>
  <c r="AG42" i="123"/>
  <c r="AH42" i="123"/>
  <c r="AD42" i="123"/>
  <c r="AD34" i="123"/>
  <c r="AH34" i="123"/>
  <c r="AE34" i="123"/>
  <c r="AF34" i="123"/>
  <c r="AG34" i="123"/>
  <c r="AR46" i="123"/>
  <c r="AH90" i="123"/>
  <c r="AG90" i="123"/>
  <c r="AD90" i="123"/>
  <c r="AE90" i="123"/>
  <c r="AF90" i="123"/>
  <c r="AR137" i="123"/>
  <c r="AD65" i="123"/>
  <c r="AG65" i="123"/>
  <c r="AH65" i="123"/>
  <c r="AE65" i="123"/>
  <c r="AF65" i="123"/>
  <c r="AR92" i="123"/>
  <c r="AH63" i="123"/>
  <c r="AE63" i="123"/>
  <c r="AF63" i="123"/>
  <c r="AG63" i="123"/>
  <c r="AD63" i="123"/>
  <c r="AR70" i="123"/>
  <c r="AG10" i="123"/>
  <c r="AD10" i="123"/>
  <c r="AH10" i="123"/>
  <c r="AE10" i="123"/>
  <c r="AF10" i="123"/>
  <c r="AH134" i="123"/>
  <c r="AG134" i="123"/>
  <c r="AE134" i="123"/>
  <c r="AD134" i="123"/>
  <c r="AF134" i="123"/>
  <c r="AR8" i="123"/>
  <c r="AH95" i="123"/>
  <c r="AE95" i="123"/>
  <c r="AF95" i="123"/>
  <c r="AD95" i="123"/>
  <c r="AG95" i="123"/>
  <c r="AH115" i="123"/>
  <c r="AD115" i="123"/>
  <c r="AG115" i="123"/>
  <c r="AF115" i="123"/>
  <c r="AE115" i="123"/>
  <c r="AD53" i="123"/>
  <c r="AG53" i="123"/>
  <c r="AH53" i="123"/>
  <c r="AF53" i="123"/>
  <c r="AE53" i="123"/>
  <c r="AD126" i="123"/>
  <c r="AE126" i="123"/>
  <c r="AF126" i="123"/>
  <c r="AH126" i="123"/>
  <c r="AG126" i="123"/>
  <c r="AD78" i="123"/>
  <c r="AH78" i="123"/>
  <c r="AE78" i="123"/>
  <c r="AF78" i="123"/>
  <c r="AG78" i="123"/>
  <c r="AH123" i="123"/>
  <c r="AD123" i="123"/>
  <c r="AE123" i="123"/>
  <c r="AF123" i="123"/>
  <c r="AG123" i="123"/>
  <c r="AR25" i="123"/>
  <c r="AF140" i="123"/>
  <c r="AH140" i="123"/>
  <c r="AD140" i="123"/>
  <c r="AE140" i="123"/>
  <c r="AG140" i="123"/>
  <c r="AR43" i="123"/>
  <c r="AF57" i="123"/>
  <c r="AG57" i="123"/>
  <c r="AD57" i="123"/>
  <c r="AH57" i="123"/>
  <c r="AE57" i="123"/>
  <c r="AE48" i="123"/>
  <c r="AF48" i="123"/>
  <c r="AG48" i="123"/>
  <c r="AH48" i="123"/>
  <c r="AD48" i="123"/>
  <c r="AD82" i="123"/>
  <c r="AE82" i="123"/>
  <c r="AF82" i="123"/>
  <c r="AG82" i="123"/>
  <c r="AH82" i="123"/>
  <c r="AD36" i="123"/>
  <c r="AE36" i="123"/>
  <c r="AF36" i="123"/>
  <c r="AG36" i="123"/>
  <c r="AH36" i="123"/>
  <c r="AR100" i="123"/>
  <c r="AD4" i="123"/>
  <c r="AG4" i="123"/>
  <c r="AE4" i="123"/>
  <c r="AF4" i="123"/>
  <c r="AH4" i="123"/>
  <c r="AG60" i="123"/>
  <c r="AD60" i="123"/>
  <c r="AE60" i="123"/>
  <c r="AF60" i="123"/>
  <c r="AH60" i="123"/>
  <c r="AR6" i="123"/>
  <c r="AH59" i="123"/>
  <c r="AE59" i="123"/>
  <c r="AF59" i="123"/>
  <c r="AD59" i="123"/>
  <c r="AG59" i="123"/>
  <c r="AR122" i="123"/>
  <c r="AD25" i="123"/>
  <c r="AG25" i="123"/>
  <c r="AF25" i="123"/>
  <c r="AH25" i="123"/>
  <c r="AE25" i="123"/>
  <c r="AD81" i="123"/>
  <c r="AG81" i="123"/>
  <c r="AH81" i="123"/>
  <c r="AE81" i="123"/>
  <c r="AF81" i="123"/>
  <c r="AR42" i="123"/>
  <c r="AG20" i="123"/>
  <c r="AH20" i="123"/>
  <c r="AD20" i="123"/>
  <c r="AE20" i="123"/>
  <c r="AF20" i="123"/>
  <c r="AR34" i="123"/>
  <c r="AG50" i="123"/>
  <c r="AH50" i="123"/>
  <c r="AD50" i="123"/>
  <c r="AF50" i="123"/>
  <c r="AE50" i="123"/>
  <c r="AR90" i="123"/>
  <c r="AH43" i="123"/>
  <c r="AD43" i="123"/>
  <c r="AG43" i="123"/>
  <c r="AE43" i="123"/>
  <c r="AF43" i="123"/>
  <c r="AF99" i="123"/>
  <c r="AH99" i="123"/>
  <c r="AD99" i="123"/>
  <c r="AG99" i="123"/>
  <c r="AE99" i="123"/>
  <c r="AD38" i="123"/>
  <c r="AE38" i="123"/>
  <c r="AF38" i="123"/>
  <c r="AG38" i="123"/>
  <c r="AH38" i="123"/>
  <c r="AR10" i="123"/>
  <c r="AE86" i="123"/>
  <c r="AF86" i="123"/>
  <c r="AH86" i="123"/>
  <c r="AG86" i="123"/>
  <c r="AD86" i="123"/>
  <c r="AR134" i="123"/>
  <c r="AR7" i="123"/>
  <c r="AE108" i="123"/>
  <c r="AF108" i="123"/>
  <c r="AH108" i="123"/>
  <c r="AG108" i="123"/>
  <c r="AD108" i="123"/>
  <c r="AR21" i="123"/>
  <c r="AF52" i="123"/>
  <c r="AD52" i="123"/>
  <c r="AE52" i="123"/>
  <c r="AG52" i="123"/>
  <c r="AH52" i="123"/>
  <c r="AE89" i="123"/>
  <c r="AD89" i="123"/>
  <c r="AF89" i="123"/>
  <c r="AG89" i="123"/>
  <c r="AH89" i="123"/>
  <c r="AH104" i="123"/>
  <c r="AD104" i="123"/>
  <c r="AE104" i="123"/>
  <c r="AF104" i="123"/>
  <c r="AG104" i="123"/>
  <c r="AF68" i="123"/>
  <c r="AG68" i="123"/>
  <c r="AH68" i="123"/>
  <c r="AD68" i="123"/>
  <c r="AE68" i="123"/>
  <c r="AG135" i="123"/>
  <c r="AD135" i="123"/>
  <c r="AE135" i="123"/>
  <c r="AF135" i="123"/>
  <c r="AH135" i="123"/>
  <c r="AR59" i="123"/>
  <c r="AR99" i="123"/>
  <c r="AR89" i="123"/>
  <c r="AF45" i="123"/>
  <c r="AE45" i="123"/>
  <c r="AG45" i="123"/>
  <c r="AD45" i="123"/>
  <c r="AH45" i="123"/>
  <c r="AE127" i="123"/>
  <c r="AD127" i="123"/>
  <c r="AH127" i="123"/>
  <c r="AF127" i="123"/>
  <c r="AG127" i="123"/>
  <c r="AR48" i="123"/>
  <c r="AH97" i="123"/>
  <c r="AF97" i="123"/>
  <c r="AE97" i="123"/>
  <c r="AG97" i="123"/>
  <c r="AD97" i="123"/>
  <c r="AR82" i="123"/>
  <c r="AR47" i="123"/>
  <c r="AH29" i="123"/>
  <c r="AD29" i="123"/>
  <c r="AF29" i="123"/>
  <c r="AE29" i="123"/>
  <c r="AG29" i="123"/>
  <c r="AR36" i="123"/>
  <c r="AE109" i="123"/>
  <c r="AD109" i="123"/>
  <c r="AG109" i="123"/>
  <c r="AH109" i="123"/>
  <c r="AF109" i="123"/>
  <c r="AR60" i="123"/>
  <c r="AE49" i="123"/>
  <c r="AD49" i="123"/>
  <c r="AG49" i="123"/>
  <c r="AH49" i="123"/>
  <c r="AF49" i="123"/>
  <c r="AR27" i="123"/>
  <c r="AD31" i="123"/>
  <c r="AG31" i="123"/>
  <c r="AH31" i="123"/>
  <c r="AE31" i="123"/>
  <c r="AF31" i="123"/>
  <c r="AR143" i="123"/>
  <c r="AG79" i="123"/>
  <c r="AH79" i="123"/>
  <c r="AE79" i="123"/>
  <c r="AF79" i="123"/>
  <c r="AD79" i="123"/>
  <c r="AR83" i="123"/>
  <c r="AH74" i="123"/>
  <c r="AG74" i="123"/>
  <c r="AD74" i="123"/>
  <c r="AE74" i="123"/>
  <c r="AF74" i="123"/>
  <c r="AR20" i="123"/>
  <c r="AE101" i="123"/>
  <c r="AG101" i="123"/>
  <c r="AF101" i="123"/>
  <c r="AD101" i="123"/>
  <c r="AH101" i="123"/>
  <c r="AR50" i="123"/>
  <c r="AR35" i="123"/>
  <c r="AF55" i="123"/>
  <c r="AD55" i="123"/>
  <c r="AG55" i="123"/>
  <c r="AH55" i="123"/>
  <c r="AE55" i="123"/>
  <c r="AD64" i="123"/>
  <c r="AE64" i="123"/>
  <c r="AF64" i="123"/>
  <c r="AH64" i="123"/>
  <c r="AG64" i="123"/>
  <c r="AD107" i="123"/>
  <c r="AG107" i="123"/>
  <c r="AH107" i="123"/>
  <c r="AE107" i="123"/>
  <c r="AF107" i="123"/>
  <c r="AR38" i="123"/>
  <c r="AR17" i="123"/>
  <c r="AH24" i="123"/>
  <c r="AD24" i="123"/>
  <c r="AF24" i="123"/>
  <c r="AE24" i="123"/>
  <c r="AG24" i="123"/>
  <c r="AR86" i="123"/>
  <c r="AR69" i="123"/>
  <c r="AD142" i="123"/>
  <c r="AE142" i="123"/>
  <c r="AH142" i="123"/>
  <c r="AF142" i="123"/>
  <c r="AG142" i="123"/>
  <c r="AR108" i="123"/>
  <c r="AR85" i="123"/>
  <c r="AE77" i="123"/>
  <c r="AD77" i="123"/>
  <c r="AG77" i="123"/>
  <c r="AH77" i="123"/>
  <c r="AF77" i="123"/>
  <c r="AR52" i="123"/>
  <c r="AE15" i="123"/>
  <c r="AD15" i="123"/>
  <c r="AG15" i="123"/>
  <c r="AH15" i="123"/>
  <c r="AF15" i="123"/>
  <c r="AD44" i="123"/>
  <c r="AE44" i="123"/>
  <c r="AF44" i="123"/>
  <c r="AG44" i="123"/>
  <c r="AH44" i="123"/>
  <c r="AH76" i="123"/>
  <c r="AE76" i="123"/>
  <c r="AD76" i="123"/>
  <c r="AF76" i="123"/>
  <c r="AG76" i="123"/>
  <c r="AG119" i="123"/>
  <c r="AH119" i="123"/>
  <c r="AD119" i="123"/>
  <c r="AE119" i="123"/>
  <c r="AF119" i="123"/>
  <c r="AG37" i="123"/>
  <c r="AH37" i="123"/>
  <c r="AF37" i="123"/>
  <c r="AE37" i="123"/>
  <c r="AD37" i="123"/>
  <c r="AF87" i="123"/>
  <c r="AD87" i="123"/>
  <c r="AE87" i="123"/>
  <c r="AG87" i="123"/>
  <c r="AH87" i="123"/>
  <c r="AG131" i="123"/>
  <c r="AH131" i="123"/>
  <c r="AE131" i="123"/>
  <c r="AF131" i="123"/>
  <c r="AD131" i="123"/>
  <c r="AD7" i="123"/>
  <c r="AG7" i="123"/>
  <c r="AH7" i="123"/>
  <c r="AE7" i="123"/>
  <c r="AF7" i="123"/>
  <c r="AD91" i="123"/>
  <c r="AG91" i="123"/>
  <c r="AH91" i="123"/>
  <c r="AF91" i="123"/>
  <c r="AE91" i="123"/>
  <c r="AR73" i="123"/>
  <c r="AD19" i="123"/>
  <c r="AG19" i="123"/>
  <c r="AH19" i="123"/>
  <c r="AE19" i="123"/>
  <c r="AF19" i="123"/>
  <c r="AF18" i="123"/>
  <c r="AG18" i="123"/>
  <c r="AH18" i="123"/>
  <c r="AD18" i="123"/>
  <c r="AE18" i="123"/>
  <c r="AH80" i="123"/>
  <c r="AF80" i="123"/>
  <c r="AD80" i="123"/>
  <c r="AE80" i="123"/>
  <c r="AG80" i="123"/>
  <c r="AD128" i="123"/>
  <c r="AE128" i="123"/>
  <c r="AF128" i="123"/>
  <c r="AH128" i="123"/>
  <c r="AG128" i="123"/>
  <c r="AR147" i="123"/>
  <c r="AR4" i="123"/>
  <c r="AD54" i="123"/>
  <c r="AE54" i="123"/>
  <c r="AF54" i="123"/>
  <c r="AG54" i="123"/>
  <c r="AH54" i="123"/>
  <c r="AR41" i="123"/>
  <c r="AF71" i="123"/>
  <c r="AE71" i="123"/>
  <c r="AD71" i="123"/>
  <c r="AG71" i="123"/>
  <c r="AH71" i="123"/>
  <c r="AD148" i="123"/>
  <c r="AE148" i="123"/>
  <c r="AF148" i="123"/>
  <c r="AG148" i="123"/>
  <c r="AH148" i="123"/>
  <c r="AR105" i="123"/>
  <c r="AG117" i="123"/>
  <c r="AH117" i="123"/>
  <c r="AF117" i="123"/>
  <c r="AD117" i="123"/>
  <c r="AE117" i="123"/>
  <c r="AR74" i="123"/>
  <c r="AR33" i="123"/>
  <c r="AH112" i="123"/>
  <c r="AD112" i="123"/>
  <c r="AE112" i="123"/>
  <c r="AF112" i="123"/>
  <c r="AG112" i="123"/>
  <c r="AD56" i="123"/>
  <c r="AE56" i="123"/>
  <c r="AF56" i="123"/>
  <c r="AG56" i="123"/>
  <c r="AH56" i="123"/>
  <c r="AR51" i="123"/>
  <c r="AG141" i="123"/>
  <c r="AH141" i="123"/>
  <c r="AE141" i="123"/>
  <c r="AF141" i="123"/>
  <c r="AD141" i="123"/>
  <c r="AR64" i="123"/>
  <c r="AD102" i="123"/>
  <c r="AE102" i="123"/>
  <c r="AF102" i="123"/>
  <c r="AH102" i="123"/>
  <c r="AG102" i="123"/>
  <c r="AH145" i="123"/>
  <c r="AD145" i="123"/>
  <c r="AG145" i="123"/>
  <c r="AE145" i="123"/>
  <c r="AF145" i="123"/>
  <c r="AR24" i="123"/>
  <c r="AR23" i="123"/>
  <c r="AH139" i="123"/>
  <c r="AE139" i="123"/>
  <c r="AF139" i="123"/>
  <c r="AD139" i="123"/>
  <c r="AG139" i="123"/>
  <c r="AR142" i="123"/>
  <c r="AE58" i="123"/>
  <c r="AF58" i="123"/>
  <c r="AG58" i="123"/>
  <c r="AH58" i="123"/>
  <c r="AD58" i="123"/>
  <c r="AG110" i="123"/>
  <c r="AE110" i="123"/>
  <c r="AD110" i="123"/>
  <c r="AF110" i="123"/>
  <c r="AH110" i="123"/>
  <c r="AF129" i="123"/>
  <c r="AD129" i="123"/>
  <c r="AH129" i="123"/>
  <c r="AE129" i="123"/>
  <c r="AG129" i="123"/>
  <c r="AR44" i="123"/>
  <c r="AG18" i="127"/>
  <c r="AF17" i="127"/>
  <c r="AG17" i="127"/>
  <c r="AH17" i="127"/>
  <c r="AI17" i="127"/>
  <c r="AJ17" i="127"/>
  <c r="AF16" i="127"/>
  <c r="AG16" i="127"/>
  <c r="AH16" i="127"/>
  <c r="AI16" i="127"/>
  <c r="AJ16" i="127"/>
  <c r="AF15" i="127"/>
  <c r="AG15" i="127"/>
  <c r="AH15" i="127"/>
  <c r="AI15" i="127"/>
  <c r="AJ15" i="127"/>
  <c r="AF14" i="127"/>
  <c r="AI14" i="127"/>
  <c r="AG14" i="127"/>
  <c r="AH14" i="127"/>
  <c r="AJ14" i="127"/>
  <c r="AF13" i="127"/>
  <c r="AG13" i="127"/>
  <c r="AH13" i="127"/>
  <c r="AI13" i="127"/>
  <c r="AJ13" i="127"/>
  <c r="AF7" i="127"/>
  <c r="AH7" i="127"/>
  <c r="AG7" i="127"/>
  <c r="AI7" i="127"/>
  <c r="AJ7" i="127"/>
  <c r="AF12" i="127"/>
  <c r="AI12" i="127"/>
  <c r="AJ12" i="127"/>
  <c r="AH12" i="127"/>
  <c r="AG12" i="127"/>
  <c r="AH8" i="127"/>
  <c r="AF6" i="127"/>
  <c r="AI6" i="127"/>
  <c r="AJ6" i="127"/>
  <c r="AG6" i="127"/>
  <c r="AH6" i="127"/>
  <c r="AF9" i="127"/>
  <c r="AG9" i="127"/>
  <c r="AH9" i="127"/>
  <c r="AI9" i="127"/>
  <c r="AJ9" i="127"/>
  <c r="AF10" i="127"/>
  <c r="AI10" i="127"/>
  <c r="AH10" i="127"/>
  <c r="AJ10" i="127"/>
  <c r="AG10" i="127"/>
  <c r="AF11" i="127"/>
  <c r="AH11" i="127"/>
  <c r="AG11" i="127"/>
  <c r="AI11" i="127"/>
  <c r="AJ11" i="127"/>
  <c r="AO5" i="128"/>
  <c r="AO10" i="128"/>
  <c r="AO8" i="128"/>
  <c r="AO6" i="128"/>
  <c r="AO15" i="128"/>
  <c r="AO9" i="128"/>
  <c r="AO7" i="128"/>
  <c r="AO4" i="128"/>
  <c r="AO12" i="128"/>
  <c r="U20" i="128"/>
  <c r="AH3" i="128"/>
  <c r="W46" i="61"/>
  <c r="D25" i="107"/>
  <c r="N4" i="127"/>
  <c r="N5" i="127"/>
  <c r="J3" i="127"/>
  <c r="L3" i="127" s="1"/>
  <c r="L19" i="127" s="1"/>
  <c r="G1" i="127"/>
  <c r="G149" i="123"/>
  <c r="Z149" i="123"/>
  <c r="J1" i="123"/>
  <c r="E7" i="123"/>
  <c r="E84" i="123"/>
  <c r="E66" i="123"/>
  <c r="E75" i="123"/>
  <c r="E94" i="123"/>
  <c r="E95" i="123"/>
  <c r="E18" i="123"/>
  <c r="E144" i="123"/>
  <c r="E125" i="123"/>
  <c r="E53" i="123"/>
  <c r="E16" i="123"/>
  <c r="E8" i="123"/>
  <c r="E119" i="123"/>
  <c r="E93" i="123"/>
  <c r="E30" i="123"/>
  <c r="E19" i="123"/>
  <c r="E13" i="123"/>
  <c r="E67" i="123"/>
  <c r="E76" i="123"/>
  <c r="E40" i="123"/>
  <c r="E124" i="123"/>
  <c r="E129" i="123"/>
  <c r="E68" i="123"/>
  <c r="E86" i="123"/>
  <c r="E120" i="123"/>
  <c r="E26" i="123"/>
  <c r="E148" i="123"/>
  <c r="E57" i="123"/>
  <c r="E36" i="123"/>
  <c r="E139" i="123"/>
  <c r="E134" i="123"/>
  <c r="E132" i="123"/>
  <c r="E29" i="123"/>
  <c r="E116" i="123"/>
  <c r="E89" i="123"/>
  <c r="E44" i="123"/>
  <c r="E12" i="123"/>
  <c r="E72" i="123"/>
  <c r="E32" i="123"/>
  <c r="E60" i="123"/>
  <c r="E82" i="123"/>
  <c r="E135" i="123"/>
  <c r="E85" i="123"/>
  <c r="E96" i="123"/>
  <c r="E24" i="123"/>
  <c r="E115" i="123"/>
  <c r="E54" i="123"/>
  <c r="E127" i="123"/>
  <c r="E108" i="123"/>
  <c r="E106" i="123"/>
  <c r="E58" i="123"/>
  <c r="E15" i="123"/>
  <c r="E6" i="123"/>
  <c r="E100" i="123"/>
  <c r="E45" i="123"/>
  <c r="E130" i="123"/>
  <c r="E110" i="123"/>
  <c r="E52" i="123"/>
  <c r="E105" i="123"/>
  <c r="E81" i="123"/>
  <c r="E83" i="123"/>
  <c r="E117" i="123"/>
  <c r="E49" i="123"/>
  <c r="E41" i="123"/>
  <c r="E5" i="123"/>
  <c r="E59" i="123"/>
  <c r="E27" i="123"/>
  <c r="E71" i="123"/>
  <c r="E122" i="123"/>
  <c r="E103" i="123"/>
  <c r="E118" i="123"/>
  <c r="E37" i="123"/>
  <c r="E143" i="123"/>
  <c r="E74" i="123"/>
  <c r="E77" i="123"/>
  <c r="E70" i="123"/>
  <c r="E22" i="123"/>
  <c r="E35" i="123"/>
  <c r="E97" i="123"/>
  <c r="E111" i="123"/>
  <c r="E56" i="123"/>
  <c r="E87" i="123"/>
  <c r="E31" i="123"/>
  <c r="E25" i="123"/>
  <c r="E34" i="123"/>
  <c r="E78" i="123"/>
  <c r="E90" i="123"/>
  <c r="E39" i="123"/>
  <c r="E55" i="123"/>
  <c r="E51" i="123"/>
  <c r="E137" i="123"/>
  <c r="E42" i="123"/>
  <c r="E113" i="123"/>
  <c r="E33" i="123"/>
  <c r="E20" i="123"/>
  <c r="E114" i="123"/>
  <c r="E112" i="123"/>
  <c r="E140" i="123"/>
  <c r="E101" i="123"/>
  <c r="E46" i="123"/>
  <c r="E98" i="123"/>
  <c r="E4" i="123"/>
  <c r="E9" i="123"/>
  <c r="E38" i="123"/>
  <c r="E107" i="123"/>
  <c r="E133" i="123"/>
  <c r="E43" i="123"/>
  <c r="E28" i="123"/>
  <c r="E141" i="123"/>
  <c r="E65" i="123"/>
  <c r="E14" i="123"/>
  <c r="E64" i="123"/>
  <c r="E92" i="123"/>
  <c r="E126" i="123"/>
  <c r="E99" i="123"/>
  <c r="E138" i="123"/>
  <c r="E102" i="123"/>
  <c r="E63" i="123"/>
  <c r="E121" i="123"/>
  <c r="E10" i="123"/>
  <c r="E145" i="123"/>
  <c r="E50" i="123"/>
  <c r="E88" i="123"/>
  <c r="E146" i="123"/>
  <c r="E11" i="123"/>
  <c r="E61" i="123"/>
  <c r="E62" i="123"/>
  <c r="E17" i="123"/>
  <c r="E104" i="123"/>
  <c r="E79" i="123"/>
  <c r="E69" i="123"/>
  <c r="E136" i="123"/>
  <c r="E47" i="123"/>
  <c r="E23" i="123"/>
  <c r="E123" i="123"/>
  <c r="E91" i="123"/>
  <c r="E142" i="123"/>
  <c r="E21" i="123"/>
  <c r="E80" i="123"/>
  <c r="E109" i="123"/>
  <c r="E73" i="123"/>
  <c r="E48" i="123"/>
  <c r="E3" i="123"/>
  <c r="E131" i="123"/>
  <c r="E147" i="123"/>
  <c r="D41" i="108"/>
  <c r="D37" i="108"/>
  <c r="D36" i="108"/>
  <c r="D30" i="108"/>
  <c r="D26" i="108"/>
  <c r="B1" i="108"/>
  <c r="D49" i="107"/>
  <c r="D77" i="107" s="1"/>
  <c r="J41" i="107"/>
  <c r="J43" i="107" s="1"/>
  <c r="I41" i="107"/>
  <c r="I43" i="107" s="1"/>
  <c r="H41" i="107"/>
  <c r="H43" i="107" s="1"/>
  <c r="Z108" i="121"/>
  <c r="Y108" i="121"/>
  <c r="X108" i="121"/>
  <c r="W108" i="121"/>
  <c r="V108" i="121"/>
  <c r="U108" i="121"/>
  <c r="Z107" i="121"/>
  <c r="Y107" i="121"/>
  <c r="X107" i="121"/>
  <c r="W107" i="121"/>
  <c r="V107" i="121"/>
  <c r="U107" i="121"/>
  <c r="U106" i="121"/>
  <c r="U105" i="121"/>
  <c r="Z104" i="121"/>
  <c r="Y104" i="121"/>
  <c r="X104" i="121"/>
  <c r="W104" i="121"/>
  <c r="V104" i="121"/>
  <c r="U104" i="121"/>
  <c r="Z103" i="121"/>
  <c r="Y103" i="121"/>
  <c r="X103" i="121"/>
  <c r="W103" i="121"/>
  <c r="V103" i="121"/>
  <c r="U103" i="121"/>
  <c r="BU99" i="121"/>
  <c r="BR99" i="121"/>
  <c r="BO99" i="121"/>
  <c r="Z98" i="121"/>
  <c r="Y98" i="121"/>
  <c r="X98" i="121"/>
  <c r="W98" i="121"/>
  <c r="V98" i="121"/>
  <c r="Q96" i="121"/>
  <c r="Z95" i="121"/>
  <c r="Y95" i="121"/>
  <c r="X95" i="121"/>
  <c r="W95" i="121"/>
  <c r="V95" i="121"/>
  <c r="Q95" i="121"/>
  <c r="Z94" i="121"/>
  <c r="Y94" i="121"/>
  <c r="X94" i="121"/>
  <c r="W94" i="121"/>
  <c r="V94" i="121"/>
  <c r="BZ93" i="121"/>
  <c r="BY93" i="121"/>
  <c r="BX93" i="121"/>
  <c r="AL92" i="121"/>
  <c r="AS92" i="121" s="1"/>
  <c r="AZ92" i="121" s="1"/>
  <c r="BG92" i="121" s="1"/>
  <c r="Q92" i="121"/>
  <c r="R92" i="121" s="1"/>
  <c r="AL91" i="121"/>
  <c r="AS91" i="121" s="1"/>
  <c r="AZ91" i="121" s="1"/>
  <c r="Q91" i="121"/>
  <c r="V91" i="121" s="1"/>
  <c r="AC91" i="121" s="1"/>
  <c r="AL90" i="121"/>
  <c r="AS90" i="121" s="1"/>
  <c r="AZ90" i="121" s="1"/>
  <c r="BG90" i="121" s="1"/>
  <c r="Q90" i="121"/>
  <c r="V90" i="121" s="1"/>
  <c r="AL89" i="121"/>
  <c r="Q89" i="121"/>
  <c r="R89" i="121" s="1"/>
  <c r="AL88" i="121"/>
  <c r="AS88" i="121" s="1"/>
  <c r="AZ88" i="121" s="1"/>
  <c r="BG88" i="121" s="1"/>
  <c r="Q88" i="121"/>
  <c r="R88" i="121" s="1"/>
  <c r="AL87" i="121"/>
  <c r="AS87" i="121" s="1"/>
  <c r="Q87" i="121"/>
  <c r="R87" i="121" s="1"/>
  <c r="S87" i="121" s="1"/>
  <c r="AL86" i="121"/>
  <c r="AS86" i="121" s="1"/>
  <c r="AZ86" i="121" s="1"/>
  <c r="BG86" i="121" s="1"/>
  <c r="Q86" i="121"/>
  <c r="R86" i="121" s="1"/>
  <c r="AL85" i="121"/>
  <c r="AS85" i="121" s="1"/>
  <c r="Q85" i="121"/>
  <c r="V85" i="121" s="1"/>
  <c r="AL84" i="121"/>
  <c r="Q84" i="121"/>
  <c r="R84" i="121" s="1"/>
  <c r="AL83" i="121"/>
  <c r="AS83" i="121" s="1"/>
  <c r="AZ83" i="121" s="1"/>
  <c r="Q83" i="121"/>
  <c r="R83" i="121" s="1"/>
  <c r="AL82" i="121"/>
  <c r="AS82" i="121" s="1"/>
  <c r="Q82" i="121"/>
  <c r="V82" i="121" s="1"/>
  <c r="AL81" i="121"/>
  <c r="AS81" i="121" s="1"/>
  <c r="Q81" i="121"/>
  <c r="V81" i="121" s="1"/>
  <c r="AL80" i="121"/>
  <c r="AS80" i="121" s="1"/>
  <c r="AZ80" i="121" s="1"/>
  <c r="Q80" i="121"/>
  <c r="V80" i="121" s="1"/>
  <c r="AC80" i="121" s="1"/>
  <c r="AL79" i="121"/>
  <c r="Q79" i="121"/>
  <c r="V79" i="121" s="1"/>
  <c r="AL78" i="121"/>
  <c r="AS78" i="121" s="1"/>
  <c r="Q78" i="121"/>
  <c r="V78" i="121" s="1"/>
  <c r="AL77" i="121"/>
  <c r="AS77" i="121" s="1"/>
  <c r="Q77" i="121"/>
  <c r="V77" i="121" s="1"/>
  <c r="AL76" i="121"/>
  <c r="AS76" i="121" s="1"/>
  <c r="AZ76" i="121" s="1"/>
  <c r="BG76" i="121" s="1"/>
  <c r="Q76" i="121"/>
  <c r="V76" i="121" s="1"/>
  <c r="AL75" i="121"/>
  <c r="AS75" i="121" s="1"/>
  <c r="Q75" i="121"/>
  <c r="R75" i="121" s="1"/>
  <c r="AL74" i="121"/>
  <c r="AS74" i="121" s="1"/>
  <c r="Q74" i="121"/>
  <c r="V74" i="121" s="1"/>
  <c r="AG74" i="121" s="1"/>
  <c r="AL73" i="121"/>
  <c r="AS73" i="121" s="1"/>
  <c r="AZ73" i="121" s="1"/>
  <c r="BG73" i="121" s="1"/>
  <c r="Q73" i="121"/>
  <c r="R73" i="121" s="1"/>
  <c r="S73" i="121" s="1"/>
  <c r="AL72" i="121"/>
  <c r="AS72" i="121" s="1"/>
  <c r="AZ72" i="121" s="1"/>
  <c r="BG72" i="121" s="1"/>
  <c r="Q72" i="121"/>
  <c r="R72" i="121" s="1"/>
  <c r="AL71" i="121"/>
  <c r="AS71" i="121" s="1"/>
  <c r="Q71" i="121"/>
  <c r="V71" i="121" s="1"/>
  <c r="AL70" i="121"/>
  <c r="AS70" i="121" s="1"/>
  <c r="AZ70" i="121" s="1"/>
  <c r="Q70" i="121"/>
  <c r="V70" i="121" s="1"/>
  <c r="AL69" i="121"/>
  <c r="Q69" i="121"/>
  <c r="V69" i="121" s="1"/>
  <c r="AL68" i="121"/>
  <c r="AS68" i="121" s="1"/>
  <c r="AZ68" i="121" s="1"/>
  <c r="BG68" i="121" s="1"/>
  <c r="Q68" i="121"/>
  <c r="R68" i="121" s="1"/>
  <c r="AL67" i="121"/>
  <c r="Q67" i="121"/>
  <c r="R67" i="121" s="1"/>
  <c r="AL66" i="121"/>
  <c r="AS66" i="121" s="1"/>
  <c r="Q66" i="121"/>
  <c r="R66" i="121" s="1"/>
  <c r="AL65" i="121"/>
  <c r="Q65" i="121"/>
  <c r="AL64" i="121"/>
  <c r="AS64" i="121" s="1"/>
  <c r="AZ64" i="121" s="1"/>
  <c r="BG64" i="121" s="1"/>
  <c r="Q64" i="121"/>
  <c r="R64" i="121" s="1"/>
  <c r="AL63" i="121"/>
  <c r="Q63" i="121"/>
  <c r="V63" i="121" s="1"/>
  <c r="AL62" i="121"/>
  <c r="AS62" i="121" s="1"/>
  <c r="Q62" i="121"/>
  <c r="V62" i="121" s="1"/>
  <c r="AC62" i="121" s="1"/>
  <c r="AL61" i="121"/>
  <c r="AS61" i="121" s="1"/>
  <c r="AZ61" i="121" s="1"/>
  <c r="BG61" i="121" s="1"/>
  <c r="Q61" i="121"/>
  <c r="R61" i="121" s="1"/>
  <c r="AL60" i="121"/>
  <c r="AS60" i="121" s="1"/>
  <c r="AZ60" i="121" s="1"/>
  <c r="BG60" i="121" s="1"/>
  <c r="Q60" i="121"/>
  <c r="R60" i="121" s="1"/>
  <c r="AL59" i="121"/>
  <c r="AS59" i="121" s="1"/>
  <c r="Q59" i="121"/>
  <c r="R59" i="121" s="1"/>
  <c r="J59" i="121"/>
  <c r="AL58" i="121"/>
  <c r="AS58" i="121" s="1"/>
  <c r="Q58" i="121"/>
  <c r="V58" i="121" s="1"/>
  <c r="J58" i="121"/>
  <c r="AL57" i="121"/>
  <c r="AS57" i="121" s="1"/>
  <c r="Q57" i="121"/>
  <c r="R57" i="121" s="1"/>
  <c r="J57" i="121"/>
  <c r="AL56" i="121"/>
  <c r="Q56" i="121"/>
  <c r="V56" i="121" s="1"/>
  <c r="AL55" i="121"/>
  <c r="AS55" i="121" s="1"/>
  <c r="Q55" i="121"/>
  <c r="V55" i="121" s="1"/>
  <c r="AL54" i="121"/>
  <c r="AS54" i="121" s="1"/>
  <c r="Q54" i="121"/>
  <c r="V54" i="121" s="1"/>
  <c r="AL53" i="121"/>
  <c r="AS53" i="121" s="1"/>
  <c r="AZ53" i="121" s="1"/>
  <c r="Q53" i="121"/>
  <c r="V53" i="121" s="1"/>
  <c r="AL52" i="121"/>
  <c r="AS52" i="121" s="1"/>
  <c r="AZ52" i="121" s="1"/>
  <c r="Q52" i="121"/>
  <c r="V52" i="121" s="1"/>
  <c r="AL51" i="121"/>
  <c r="Q51" i="121"/>
  <c r="R51" i="121" s="1"/>
  <c r="AL50" i="121"/>
  <c r="AS50" i="121" s="1"/>
  <c r="Q50" i="121"/>
  <c r="V50" i="121" s="1"/>
  <c r="AL49" i="121"/>
  <c r="AS49" i="121" s="1"/>
  <c r="AZ49" i="121" s="1"/>
  <c r="Q49" i="121"/>
  <c r="R49" i="121" s="1"/>
  <c r="AL48" i="121"/>
  <c r="AS48" i="121" s="1"/>
  <c r="AZ48" i="121" s="1"/>
  <c r="BG48" i="121" s="1"/>
  <c r="Q48" i="121"/>
  <c r="V48" i="121" s="1"/>
  <c r="AL47" i="121"/>
  <c r="AS47" i="121" s="1"/>
  <c r="AZ47" i="121" s="1"/>
  <c r="BG47" i="121" s="1"/>
  <c r="Q47" i="121"/>
  <c r="R47" i="121" s="1"/>
  <c r="AL46" i="121"/>
  <c r="AS46" i="121" s="1"/>
  <c r="AZ46" i="121" s="1"/>
  <c r="BG46" i="121" s="1"/>
  <c r="Q46" i="121"/>
  <c r="R46" i="121" s="1"/>
  <c r="AL45" i="121"/>
  <c r="AS45" i="121" s="1"/>
  <c r="Q45" i="121"/>
  <c r="R45" i="121" s="1"/>
  <c r="AL44" i="121"/>
  <c r="AS44" i="121" s="1"/>
  <c r="Q44" i="121"/>
  <c r="V44" i="121" s="1"/>
  <c r="AL43" i="121"/>
  <c r="AS43" i="121" s="1"/>
  <c r="Q43" i="121"/>
  <c r="V43" i="121" s="1"/>
  <c r="AL42" i="121"/>
  <c r="AS42" i="121" s="1"/>
  <c r="Q42" i="121"/>
  <c r="R42" i="121" s="1"/>
  <c r="AL41" i="121"/>
  <c r="Q41" i="121"/>
  <c r="V41" i="121" s="1"/>
  <c r="AL40" i="121"/>
  <c r="Q40" i="121"/>
  <c r="V40" i="121" s="1"/>
  <c r="AL39" i="121"/>
  <c r="AS39" i="121" s="1"/>
  <c r="AZ39" i="121" s="1"/>
  <c r="BG39" i="121" s="1"/>
  <c r="Q39" i="121"/>
  <c r="V39" i="121" s="1"/>
  <c r="AL38" i="121"/>
  <c r="AS38" i="121" s="1"/>
  <c r="AZ38" i="121" s="1"/>
  <c r="Q38" i="121"/>
  <c r="R38" i="121" s="1"/>
  <c r="AL37" i="121"/>
  <c r="AS37" i="121" s="1"/>
  <c r="AZ37" i="121" s="1"/>
  <c r="Q37" i="121"/>
  <c r="V37" i="121" s="1"/>
  <c r="AL36" i="121"/>
  <c r="Q36" i="121"/>
  <c r="R36" i="121" s="1"/>
  <c r="AL35" i="121"/>
  <c r="AS35" i="121" s="1"/>
  <c r="Q35" i="121"/>
  <c r="V35" i="121" s="1"/>
  <c r="J35" i="121"/>
  <c r="AL34" i="121"/>
  <c r="AS34" i="121" s="1"/>
  <c r="AZ34" i="121" s="1"/>
  <c r="Q34" i="121"/>
  <c r="R34" i="121" s="1"/>
  <c r="S34" i="121" s="1"/>
  <c r="J34" i="121"/>
  <c r="AL33" i="121"/>
  <c r="Q33" i="121"/>
  <c r="R33" i="121" s="1"/>
  <c r="J33" i="121"/>
  <c r="AL32" i="121"/>
  <c r="AS32" i="121" s="1"/>
  <c r="Q32" i="121"/>
  <c r="R32" i="121" s="1"/>
  <c r="AL31" i="121"/>
  <c r="AS31" i="121" s="1"/>
  <c r="AZ31" i="121" s="1"/>
  <c r="Q31" i="121"/>
  <c r="R31" i="121" s="1"/>
  <c r="AL30" i="121"/>
  <c r="AS30" i="121" s="1"/>
  <c r="AZ30" i="121" s="1"/>
  <c r="Q30" i="121"/>
  <c r="R30" i="121" s="1"/>
  <c r="AL29" i="121"/>
  <c r="AS29" i="121" s="1"/>
  <c r="AZ29" i="121" s="1"/>
  <c r="BG29" i="121" s="1"/>
  <c r="Q29" i="121"/>
  <c r="R29" i="121" s="1"/>
  <c r="AL28" i="121"/>
  <c r="AS28" i="121" s="1"/>
  <c r="AZ28" i="121" s="1"/>
  <c r="Q28" i="121"/>
  <c r="R28" i="121" s="1"/>
  <c r="AL27" i="121"/>
  <c r="AS27" i="121" s="1"/>
  <c r="Q27" i="121"/>
  <c r="R27" i="121" s="1"/>
  <c r="AL26" i="121"/>
  <c r="AS26" i="121" s="1"/>
  <c r="Q26" i="121"/>
  <c r="AL25" i="121"/>
  <c r="AS25" i="121" s="1"/>
  <c r="AZ25" i="121" s="1"/>
  <c r="Q25" i="121"/>
  <c r="R25" i="121" s="1"/>
  <c r="AL24" i="121"/>
  <c r="AS24" i="121" s="1"/>
  <c r="AZ24" i="121" s="1"/>
  <c r="BG24" i="121" s="1"/>
  <c r="Q24" i="121"/>
  <c r="V24" i="121" s="1"/>
  <c r="AL23" i="121"/>
  <c r="AS23" i="121" s="1"/>
  <c r="AZ23" i="121" s="1"/>
  <c r="BG23" i="121" s="1"/>
  <c r="Q23" i="121"/>
  <c r="R23" i="121" s="1"/>
  <c r="AL22" i="121"/>
  <c r="AS22" i="121" s="1"/>
  <c r="AZ22" i="121" s="1"/>
  <c r="BG22" i="121" s="1"/>
  <c r="Q22" i="121"/>
  <c r="R22" i="121" s="1"/>
  <c r="AL21" i="121"/>
  <c r="AS21" i="121" s="1"/>
  <c r="Q21" i="121"/>
  <c r="AL20" i="121"/>
  <c r="AS20" i="121" s="1"/>
  <c r="AZ20" i="121" s="1"/>
  <c r="BG20" i="121" s="1"/>
  <c r="Q20" i="121"/>
  <c r="R20" i="121" s="1"/>
  <c r="AL19" i="121"/>
  <c r="AS19" i="121" s="1"/>
  <c r="Q19" i="121"/>
  <c r="V19" i="121" s="1"/>
  <c r="AL18" i="121"/>
  <c r="AS18" i="121" s="1"/>
  <c r="AZ18" i="121" s="1"/>
  <c r="BG18" i="121" s="1"/>
  <c r="Q18" i="121"/>
  <c r="R18" i="121" s="1"/>
  <c r="AL17" i="121"/>
  <c r="AS17" i="121" s="1"/>
  <c r="AZ17" i="121" s="1"/>
  <c r="BG17" i="121" s="1"/>
  <c r="Q17" i="121"/>
  <c r="R17" i="121" s="1"/>
  <c r="AL16" i="121"/>
  <c r="Q16" i="121"/>
  <c r="V16" i="121" s="1"/>
  <c r="AL15" i="121"/>
  <c r="AS15" i="121" s="1"/>
  <c r="AZ15" i="121" s="1"/>
  <c r="BG15" i="121" s="1"/>
  <c r="Q15" i="121"/>
  <c r="V15" i="121" s="1"/>
  <c r="AG15" i="121" s="1"/>
  <c r="AL14" i="121"/>
  <c r="AS14" i="121" s="1"/>
  <c r="Q14" i="121"/>
  <c r="R14" i="121" s="1"/>
  <c r="AL13" i="121"/>
  <c r="Q13" i="121"/>
  <c r="V13" i="121" s="1"/>
  <c r="AL12" i="121"/>
  <c r="AS12" i="121" s="1"/>
  <c r="AZ12" i="121" s="1"/>
  <c r="BG12" i="121" s="1"/>
  <c r="Q12" i="121"/>
  <c r="R12" i="121" s="1"/>
  <c r="AL11" i="121"/>
  <c r="Q11" i="121"/>
  <c r="V11" i="121" s="1"/>
  <c r="A11" i="121"/>
  <c r="A12" i="121" s="1"/>
  <c r="A13" i="121" s="1"/>
  <c r="A14" i="121" s="1"/>
  <c r="A15" i="121" s="1"/>
  <c r="A16" i="121" s="1"/>
  <c r="A17" i="121" s="1"/>
  <c r="A18" i="121" s="1"/>
  <c r="A19" i="121" s="1"/>
  <c r="A20" i="121" s="1"/>
  <c r="A21" i="121" s="1"/>
  <c r="A22" i="121" s="1"/>
  <c r="A23" i="121" s="1"/>
  <c r="A24" i="121" s="1"/>
  <c r="A25" i="121" s="1"/>
  <c r="A26" i="121" s="1"/>
  <c r="A27" i="121" s="1"/>
  <c r="A28" i="121" s="1"/>
  <c r="A29" i="121" s="1"/>
  <c r="A30" i="121" s="1"/>
  <c r="A31" i="121" s="1"/>
  <c r="A32" i="121" s="1"/>
  <c r="A33" i="121" s="1"/>
  <c r="A34" i="121" s="1"/>
  <c r="A35" i="121" s="1"/>
  <c r="A36" i="121" s="1"/>
  <c r="A37" i="121" s="1"/>
  <c r="A38" i="121" s="1"/>
  <c r="A39" i="121" s="1"/>
  <c r="A40" i="121" s="1"/>
  <c r="A41" i="121" s="1"/>
  <c r="A42" i="121" s="1"/>
  <c r="A43" i="121" s="1"/>
  <c r="A44" i="121" s="1"/>
  <c r="A45" i="121" s="1"/>
  <c r="A46" i="121" s="1"/>
  <c r="A47" i="121" s="1"/>
  <c r="A48" i="121" s="1"/>
  <c r="A49" i="121" s="1"/>
  <c r="A50" i="121" s="1"/>
  <c r="A51" i="121" s="1"/>
  <c r="A52" i="121" s="1"/>
  <c r="A53" i="121" s="1"/>
  <c r="A54" i="121" s="1"/>
  <c r="A55" i="121" s="1"/>
  <c r="A56" i="121" s="1"/>
  <c r="A57" i="121" s="1"/>
  <c r="A58" i="121" s="1"/>
  <c r="A59" i="121" s="1"/>
  <c r="A60" i="121" s="1"/>
  <c r="A61" i="121" s="1"/>
  <c r="A62" i="121" s="1"/>
  <c r="A63" i="121" s="1"/>
  <c r="A64" i="121" s="1"/>
  <c r="A65" i="121" s="1"/>
  <c r="A66" i="121" s="1"/>
  <c r="A67" i="121" s="1"/>
  <c r="A68" i="121" s="1"/>
  <c r="A69" i="121" s="1"/>
  <c r="A70" i="121" s="1"/>
  <c r="A71" i="121" s="1"/>
  <c r="A72" i="121" s="1"/>
  <c r="A73" i="121" s="1"/>
  <c r="A74" i="121" s="1"/>
  <c r="A75" i="121" s="1"/>
  <c r="A76" i="121" s="1"/>
  <c r="A77" i="121" s="1"/>
  <c r="A78" i="121" s="1"/>
  <c r="A79" i="121" s="1"/>
  <c r="A80" i="121" s="1"/>
  <c r="A81" i="121" s="1"/>
  <c r="A82" i="121" s="1"/>
  <c r="A83" i="121" s="1"/>
  <c r="A84" i="121" s="1"/>
  <c r="A85" i="121" s="1"/>
  <c r="A86" i="121" s="1"/>
  <c r="A87" i="121" s="1"/>
  <c r="A88" i="121" s="1"/>
  <c r="A89" i="121" s="1"/>
  <c r="A90" i="121" s="1"/>
  <c r="A91" i="121" s="1"/>
  <c r="A92" i="121" s="1"/>
  <c r="AL10" i="121"/>
  <c r="AS10" i="121" s="1"/>
  <c r="AZ10" i="121" s="1"/>
  <c r="BG10" i="121" s="1"/>
  <c r="Q10" i="121"/>
  <c r="R10" i="121" s="1"/>
  <c r="P5" i="121"/>
  <c r="O5" i="121"/>
  <c r="N5" i="121"/>
  <c r="M5" i="121"/>
  <c r="BI3" i="121"/>
  <c r="BG3" i="121"/>
  <c r="BF3" i="121"/>
  <c r="BD3" i="121"/>
  <c r="BB3" i="121"/>
  <c r="AZ3" i="121"/>
  <c r="AY3" i="121"/>
  <c r="AW3" i="121"/>
  <c r="AU3" i="121"/>
  <c r="AS3" i="121"/>
  <c r="AR3" i="121"/>
  <c r="AP3" i="121"/>
  <c r="AN3" i="121"/>
  <c r="AK3" i="121"/>
  <c r="AI3" i="121"/>
  <c r="U3" i="121"/>
  <c r="T3" i="121"/>
  <c r="S3" i="121"/>
  <c r="P2" i="121"/>
  <c r="O2" i="121"/>
  <c r="N2" i="121"/>
  <c r="M2" i="121"/>
  <c r="L2" i="121"/>
  <c r="L1" i="121"/>
  <c r="F38" i="116"/>
  <c r="F34" i="116"/>
  <c r="F33" i="116"/>
  <c r="F29" i="116"/>
  <c r="F27" i="116"/>
  <c r="F26" i="116"/>
  <c r="F25" i="116"/>
  <c r="F23" i="116"/>
  <c r="F22" i="116"/>
  <c r="F21" i="116"/>
  <c r="F20" i="116"/>
  <c r="F19" i="116"/>
  <c r="F17" i="116"/>
  <c r="F16" i="116"/>
  <c r="D15" i="116"/>
  <c r="F13" i="116"/>
  <c r="F9" i="116"/>
  <c r="C5" i="116"/>
  <c r="C109" i="61"/>
  <c r="C101" i="61"/>
  <c r="R95" i="61"/>
  <c r="R97" i="61" s="1"/>
  <c r="R101" i="61" s="1"/>
  <c r="R93" i="61"/>
  <c r="S93" i="61" s="1"/>
  <c r="T93" i="61" s="1"/>
  <c r="U93" i="61" s="1"/>
  <c r="C85" i="61"/>
  <c r="U84" i="61"/>
  <c r="U98" i="61" s="1"/>
  <c r="T84" i="61"/>
  <c r="T98" i="61" s="1"/>
  <c r="U82" i="61"/>
  <c r="T82" i="61"/>
  <c r="X81" i="61"/>
  <c r="U75" i="61"/>
  <c r="T75" i="61"/>
  <c r="B75" i="61"/>
  <c r="U73" i="61"/>
  <c r="T73" i="61"/>
  <c r="U74" i="61" s="1"/>
  <c r="R72" i="61"/>
  <c r="R71" i="61"/>
  <c r="R70" i="61"/>
  <c r="R69" i="61"/>
  <c r="R68" i="61"/>
  <c r="W66" i="61"/>
  <c r="W67" i="61" s="1"/>
  <c r="U57" i="61"/>
  <c r="T57" i="61"/>
  <c r="S57" i="61"/>
  <c r="R57" i="61"/>
  <c r="C57" i="61"/>
  <c r="U56" i="61"/>
  <c r="T56" i="61"/>
  <c r="S56" i="61"/>
  <c r="R56" i="61"/>
  <c r="C56" i="61"/>
  <c r="U55" i="61"/>
  <c r="T55" i="61"/>
  <c r="R55" i="61"/>
  <c r="X54" i="61"/>
  <c r="X55" i="61" s="1"/>
  <c r="U54" i="61"/>
  <c r="T54" i="61"/>
  <c r="R54" i="61"/>
  <c r="U53" i="61"/>
  <c r="T53" i="61"/>
  <c r="S53" i="61"/>
  <c r="R53" i="61"/>
  <c r="C53" i="61"/>
  <c r="AA49" i="61"/>
  <c r="S47" i="61"/>
  <c r="S54" i="61" s="1"/>
  <c r="C47" i="61"/>
  <c r="C54" i="61" s="1"/>
  <c r="AA45" i="61"/>
  <c r="AA48" i="61" s="1"/>
  <c r="U44" i="61"/>
  <c r="T44" i="61"/>
  <c r="S44" i="61"/>
  <c r="R44" i="61"/>
  <c r="C44" i="61"/>
  <c r="V26" i="61"/>
  <c r="U26" i="61"/>
  <c r="T26" i="61"/>
  <c r="X46" i="61" s="1"/>
  <c r="X48" i="61" s="1"/>
  <c r="R26" i="61"/>
  <c r="V23" i="61"/>
  <c r="R23" i="61"/>
  <c r="C24" i="61"/>
  <c r="C26" i="61" s="1"/>
  <c r="S5" i="61"/>
  <c r="P109" i="108"/>
  <c r="P110" i="108" s="1"/>
  <c r="C85" i="108"/>
  <c r="C83" i="108"/>
  <c r="C82" i="108"/>
  <c r="C81" i="108"/>
  <c r="C70" i="108"/>
  <c r="C68" i="108"/>
  <c r="C58" i="108"/>
  <c r="C15" i="109" s="1"/>
  <c r="C56" i="108"/>
  <c r="F6" i="109"/>
  <c r="H6" i="109" s="1"/>
  <c r="D20" i="108"/>
  <c r="D51" i="107"/>
  <c r="D57" i="107"/>
  <c r="B3" i="108" l="1"/>
  <c r="C19" i="108" s="1"/>
  <c r="L19" i="108" s="1"/>
  <c r="AH18" i="127"/>
  <c r="AF18" i="127"/>
  <c r="AT15" i="127"/>
  <c r="AT18" i="127"/>
  <c r="AT17" i="127"/>
  <c r="AJ18" i="127"/>
  <c r="AJ8" i="127"/>
  <c r="AT10" i="127"/>
  <c r="AT7" i="127"/>
  <c r="AI8" i="127"/>
  <c r="AF8" i="127"/>
  <c r="AT13" i="127"/>
  <c r="AT11" i="127"/>
  <c r="AT8" i="127"/>
  <c r="AM4" i="127"/>
  <c r="AQ4" i="127" s="1"/>
  <c r="AL4" i="127"/>
  <c r="AP4" i="127" s="1"/>
  <c r="AN4" i="127"/>
  <c r="AR4" i="127" s="1"/>
  <c r="AO4" i="127"/>
  <c r="AS4" i="127" s="1"/>
  <c r="AB5" i="127"/>
  <c r="AO5" i="127"/>
  <c r="AS5" i="127" s="1"/>
  <c r="AL5" i="127"/>
  <c r="AP5" i="127" s="1"/>
  <c r="AM5" i="127"/>
  <c r="AQ5" i="127" s="1"/>
  <c r="AN5" i="127"/>
  <c r="AR5" i="127" s="1"/>
  <c r="AI73" i="123"/>
  <c r="AI47" i="123"/>
  <c r="AI8" i="123"/>
  <c r="AI141" i="123"/>
  <c r="AI117" i="123"/>
  <c r="AI19" i="123"/>
  <c r="AI64" i="123"/>
  <c r="AI74" i="123"/>
  <c r="AI59" i="123"/>
  <c r="AI78" i="123"/>
  <c r="AI53" i="123"/>
  <c r="AI90" i="123"/>
  <c r="AI6" i="123"/>
  <c r="AI121" i="123"/>
  <c r="AI23" i="123"/>
  <c r="AI132" i="123"/>
  <c r="AI113" i="123"/>
  <c r="AI88" i="123"/>
  <c r="AI67" i="123"/>
  <c r="AI85" i="123"/>
  <c r="AI69" i="123"/>
  <c r="AI35" i="123"/>
  <c r="AI143" i="123"/>
  <c r="AI27" i="123"/>
  <c r="AI116" i="123"/>
  <c r="AI75" i="123"/>
  <c r="AI26" i="123"/>
  <c r="AI145" i="123"/>
  <c r="AI31" i="123"/>
  <c r="AI140" i="123"/>
  <c r="AI130" i="123"/>
  <c r="AI136" i="123"/>
  <c r="AI15" i="123"/>
  <c r="AI30" i="123"/>
  <c r="AI92" i="123"/>
  <c r="AI107" i="123"/>
  <c r="AI36" i="123"/>
  <c r="AI111" i="123"/>
  <c r="AI118" i="123"/>
  <c r="AI144" i="123"/>
  <c r="AI138" i="123"/>
  <c r="AI84" i="123"/>
  <c r="AI58" i="123"/>
  <c r="AI18" i="123"/>
  <c r="AI37" i="123"/>
  <c r="AI24" i="123"/>
  <c r="AI55" i="123"/>
  <c r="AI45" i="123"/>
  <c r="AI89" i="123"/>
  <c r="AI4" i="123"/>
  <c r="AI134" i="123"/>
  <c r="AI65" i="123"/>
  <c r="AI103" i="123"/>
  <c r="AI32" i="123"/>
  <c r="AI41" i="123"/>
  <c r="AI94" i="123"/>
  <c r="AI83" i="123"/>
  <c r="AI131" i="123"/>
  <c r="AI38" i="123"/>
  <c r="AI100" i="123"/>
  <c r="AI102" i="123"/>
  <c r="AI112" i="123"/>
  <c r="AI128" i="123"/>
  <c r="AI7" i="123"/>
  <c r="AI44" i="123"/>
  <c r="AI109" i="123"/>
  <c r="AI104" i="123"/>
  <c r="AI99" i="123"/>
  <c r="AI81" i="123"/>
  <c r="AI123" i="123"/>
  <c r="AI122" i="123"/>
  <c r="AI9" i="123"/>
  <c r="AI125" i="123"/>
  <c r="AI12" i="123"/>
  <c r="AI46" i="123"/>
  <c r="AI72" i="123"/>
  <c r="AI17" i="123"/>
  <c r="AI61" i="123"/>
  <c r="AI120" i="123"/>
  <c r="AI110" i="123"/>
  <c r="AI54" i="123"/>
  <c r="AI68" i="123"/>
  <c r="AI86" i="123"/>
  <c r="AI48" i="123"/>
  <c r="AI133" i="123"/>
  <c r="AI5" i="123"/>
  <c r="AI40" i="123"/>
  <c r="AI39" i="123"/>
  <c r="AI148" i="123"/>
  <c r="AI129" i="123"/>
  <c r="AI91" i="123"/>
  <c r="AI142" i="123"/>
  <c r="AI101" i="123"/>
  <c r="AI49" i="123"/>
  <c r="AI52" i="123"/>
  <c r="AI108" i="123"/>
  <c r="AI20" i="123"/>
  <c r="AI60" i="123"/>
  <c r="AI57" i="123"/>
  <c r="AI115" i="123"/>
  <c r="AI95" i="123"/>
  <c r="AI13" i="123"/>
  <c r="AI93" i="123"/>
  <c r="AI16" i="123"/>
  <c r="AI51" i="123"/>
  <c r="AI147" i="123"/>
  <c r="AI146" i="123"/>
  <c r="AI135" i="123"/>
  <c r="AI71" i="123"/>
  <c r="AR1" i="123"/>
  <c r="AI80" i="123"/>
  <c r="AI87" i="123"/>
  <c r="AI76" i="123"/>
  <c r="AI29" i="123"/>
  <c r="AI97" i="123"/>
  <c r="AI127" i="123"/>
  <c r="AI50" i="123"/>
  <c r="AI82" i="123"/>
  <c r="AI126" i="123"/>
  <c r="AI10" i="123"/>
  <c r="AI63" i="123"/>
  <c r="AI42" i="123"/>
  <c r="AI21" i="123"/>
  <c r="AI98" i="123"/>
  <c r="AI33" i="123"/>
  <c r="AI22" i="123"/>
  <c r="AI66" i="123"/>
  <c r="AI14" i="123"/>
  <c r="AI137" i="123"/>
  <c r="AI96" i="123"/>
  <c r="AI114" i="123"/>
  <c r="AI43" i="123"/>
  <c r="AI139" i="123"/>
  <c r="AI56" i="123"/>
  <c r="AI119" i="123"/>
  <c r="AI77" i="123"/>
  <c r="AI79" i="123"/>
  <c r="AI25" i="123"/>
  <c r="AI34" i="123"/>
  <c r="AI62" i="123"/>
  <c r="AI11" i="123"/>
  <c r="AI70" i="123"/>
  <c r="AI105" i="123"/>
  <c r="AI28" i="123"/>
  <c r="AI106" i="123"/>
  <c r="AI124" i="123"/>
  <c r="F5" i="109"/>
  <c r="H5" i="109" s="1"/>
  <c r="V34" i="121"/>
  <c r="AC34" i="121" s="1"/>
  <c r="V20" i="121"/>
  <c r="AG20" i="121" s="1"/>
  <c r="AK12" i="127"/>
  <c r="AK8" i="127"/>
  <c r="AK6" i="127"/>
  <c r="AK7" i="127"/>
  <c r="AK14" i="127"/>
  <c r="AK17" i="127"/>
  <c r="AK16" i="127"/>
  <c r="AK18" i="127"/>
  <c r="AK15" i="127"/>
  <c r="AK11" i="127"/>
  <c r="AK10" i="127"/>
  <c r="AK9" i="127"/>
  <c r="AK13" i="127"/>
  <c r="AF5" i="127"/>
  <c r="AJ5" i="127"/>
  <c r="AH5" i="127"/>
  <c r="AI5" i="127"/>
  <c r="AG5" i="127"/>
  <c r="AO19" i="128"/>
  <c r="AO14" i="128"/>
  <c r="AO13" i="128"/>
  <c r="AO11" i="128"/>
  <c r="AO18" i="128"/>
  <c r="AL3" i="128"/>
  <c r="AK3" i="128"/>
  <c r="AN3" i="128"/>
  <c r="AM3" i="128"/>
  <c r="AO16" i="128"/>
  <c r="AH1" i="128"/>
  <c r="AJ3" i="128"/>
  <c r="W17" i="121"/>
  <c r="S17" i="121"/>
  <c r="X17" i="121" s="1"/>
  <c r="R53" i="121"/>
  <c r="S53" i="121" s="1"/>
  <c r="X53" i="121" s="1"/>
  <c r="R40" i="121"/>
  <c r="S40" i="121" s="1"/>
  <c r="T40" i="121" s="1"/>
  <c r="V23" i="121"/>
  <c r="AG23" i="121" s="1"/>
  <c r="R63" i="121"/>
  <c r="S63" i="121" s="1"/>
  <c r="T63" i="121" s="1"/>
  <c r="R90" i="121"/>
  <c r="S90" i="121" s="1"/>
  <c r="T90" i="121" s="1"/>
  <c r="AB4" i="127"/>
  <c r="N19" i="127"/>
  <c r="AA50" i="61"/>
  <c r="AA52" i="61" s="1"/>
  <c r="AA54" i="61" s="1"/>
  <c r="AA55" i="61" s="1"/>
  <c r="R61" i="61"/>
  <c r="R65" i="61" s="1"/>
  <c r="C61" i="61"/>
  <c r="S95" i="61"/>
  <c r="T74" i="61"/>
  <c r="C48" i="61"/>
  <c r="C55" i="61" s="1"/>
  <c r="C65" i="61"/>
  <c r="C71" i="61" s="1"/>
  <c r="N1" i="127"/>
  <c r="L1" i="127"/>
  <c r="Z1" i="123"/>
  <c r="L3" i="123"/>
  <c r="J149" i="123"/>
  <c r="D50" i="107"/>
  <c r="W61" i="121"/>
  <c r="S61" i="121"/>
  <c r="X61" i="121" s="1"/>
  <c r="V83" i="121"/>
  <c r="AF83" i="121" s="1"/>
  <c r="V87" i="121"/>
  <c r="AC87" i="121" s="1"/>
  <c r="R82" i="121"/>
  <c r="V84" i="121"/>
  <c r="AD84" i="121" s="1"/>
  <c r="V88" i="121"/>
  <c r="AC88" i="121" s="1"/>
  <c r="AG48" i="121"/>
  <c r="AF48" i="121"/>
  <c r="AZ14" i="121"/>
  <c r="AG71" i="121"/>
  <c r="AF71" i="121"/>
  <c r="BG30" i="121"/>
  <c r="S18" i="121"/>
  <c r="W18" i="121"/>
  <c r="S28" i="121"/>
  <c r="W28" i="121"/>
  <c r="S32" i="121"/>
  <c r="W32" i="121"/>
  <c r="S49" i="121"/>
  <c r="W49" i="121"/>
  <c r="W68" i="121"/>
  <c r="S68" i="121"/>
  <c r="BG83" i="121"/>
  <c r="W22" i="121"/>
  <c r="S22" i="121"/>
  <c r="BG28" i="121"/>
  <c r="AZ32" i="121"/>
  <c r="W46" i="121"/>
  <c r="S46" i="121"/>
  <c r="S84" i="121"/>
  <c r="W84" i="121"/>
  <c r="S14" i="121"/>
  <c r="W14" i="121"/>
  <c r="AD44" i="121"/>
  <c r="AC44" i="121"/>
  <c r="W29" i="121"/>
  <c r="S29" i="121"/>
  <c r="BG49" i="121"/>
  <c r="AG69" i="121"/>
  <c r="AF69" i="121"/>
  <c r="AD69" i="121"/>
  <c r="AC69" i="121"/>
  <c r="AG76" i="121"/>
  <c r="AF76" i="121"/>
  <c r="AC76" i="121"/>
  <c r="AF43" i="121"/>
  <c r="AG43" i="121"/>
  <c r="AC43" i="121"/>
  <c r="S47" i="121"/>
  <c r="W47" i="121"/>
  <c r="AC50" i="121"/>
  <c r="AD50" i="121"/>
  <c r="S60" i="121"/>
  <c r="W60" i="121"/>
  <c r="S88" i="121"/>
  <c r="T88" i="121" s="1"/>
  <c r="W88" i="121"/>
  <c r="S83" i="121"/>
  <c r="W83" i="121"/>
  <c r="AM83" i="121" s="1"/>
  <c r="S10" i="121"/>
  <c r="W10" i="121"/>
  <c r="S20" i="121"/>
  <c r="W20" i="121"/>
  <c r="S23" i="121"/>
  <c r="W23" i="121"/>
  <c r="W30" i="121"/>
  <c r="S30" i="121"/>
  <c r="AZ43" i="121"/>
  <c r="BG43" i="121" s="1"/>
  <c r="AD63" i="121"/>
  <c r="AF63" i="121"/>
  <c r="AC63" i="121"/>
  <c r="T73" i="121"/>
  <c r="X73" i="121"/>
  <c r="V10" i="121"/>
  <c r="AF10" i="121" s="1"/>
  <c r="R19" i="121"/>
  <c r="W19" i="121" s="1"/>
  <c r="AM19" i="121" s="1"/>
  <c r="V32" i="121"/>
  <c r="AD32" i="121" s="1"/>
  <c r="R39" i="121"/>
  <c r="R43" i="121"/>
  <c r="V49" i="121"/>
  <c r="AD49" i="121" s="1"/>
  <c r="V60" i="121"/>
  <c r="AC60" i="121" s="1"/>
  <c r="V67" i="121"/>
  <c r="AF67" i="121" s="1"/>
  <c r="R69" i="121"/>
  <c r="R71" i="121"/>
  <c r="W73" i="121"/>
  <c r="R76" i="121"/>
  <c r="V86" i="121"/>
  <c r="AG86" i="121" s="1"/>
  <c r="R91" i="121"/>
  <c r="V14" i="121"/>
  <c r="V59" i="121"/>
  <c r="AC59" i="121" s="1"/>
  <c r="R74" i="121"/>
  <c r="W74" i="121" s="1"/>
  <c r="AM74" i="121" s="1"/>
  <c r="R15" i="121"/>
  <c r="V28" i="121"/>
  <c r="AC28" i="121" s="1"/>
  <c r="V30" i="121"/>
  <c r="AC30" i="121" s="1"/>
  <c r="AS40" i="121"/>
  <c r="AZ40" i="121" s="1"/>
  <c r="V45" i="121"/>
  <c r="AD45" i="121" s="1"/>
  <c r="R48" i="121"/>
  <c r="R56" i="121"/>
  <c r="AS69" i="121"/>
  <c r="R80" i="121"/>
  <c r="R81" i="121"/>
  <c r="W81" i="121" s="1"/>
  <c r="AM81" i="121" s="1"/>
  <c r="R21" i="121"/>
  <c r="R58" i="121"/>
  <c r="R62" i="121"/>
  <c r="S62" i="121" s="1"/>
  <c r="T62" i="121" s="1"/>
  <c r="V25" i="121"/>
  <c r="AG25" i="121" s="1"/>
  <c r="R44" i="121"/>
  <c r="R50" i="121"/>
  <c r="S50" i="121" s="1"/>
  <c r="T50" i="121" s="1"/>
  <c r="V66" i="121"/>
  <c r="AC66" i="121" s="1"/>
  <c r="V75" i="121"/>
  <c r="AC75" i="121" s="1"/>
  <c r="R85" i="121"/>
  <c r="S85" i="121" s="1"/>
  <c r="T85" i="121" s="1"/>
  <c r="V12" i="121"/>
  <c r="AC12" i="121" s="1"/>
  <c r="R55" i="121"/>
  <c r="V92" i="121"/>
  <c r="AD92" i="121" s="1"/>
  <c r="S92" i="121"/>
  <c r="W92" i="121"/>
  <c r="AD76" i="121"/>
  <c r="AC48" i="121"/>
  <c r="AD48" i="121"/>
  <c r="AD43" i="121"/>
  <c r="AG39" i="121"/>
  <c r="AD39" i="121"/>
  <c r="AF39" i="121"/>
  <c r="AC39" i="121"/>
  <c r="AD20" i="121"/>
  <c r="AC15" i="121"/>
  <c r="AD15" i="121"/>
  <c r="AF15" i="121"/>
  <c r="AS84" i="121"/>
  <c r="AG85" i="121"/>
  <c r="AF85" i="121"/>
  <c r="AD85" i="121"/>
  <c r="AC85" i="121"/>
  <c r="AZ85" i="121"/>
  <c r="S86" i="121"/>
  <c r="W86" i="121"/>
  <c r="T87" i="121"/>
  <c r="X87" i="121"/>
  <c r="W87" i="121"/>
  <c r="AF87" i="121"/>
  <c r="AZ87" i="121"/>
  <c r="S89" i="121"/>
  <c r="W89" i="121"/>
  <c r="AS89" i="121"/>
  <c r="V89" i="121"/>
  <c r="AF90" i="121"/>
  <c r="AG90" i="121"/>
  <c r="BG91" i="121"/>
  <c r="AD91" i="121"/>
  <c r="AF91" i="121"/>
  <c r="AG91" i="121"/>
  <c r="AC90" i="121"/>
  <c r="AD90" i="121"/>
  <c r="AD77" i="121"/>
  <c r="AC77" i="121"/>
  <c r="AG77" i="121"/>
  <c r="AF77" i="121"/>
  <c r="AZ77" i="121"/>
  <c r="R77" i="121"/>
  <c r="AG78" i="121"/>
  <c r="AF78" i="121"/>
  <c r="AD78" i="121"/>
  <c r="AC78" i="121"/>
  <c r="R78" i="121"/>
  <c r="AZ78" i="121"/>
  <c r="AG79" i="121"/>
  <c r="AF79" i="121"/>
  <c r="AD79" i="121"/>
  <c r="AC79" i="121"/>
  <c r="R79" i="121"/>
  <c r="AS79" i="121"/>
  <c r="BG80" i="121"/>
  <c r="AD80" i="121"/>
  <c r="AF80" i="121"/>
  <c r="AG80" i="121"/>
  <c r="AG81" i="121"/>
  <c r="AF81" i="121"/>
  <c r="AD81" i="121"/>
  <c r="AC81" i="121"/>
  <c r="AZ81" i="121"/>
  <c r="AG82" i="121"/>
  <c r="AF82" i="121"/>
  <c r="AD82" i="121"/>
  <c r="AC82" i="121"/>
  <c r="AZ82" i="121"/>
  <c r="AZ74" i="121"/>
  <c r="AC74" i="121"/>
  <c r="AD74" i="121"/>
  <c r="AF74" i="121"/>
  <c r="S75" i="121"/>
  <c r="W75" i="121"/>
  <c r="AZ75" i="121"/>
  <c r="AD70" i="121"/>
  <c r="AC70" i="121"/>
  <c r="AG70" i="121"/>
  <c r="AF70" i="121"/>
  <c r="R70" i="121"/>
  <c r="BG70" i="121"/>
  <c r="AZ71" i="121"/>
  <c r="AC71" i="121"/>
  <c r="AD71" i="121"/>
  <c r="W72" i="121"/>
  <c r="S72" i="121"/>
  <c r="AZ62" i="121"/>
  <c r="AD62" i="121"/>
  <c r="AF62" i="121"/>
  <c r="AG62" i="121"/>
  <c r="AG63" i="121"/>
  <c r="AS63" i="121"/>
  <c r="W64" i="121"/>
  <c r="S64" i="121"/>
  <c r="R65" i="121"/>
  <c r="AS65" i="121"/>
  <c r="S66" i="121"/>
  <c r="W66" i="121"/>
  <c r="AZ66" i="121"/>
  <c r="W67" i="121"/>
  <c r="S67" i="121"/>
  <c r="AS67" i="121"/>
  <c r="AZ50" i="121"/>
  <c r="AF50" i="121"/>
  <c r="AG50" i="121"/>
  <c r="S51" i="121"/>
  <c r="W51" i="121"/>
  <c r="AS51" i="121"/>
  <c r="AF52" i="121"/>
  <c r="AD52" i="121"/>
  <c r="AC52" i="121"/>
  <c r="AG52" i="121"/>
  <c r="R52" i="121"/>
  <c r="BG52" i="121"/>
  <c r="BG53" i="121"/>
  <c r="AG53" i="121"/>
  <c r="AF53" i="121"/>
  <c r="AD53" i="121"/>
  <c r="AC53" i="121"/>
  <c r="AG54" i="121"/>
  <c r="AF54" i="121"/>
  <c r="AD54" i="121"/>
  <c r="AC54" i="121"/>
  <c r="R54" i="121"/>
  <c r="AZ54" i="121"/>
  <c r="AG55" i="121"/>
  <c r="AF55" i="121"/>
  <c r="AD55" i="121"/>
  <c r="AC55" i="121"/>
  <c r="AZ55" i="121"/>
  <c r="AF56" i="121"/>
  <c r="AG56" i="121"/>
  <c r="AD56" i="121"/>
  <c r="AC56" i="121"/>
  <c r="AS56" i="121"/>
  <c r="AZ57" i="121"/>
  <c r="S57" i="121"/>
  <c r="W57" i="121"/>
  <c r="V57" i="121"/>
  <c r="AD58" i="121"/>
  <c r="AC58" i="121"/>
  <c r="AG58" i="121"/>
  <c r="AF58" i="121"/>
  <c r="AZ58" i="121"/>
  <c r="AZ59" i="121"/>
  <c r="W59" i="121"/>
  <c r="S59" i="121"/>
  <c r="AZ44" i="121"/>
  <c r="AF44" i="121"/>
  <c r="AG44" i="121"/>
  <c r="S45" i="121"/>
  <c r="W45" i="121"/>
  <c r="AZ45" i="121"/>
  <c r="AD40" i="121"/>
  <c r="AC40" i="121"/>
  <c r="AF40" i="121"/>
  <c r="AG40" i="121"/>
  <c r="AF41" i="121"/>
  <c r="AD41" i="121"/>
  <c r="AC41" i="121"/>
  <c r="AG41" i="121"/>
  <c r="R41" i="121"/>
  <c r="AS41" i="121"/>
  <c r="S42" i="121"/>
  <c r="W42" i="121"/>
  <c r="AZ42" i="121"/>
  <c r="V42" i="121"/>
  <c r="S33" i="121"/>
  <c r="W33" i="121"/>
  <c r="AS33" i="121"/>
  <c r="V33" i="121"/>
  <c r="X34" i="121"/>
  <c r="T34" i="121"/>
  <c r="BG34" i="121"/>
  <c r="AD34" i="121"/>
  <c r="W34" i="121"/>
  <c r="AJ34" i="121" s="1"/>
  <c r="AF34" i="121"/>
  <c r="AF35" i="121"/>
  <c r="AG35" i="121"/>
  <c r="AD35" i="121"/>
  <c r="AC35" i="121"/>
  <c r="R35" i="121"/>
  <c r="AZ35" i="121"/>
  <c r="S36" i="121"/>
  <c r="W36" i="121"/>
  <c r="AS36" i="121"/>
  <c r="AF37" i="121"/>
  <c r="AD37" i="121"/>
  <c r="AC37" i="121"/>
  <c r="AG37" i="121"/>
  <c r="R37" i="121"/>
  <c r="BG37" i="121"/>
  <c r="S38" i="121"/>
  <c r="W38" i="121"/>
  <c r="BG38" i="121"/>
  <c r="V38" i="121"/>
  <c r="S31" i="121"/>
  <c r="W31" i="121"/>
  <c r="BG31" i="121"/>
  <c r="V31" i="121"/>
  <c r="AF24" i="121"/>
  <c r="AG24" i="121"/>
  <c r="AD24" i="121"/>
  <c r="AC24" i="121"/>
  <c r="R24" i="121"/>
  <c r="BG25" i="121"/>
  <c r="S25" i="121"/>
  <c r="W25" i="121"/>
  <c r="R26" i="121"/>
  <c r="AZ26" i="121"/>
  <c r="S27" i="121"/>
  <c r="W27" i="121"/>
  <c r="AZ27" i="121"/>
  <c r="AZ21" i="121"/>
  <c r="AG19" i="121"/>
  <c r="AF19" i="121"/>
  <c r="AD19" i="121"/>
  <c r="AC19" i="121"/>
  <c r="AZ19" i="121"/>
  <c r="AF16" i="121"/>
  <c r="AD16" i="121"/>
  <c r="AG16" i="121"/>
  <c r="AC16" i="121"/>
  <c r="R16" i="121"/>
  <c r="AS16" i="121"/>
  <c r="AD11" i="121"/>
  <c r="AG11" i="121"/>
  <c r="AC11" i="121"/>
  <c r="AF11" i="121"/>
  <c r="R11" i="121"/>
  <c r="AS11" i="121"/>
  <c r="W12" i="121"/>
  <c r="S12" i="121"/>
  <c r="AF13" i="121"/>
  <c r="AD13" i="121"/>
  <c r="AC13" i="121"/>
  <c r="AG13" i="121"/>
  <c r="R13" i="121"/>
  <c r="AS13" i="121"/>
  <c r="S48" i="61"/>
  <c r="S55" i="61" s="1"/>
  <c r="H44" i="107"/>
  <c r="D29" i="107"/>
  <c r="F15" i="109"/>
  <c r="H15" i="109" s="1"/>
  <c r="T61" i="61"/>
  <c r="U61" i="61"/>
  <c r="V18" i="121"/>
  <c r="AG87" i="121" l="1"/>
  <c r="AF20" i="121"/>
  <c r="AB50" i="121"/>
  <c r="BX50" i="121" s="1"/>
  <c r="AJ87" i="121"/>
  <c r="AC20" i="121"/>
  <c r="AF84" i="121"/>
  <c r="AG34" i="121"/>
  <c r="AD87" i="121"/>
  <c r="AB87" i="121" s="1"/>
  <c r="AM20" i="121"/>
  <c r="AJ66" i="121"/>
  <c r="AC86" i="121"/>
  <c r="AH86" i="121" s="1"/>
  <c r="AN86" i="121" s="1"/>
  <c r="AT5" i="127"/>
  <c r="AT4" i="127"/>
  <c r="C37" i="108"/>
  <c r="C28" i="108"/>
  <c r="AD30" i="121"/>
  <c r="AB30" i="121" s="1"/>
  <c r="AM14" i="121"/>
  <c r="AF25" i="121"/>
  <c r="AG59" i="121"/>
  <c r="AD25" i="121"/>
  <c r="AF59" i="121"/>
  <c r="AD67" i="121"/>
  <c r="AD59" i="121"/>
  <c r="AB59" i="121" s="1"/>
  <c r="AC67" i="121"/>
  <c r="AH67" i="121" s="1"/>
  <c r="X88" i="121"/>
  <c r="S74" i="121"/>
  <c r="T74" i="121" s="1"/>
  <c r="W40" i="121"/>
  <c r="AM40" i="121" s="1"/>
  <c r="AJ19" i="121"/>
  <c r="X40" i="121"/>
  <c r="S19" i="121"/>
  <c r="X19" i="121" s="1"/>
  <c r="T53" i="121"/>
  <c r="Y53" i="121" s="1"/>
  <c r="X63" i="121"/>
  <c r="AM42" i="121"/>
  <c r="X50" i="121"/>
  <c r="AD14" i="121"/>
  <c r="W63" i="121"/>
  <c r="AM63" i="121" s="1"/>
  <c r="T17" i="121"/>
  <c r="U17" i="121" s="1"/>
  <c r="Z17" i="121" s="1"/>
  <c r="AF4" i="127"/>
  <c r="AG4" i="127"/>
  <c r="AH4" i="127"/>
  <c r="AI4" i="127"/>
  <c r="AJ4" i="127"/>
  <c r="AK5" i="127"/>
  <c r="C24" i="108"/>
  <c r="C33" i="108"/>
  <c r="C21" i="108"/>
  <c r="C39" i="108"/>
  <c r="C25" i="108"/>
  <c r="C38" i="108"/>
  <c r="C41" i="108"/>
  <c r="C31" i="108"/>
  <c r="C26" i="108"/>
  <c r="C40" i="108"/>
  <c r="C30" i="108"/>
  <c r="C32" i="108"/>
  <c r="C20" i="108"/>
  <c r="L20" i="108" s="1"/>
  <c r="C34" i="108"/>
  <c r="C23" i="108"/>
  <c r="C36" i="108"/>
  <c r="AM49" i="121"/>
  <c r="AM25" i="121"/>
  <c r="AC25" i="121"/>
  <c r="AC23" i="121"/>
  <c r="AJ23" i="121" s="1"/>
  <c r="AO3" i="128"/>
  <c r="F18" i="116"/>
  <c r="I35" i="108"/>
  <c r="AF23" i="121"/>
  <c r="AD23" i="121"/>
  <c r="AD10" i="121"/>
  <c r="AC10" i="121"/>
  <c r="AJ10" i="121" s="1"/>
  <c r="AM10" i="121"/>
  <c r="AG10" i="121"/>
  <c r="AM38" i="121"/>
  <c r="AF86" i="121"/>
  <c r="AG49" i="121"/>
  <c r="T61" i="121"/>
  <c r="Y61" i="121" s="1"/>
  <c r="W50" i="121"/>
  <c r="AM50" i="121" s="1"/>
  <c r="AD86" i="121"/>
  <c r="AF49" i="121"/>
  <c r="AD83" i="121"/>
  <c r="AM86" i="121"/>
  <c r="AD60" i="121"/>
  <c r="AB60" i="121" s="1"/>
  <c r="AG75" i="121"/>
  <c r="AF14" i="121"/>
  <c r="AF75" i="121"/>
  <c r="AD28" i="121"/>
  <c r="AB28" i="121" s="1"/>
  <c r="AB43" i="121"/>
  <c r="BX43" i="121" s="1"/>
  <c r="AB63" i="121"/>
  <c r="BX63" i="121" s="1"/>
  <c r="S81" i="121"/>
  <c r="X81" i="121" s="1"/>
  <c r="AG12" i="121"/>
  <c r="W53" i="121"/>
  <c r="AM53" i="121" s="1"/>
  <c r="AH81" i="121"/>
  <c r="AK81" i="121" s="1"/>
  <c r="X90" i="121"/>
  <c r="AC83" i="121"/>
  <c r="AH83" i="121" s="1"/>
  <c r="AK83" i="121" s="1"/>
  <c r="W90" i="121"/>
  <c r="AM90" i="121" s="1"/>
  <c r="AG83" i="121"/>
  <c r="S97" i="61"/>
  <c r="S101" i="61" s="1"/>
  <c r="T95" i="61"/>
  <c r="S61" i="61"/>
  <c r="S65" i="61" s="1"/>
  <c r="C22" i="108"/>
  <c r="C29" i="108"/>
  <c r="C27" i="108"/>
  <c r="C35" i="108"/>
  <c r="AB1" i="127"/>
  <c r="AB19" i="127"/>
  <c r="L149" i="123"/>
  <c r="L1" i="123"/>
  <c r="I44" i="107"/>
  <c r="AC84" i="121"/>
  <c r="AH84" i="121" s="1"/>
  <c r="AN84" i="121" s="1"/>
  <c r="X62" i="121"/>
  <c r="AF88" i="121"/>
  <c r="V99" i="121"/>
  <c r="AM12" i="121"/>
  <c r="AG88" i="121"/>
  <c r="W85" i="121"/>
  <c r="AH85" i="121" s="1"/>
  <c r="AG67" i="121"/>
  <c r="AJ75" i="121"/>
  <c r="AD88" i="121"/>
  <c r="AB88" i="121" s="1"/>
  <c r="AB76" i="121"/>
  <c r="BX76" i="121" s="1"/>
  <c r="AG84" i="121"/>
  <c r="AD12" i="121"/>
  <c r="AB12" i="121" s="1"/>
  <c r="W82" i="121"/>
  <c r="AM82" i="121" s="1"/>
  <c r="S82" i="121"/>
  <c r="AJ74" i="121"/>
  <c r="AM57" i="121"/>
  <c r="AM67" i="121"/>
  <c r="W62" i="121"/>
  <c r="X85" i="121"/>
  <c r="AH88" i="121"/>
  <c r="AN88" i="121" s="1"/>
  <c r="AF12" i="121"/>
  <c r="AD75" i="121"/>
  <c r="AB75" i="121" s="1"/>
  <c r="AM84" i="121"/>
  <c r="T47" i="121"/>
  <c r="X47" i="121"/>
  <c r="O102" i="121"/>
  <c r="AT88" i="121"/>
  <c r="S21" i="121"/>
  <c r="W21" i="121"/>
  <c r="S71" i="121"/>
  <c r="W71" i="121"/>
  <c r="AM71" i="121" s="1"/>
  <c r="W39" i="121"/>
  <c r="S39" i="121"/>
  <c r="T23" i="121"/>
  <c r="X23" i="121"/>
  <c r="AT23" i="121" s="1"/>
  <c r="AM34" i="121"/>
  <c r="S55" i="121"/>
  <c r="W55" i="121"/>
  <c r="AH55" i="121" s="1"/>
  <c r="AN55" i="121" s="1"/>
  <c r="S44" i="121"/>
  <c r="W44" i="121"/>
  <c r="W69" i="121"/>
  <c r="S69" i="121"/>
  <c r="AM32" i="121"/>
  <c r="AC32" i="121"/>
  <c r="AH32" i="121" s="1"/>
  <c r="AF32" i="121"/>
  <c r="AG32" i="121"/>
  <c r="T14" i="121"/>
  <c r="X14" i="121"/>
  <c r="AT14" i="121" s="1"/>
  <c r="T49" i="121"/>
  <c r="X49" i="121"/>
  <c r="BG14" i="121"/>
  <c r="AD66" i="121"/>
  <c r="AB66" i="121" s="1"/>
  <c r="AH75" i="121"/>
  <c r="AK75" i="121" s="1"/>
  <c r="AM30" i="121"/>
  <c r="AG30" i="121"/>
  <c r="AF30" i="121"/>
  <c r="AM23" i="121"/>
  <c r="T20" i="121"/>
  <c r="X20" i="121"/>
  <c r="X22" i="121"/>
  <c r="T22" i="121"/>
  <c r="AM66" i="121"/>
  <c r="AJ88" i="121"/>
  <c r="W80" i="121"/>
  <c r="S80" i="121"/>
  <c r="AM28" i="121"/>
  <c r="AG28" i="121"/>
  <c r="AF28" i="121"/>
  <c r="AG14" i="121"/>
  <c r="AC14" i="121"/>
  <c r="AH14" i="121" s="1"/>
  <c r="T60" i="121"/>
  <c r="X60" i="121"/>
  <c r="T84" i="121"/>
  <c r="X84" i="121"/>
  <c r="T32" i="121"/>
  <c r="X32" i="121"/>
  <c r="AT32" i="121" s="1"/>
  <c r="AG45" i="121"/>
  <c r="AF45" i="121"/>
  <c r="BG32" i="121"/>
  <c r="AH34" i="121"/>
  <c r="AK34" i="121" s="1"/>
  <c r="AC45" i="121"/>
  <c r="AB45" i="121" s="1"/>
  <c r="AG66" i="121"/>
  <c r="AJ81" i="121"/>
  <c r="AM88" i="121"/>
  <c r="AM92" i="121"/>
  <c r="AZ69" i="121"/>
  <c r="W15" i="121"/>
  <c r="S15" i="121"/>
  <c r="W91" i="121"/>
  <c r="S91" i="121"/>
  <c r="AM60" i="121"/>
  <c r="AF60" i="121"/>
  <c r="AG60" i="121"/>
  <c r="T10" i="121"/>
  <c r="X10" i="121"/>
  <c r="AB69" i="121"/>
  <c r="X29" i="121"/>
  <c r="T29" i="121"/>
  <c r="X46" i="121"/>
  <c r="T46" i="121"/>
  <c r="AM33" i="121"/>
  <c r="AF66" i="121"/>
  <c r="AM75" i="121"/>
  <c r="AH87" i="121"/>
  <c r="AK87" i="121" s="1"/>
  <c r="AI87" i="121" s="1"/>
  <c r="W56" i="121"/>
  <c r="AM56" i="121" s="1"/>
  <c r="S56" i="121"/>
  <c r="AC49" i="121"/>
  <c r="AB49" i="121" s="1"/>
  <c r="X30" i="121"/>
  <c r="AT30" i="121" s="1"/>
  <c r="T30" i="121"/>
  <c r="X28" i="121"/>
  <c r="AT28" i="121" s="1"/>
  <c r="T28" i="121"/>
  <c r="T18" i="121"/>
  <c r="X18" i="121"/>
  <c r="AT18" i="121" s="1"/>
  <c r="AM45" i="121"/>
  <c r="S58" i="121"/>
  <c r="W58" i="121"/>
  <c r="AM58" i="121" s="1"/>
  <c r="W48" i="121"/>
  <c r="AJ48" i="121" s="1"/>
  <c r="S48" i="121"/>
  <c r="W76" i="121"/>
  <c r="AH76" i="121" s="1"/>
  <c r="S76" i="121"/>
  <c r="W43" i="121"/>
  <c r="S43" i="121"/>
  <c r="U73" i="121"/>
  <c r="Z73" i="121" s="1"/>
  <c r="Y73" i="121"/>
  <c r="T83" i="121"/>
  <c r="X83" i="121"/>
  <c r="AB44" i="121"/>
  <c r="BX44" i="121" s="1"/>
  <c r="T68" i="121"/>
  <c r="X68" i="121"/>
  <c r="AG92" i="121"/>
  <c r="AF92" i="121"/>
  <c r="AC92" i="121"/>
  <c r="AJ92" i="121" s="1"/>
  <c r="T92" i="121"/>
  <c r="X92" i="121"/>
  <c r="AM89" i="121"/>
  <c r="AQ87" i="121"/>
  <c r="AJ60" i="121"/>
  <c r="AH60" i="121"/>
  <c r="AB48" i="121"/>
  <c r="AB39" i="121"/>
  <c r="AJ39" i="121"/>
  <c r="AQ34" i="121"/>
  <c r="AH30" i="121"/>
  <c r="AJ30" i="121"/>
  <c r="AH28" i="121"/>
  <c r="AJ28" i="121"/>
  <c r="AB20" i="121"/>
  <c r="AJ20" i="121"/>
  <c r="AH20" i="121"/>
  <c r="AB15" i="121"/>
  <c r="BX15" i="121" s="1"/>
  <c r="AZ84" i="121"/>
  <c r="AB85" i="121"/>
  <c r="Y85" i="121"/>
  <c r="U85" i="121"/>
  <c r="Z85" i="121" s="1"/>
  <c r="BG85" i="121"/>
  <c r="X86" i="121"/>
  <c r="T86" i="121"/>
  <c r="AM87" i="121"/>
  <c r="BG87" i="121"/>
  <c r="AT87" i="121"/>
  <c r="U87" i="121"/>
  <c r="Z87" i="121" s="1"/>
  <c r="Y87" i="121"/>
  <c r="U88" i="121"/>
  <c r="Z88" i="121" s="1"/>
  <c r="Y88" i="121"/>
  <c r="AG89" i="121"/>
  <c r="AF89" i="121"/>
  <c r="AC89" i="121"/>
  <c r="AH89" i="121" s="1"/>
  <c r="AD89" i="121"/>
  <c r="AZ89" i="121"/>
  <c r="X89" i="121"/>
  <c r="T89" i="121"/>
  <c r="AB90" i="121"/>
  <c r="AB91" i="121"/>
  <c r="U90" i="121"/>
  <c r="Z90" i="121" s="1"/>
  <c r="Y90" i="121"/>
  <c r="AB77" i="121"/>
  <c r="S77" i="121"/>
  <c r="W77" i="121"/>
  <c r="BG77" i="121"/>
  <c r="W78" i="121"/>
  <c r="S78" i="121"/>
  <c r="AB78" i="121"/>
  <c r="BG78" i="121"/>
  <c r="AZ79" i="121"/>
  <c r="W79" i="121"/>
  <c r="S79" i="121"/>
  <c r="N102" i="121"/>
  <c r="AB79" i="121"/>
  <c r="AB80" i="121"/>
  <c r="AB81" i="121"/>
  <c r="BG81" i="121"/>
  <c r="M102" i="121"/>
  <c r="BG82" i="121"/>
  <c r="AB82" i="121"/>
  <c r="AB74" i="121"/>
  <c r="X74" i="121"/>
  <c r="AH74" i="121"/>
  <c r="BG74" i="121"/>
  <c r="BG75" i="121"/>
  <c r="T75" i="121"/>
  <c r="X75" i="121"/>
  <c r="S70" i="121"/>
  <c r="W70" i="121"/>
  <c r="AB70" i="121"/>
  <c r="AB71" i="121"/>
  <c r="BG71" i="121"/>
  <c r="X72" i="121"/>
  <c r="T72" i="121"/>
  <c r="BG62" i="121"/>
  <c r="AB62" i="121"/>
  <c r="U62" i="121"/>
  <c r="Z62" i="121" s="1"/>
  <c r="Y62" i="121"/>
  <c r="AZ63" i="121"/>
  <c r="U63" i="121"/>
  <c r="Z63" i="121" s="1"/>
  <c r="Y63" i="121"/>
  <c r="T64" i="121"/>
  <c r="X64" i="121"/>
  <c r="W65" i="121"/>
  <c r="S65" i="121"/>
  <c r="AZ65" i="121"/>
  <c r="BG66" i="121"/>
  <c r="AH66" i="121"/>
  <c r="T66" i="121"/>
  <c r="X66" i="121"/>
  <c r="AT66" i="121" s="1"/>
  <c r="AZ67" i="121"/>
  <c r="T67" i="121"/>
  <c r="X67" i="121"/>
  <c r="AT67" i="121" s="1"/>
  <c r="U50" i="121"/>
  <c r="Z50" i="121" s="1"/>
  <c r="Y50" i="121"/>
  <c r="BG50" i="121"/>
  <c r="AZ51" i="121"/>
  <c r="X51" i="121"/>
  <c r="T51" i="121"/>
  <c r="W52" i="121"/>
  <c r="S52" i="121"/>
  <c r="AB52" i="121"/>
  <c r="AB53" i="121"/>
  <c r="W54" i="121"/>
  <c r="S54" i="121"/>
  <c r="AB54" i="121"/>
  <c r="BG54" i="121"/>
  <c r="AB55" i="121"/>
  <c r="BG55" i="121"/>
  <c r="AZ56" i="121"/>
  <c r="AB56" i="121"/>
  <c r="T57" i="121"/>
  <c r="X57" i="121"/>
  <c r="AT57" i="121" s="1"/>
  <c r="BG57" i="121"/>
  <c r="AG57" i="121"/>
  <c r="AF57" i="121"/>
  <c r="AD57" i="121"/>
  <c r="AC57" i="121"/>
  <c r="AJ57" i="121" s="1"/>
  <c r="BG58" i="121"/>
  <c r="AB58" i="121"/>
  <c r="X59" i="121"/>
  <c r="AT59" i="121" s="1"/>
  <c r="T59" i="121"/>
  <c r="AJ59" i="121"/>
  <c r="BG59" i="121"/>
  <c r="AM59" i="121"/>
  <c r="AH59" i="121"/>
  <c r="BG44" i="121"/>
  <c r="X45" i="121"/>
  <c r="T45" i="121"/>
  <c r="BG45" i="121"/>
  <c r="U40" i="121"/>
  <c r="Z40" i="121" s="1"/>
  <c r="Y40" i="121"/>
  <c r="BG40" i="121"/>
  <c r="AB40" i="121"/>
  <c r="AB41" i="121"/>
  <c r="W41" i="121"/>
  <c r="S41" i="121"/>
  <c r="AZ41" i="121"/>
  <c r="AG42" i="121"/>
  <c r="AC42" i="121"/>
  <c r="AF42" i="121"/>
  <c r="AD42" i="121"/>
  <c r="BG42" i="121"/>
  <c r="T42" i="121"/>
  <c r="X42" i="121"/>
  <c r="AG33" i="121"/>
  <c r="AF33" i="121"/>
  <c r="AD33" i="121"/>
  <c r="AC33" i="121"/>
  <c r="AH33" i="121" s="1"/>
  <c r="AZ33" i="121"/>
  <c r="X33" i="121"/>
  <c r="AT33" i="121" s="1"/>
  <c r="T33" i="121"/>
  <c r="AB34" i="121"/>
  <c r="AT34" i="121"/>
  <c r="AO34" i="121"/>
  <c r="Y34" i="121"/>
  <c r="BA34" i="121" s="1"/>
  <c r="U34" i="121"/>
  <c r="Z34" i="121" s="1"/>
  <c r="AB35" i="121"/>
  <c r="BG35" i="121"/>
  <c r="W35" i="121"/>
  <c r="S35" i="121"/>
  <c r="AZ36" i="121"/>
  <c r="X36" i="121"/>
  <c r="T36" i="121"/>
  <c r="AB37" i="121"/>
  <c r="W37" i="121"/>
  <c r="S37" i="121"/>
  <c r="T38" i="121"/>
  <c r="X38" i="121"/>
  <c r="AG38" i="121"/>
  <c r="AF38" i="121"/>
  <c r="AD38" i="121"/>
  <c r="AC38" i="121"/>
  <c r="AH38" i="121" s="1"/>
  <c r="AG31" i="121"/>
  <c r="AF31" i="121"/>
  <c r="AD31" i="121"/>
  <c r="AC31" i="121"/>
  <c r="AJ31" i="121" s="1"/>
  <c r="AM31" i="121"/>
  <c r="T31" i="121"/>
  <c r="X31" i="121"/>
  <c r="W24" i="121"/>
  <c r="S24" i="121"/>
  <c r="AB24" i="121"/>
  <c r="X25" i="121"/>
  <c r="T25" i="121"/>
  <c r="BG26" i="121"/>
  <c r="W26" i="121"/>
  <c r="S26" i="121"/>
  <c r="T27" i="121"/>
  <c r="X27" i="121"/>
  <c r="BG27" i="121"/>
  <c r="BG21" i="121"/>
  <c r="AB19" i="121"/>
  <c r="BG19" i="121"/>
  <c r="AH19" i="121"/>
  <c r="W16" i="121"/>
  <c r="S16" i="121"/>
  <c r="AB16" i="121"/>
  <c r="AZ16" i="121"/>
  <c r="W11" i="121"/>
  <c r="S11" i="121"/>
  <c r="AB11" i="121"/>
  <c r="AZ11" i="121"/>
  <c r="AJ12" i="121"/>
  <c r="X12" i="121"/>
  <c r="T12" i="121"/>
  <c r="AH12" i="121"/>
  <c r="W13" i="121"/>
  <c r="S13" i="121"/>
  <c r="AB13" i="121"/>
  <c r="AZ13" i="121"/>
  <c r="AM18" i="121"/>
  <c r="AG18" i="121"/>
  <c r="AF18" i="121"/>
  <c r="AD18" i="121"/>
  <c r="AC18" i="121"/>
  <c r="AJ86" i="121" l="1"/>
  <c r="AB67" i="121"/>
  <c r="AJ83" i="121"/>
  <c r="AI83" i="121" s="1"/>
  <c r="AB86" i="121"/>
  <c r="AK86" i="121"/>
  <c r="AI86" i="121" s="1"/>
  <c r="BY86" i="121" s="1"/>
  <c r="M35" i="108"/>
  <c r="L35" i="108"/>
  <c r="L30" i="108"/>
  <c r="M30" i="108"/>
  <c r="M34" i="108"/>
  <c r="L34" i="108"/>
  <c r="L38" i="108"/>
  <c r="M38" i="108"/>
  <c r="M20" i="108"/>
  <c r="M25" i="108"/>
  <c r="L25" i="108"/>
  <c r="M32" i="108"/>
  <c r="L32" i="108"/>
  <c r="M27" i="108"/>
  <c r="L27" i="108"/>
  <c r="M19" i="108"/>
  <c r="D57" i="108" s="1"/>
  <c r="L29" i="108"/>
  <c r="C75" i="108" s="1"/>
  <c r="M29" i="108"/>
  <c r="L40" i="108"/>
  <c r="M40" i="108"/>
  <c r="M33" i="108"/>
  <c r="L33" i="108"/>
  <c r="L28" i="108"/>
  <c r="M28" i="108"/>
  <c r="M22" i="108"/>
  <c r="L22" i="108"/>
  <c r="M26" i="108"/>
  <c r="L26" i="108"/>
  <c r="L24" i="108"/>
  <c r="C49" i="108" s="1"/>
  <c r="M24" i="108"/>
  <c r="M37" i="108"/>
  <c r="L37" i="108"/>
  <c r="C57" i="108" s="1"/>
  <c r="L39" i="108"/>
  <c r="C53" i="108" s="1"/>
  <c r="M39" i="108"/>
  <c r="D53" i="108" s="1"/>
  <c r="D11" i="109" s="1"/>
  <c r="L36" i="108"/>
  <c r="M36" i="108"/>
  <c r="L21" i="108"/>
  <c r="C55" i="108" s="1"/>
  <c r="M21" i="108"/>
  <c r="L23" i="108"/>
  <c r="M23" i="108"/>
  <c r="M41" i="108"/>
  <c r="D50" i="108" s="1"/>
  <c r="D8" i="109" s="1"/>
  <c r="AT1" i="127"/>
  <c r="AH40" i="121"/>
  <c r="AN40" i="121" s="1"/>
  <c r="AJ40" i="121"/>
  <c r="AQ40" i="121" s="1"/>
  <c r="AX40" i="121" s="1"/>
  <c r="BE40" i="121" s="1"/>
  <c r="BK40" i="121" s="1"/>
  <c r="AN34" i="121"/>
  <c r="Y17" i="121"/>
  <c r="AQ88" i="121"/>
  <c r="AJ63" i="121"/>
  <c r="AQ63" i="121" s="1"/>
  <c r="AX63" i="121" s="1"/>
  <c r="BE63" i="121" s="1"/>
  <c r="BX66" i="121"/>
  <c r="AH63" i="121"/>
  <c r="AN63" i="121" s="1"/>
  <c r="AB14" i="121"/>
  <c r="BX14" i="121" s="1"/>
  <c r="AB25" i="121"/>
  <c r="BX25" i="121" s="1"/>
  <c r="AT63" i="121"/>
  <c r="AT50" i="121"/>
  <c r="AT40" i="121"/>
  <c r="AJ56" i="121"/>
  <c r="AJ67" i="121"/>
  <c r="AO67" i="121" s="1"/>
  <c r="AO87" i="121"/>
  <c r="AV87" i="121" s="1"/>
  <c r="BX75" i="121"/>
  <c r="U53" i="121"/>
  <c r="Z53" i="121" s="1"/>
  <c r="AA53" i="121" s="1"/>
  <c r="AB32" i="121"/>
  <c r="AJ45" i="121"/>
  <c r="H4" i="109"/>
  <c r="AN83" i="121"/>
  <c r="AJ25" i="121"/>
  <c r="AQ25" i="121" s="1"/>
  <c r="AH25" i="121"/>
  <c r="AN25" i="121" s="1"/>
  <c r="AO88" i="121"/>
  <c r="AU88" i="121" s="1"/>
  <c r="AK88" i="121"/>
  <c r="AI88" i="121" s="1"/>
  <c r="AH23" i="121"/>
  <c r="AK23" i="121" s="1"/>
  <c r="AI23" i="121" s="1"/>
  <c r="AB23" i="121"/>
  <c r="BX23" i="121" s="1"/>
  <c r="AJ90" i="121"/>
  <c r="AQ90" i="121" s="1"/>
  <c r="T19" i="121"/>
  <c r="Y19" i="121" s="1"/>
  <c r="AJ71" i="121"/>
  <c r="AH90" i="121"/>
  <c r="AN90" i="121" s="1"/>
  <c r="AJ14" i="121"/>
  <c r="AO14" i="121" s="1"/>
  <c r="AH71" i="121"/>
  <c r="AK71" i="121" s="1"/>
  <c r="AN75" i="121"/>
  <c r="AH82" i="121"/>
  <c r="AK82" i="121" s="1"/>
  <c r="BH88" i="121"/>
  <c r="AQ83" i="121"/>
  <c r="AT90" i="121"/>
  <c r="AA87" i="121"/>
  <c r="O100" i="121"/>
  <c r="AO81" i="121"/>
  <c r="AU81" i="121" s="1"/>
  <c r="AN81" i="121"/>
  <c r="BA85" i="121"/>
  <c r="AJ85" i="121"/>
  <c r="AO85" i="121" s="1"/>
  <c r="AB83" i="121"/>
  <c r="BX83" i="121" s="1"/>
  <c r="AM85" i="121"/>
  <c r="AT53" i="121"/>
  <c r="BX88" i="121"/>
  <c r="AJ53" i="121"/>
  <c r="AQ53" i="121" s="1"/>
  <c r="AX53" i="121" s="1"/>
  <c r="U61" i="121"/>
  <c r="Z61" i="121" s="1"/>
  <c r="AH53" i="121"/>
  <c r="AN53" i="121" s="1"/>
  <c r="T81" i="121"/>
  <c r="U81" i="121" s="1"/>
  <c r="Z81" i="121" s="1"/>
  <c r="AI75" i="121"/>
  <c r="BY75" i="121" s="1"/>
  <c r="M103" i="121"/>
  <c r="AK4" i="127"/>
  <c r="AB10" i="121"/>
  <c r="AH10" i="121"/>
  <c r="AN10" i="121" s="1"/>
  <c r="D73" i="107"/>
  <c r="AJ82" i="121"/>
  <c r="AJ50" i="121"/>
  <c r="AQ50" i="121" s="1"/>
  <c r="AH50" i="121"/>
  <c r="W97" i="121"/>
  <c r="AT85" i="121"/>
  <c r="AJ55" i="121"/>
  <c r="AO55" i="121" s="1"/>
  <c r="AJ32" i="121"/>
  <c r="AO32" i="121" s="1"/>
  <c r="C66" i="61"/>
  <c r="C67" i="61" s="1"/>
  <c r="D43" i="107"/>
  <c r="U95" i="61"/>
  <c r="U97" i="61" s="1"/>
  <c r="T97" i="61"/>
  <c r="I19" i="108"/>
  <c r="I26" i="108" s="1"/>
  <c r="S66" i="61"/>
  <c r="O103" i="121"/>
  <c r="AJ62" i="121"/>
  <c r="AQ62" i="121" s="1"/>
  <c r="AM62" i="121"/>
  <c r="AH62" i="121"/>
  <c r="AJ58" i="121"/>
  <c r="AT62" i="121"/>
  <c r="AK84" i="121"/>
  <c r="AT83" i="121"/>
  <c r="BA62" i="121"/>
  <c r="AB92" i="121"/>
  <c r="BX92" i="121" s="1"/>
  <c r="AH58" i="121"/>
  <c r="AK58" i="121" s="1"/>
  <c r="T82" i="121"/>
  <c r="X82" i="121"/>
  <c r="BH85" i="121"/>
  <c r="AJ84" i="121"/>
  <c r="AO84" i="121" s="1"/>
  <c r="AU84" i="121" s="1"/>
  <c r="AB84" i="121"/>
  <c r="AK14" i="121"/>
  <c r="AN14" i="121"/>
  <c r="T58" i="121"/>
  <c r="X58" i="121"/>
  <c r="AT58" i="121" s="1"/>
  <c r="Y29" i="121"/>
  <c r="U29" i="121"/>
  <c r="Z29" i="121" s="1"/>
  <c r="AH45" i="121"/>
  <c r="AO45" i="121" s="1"/>
  <c r="AK55" i="121"/>
  <c r="AO75" i="121"/>
  <c r="AU75" i="121" s="1"/>
  <c r="AX87" i="121"/>
  <c r="BE87" i="121" s="1"/>
  <c r="X43" i="121"/>
  <c r="T43" i="121"/>
  <c r="U84" i="121"/>
  <c r="Z84" i="121" s="1"/>
  <c r="Y84" i="121"/>
  <c r="BA84" i="121" s="1"/>
  <c r="X80" i="121"/>
  <c r="AT80" i="121" s="1"/>
  <c r="T80" i="121"/>
  <c r="Y22" i="121"/>
  <c r="U22" i="121"/>
  <c r="Z22" i="121" s="1"/>
  <c r="X55" i="121"/>
  <c r="AT55" i="121" s="1"/>
  <c r="T55" i="121"/>
  <c r="AM55" i="121"/>
  <c r="T21" i="121"/>
  <c r="X21" i="121"/>
  <c r="AN76" i="121"/>
  <c r="AK76" i="121"/>
  <c r="BA40" i="121"/>
  <c r="AA50" i="121"/>
  <c r="AH48" i="121"/>
  <c r="AO48" i="121" s="1"/>
  <c r="U68" i="121"/>
  <c r="Z68" i="121" s="1"/>
  <c r="Y68" i="121"/>
  <c r="AM43" i="121"/>
  <c r="AJ43" i="121"/>
  <c r="Y30" i="121"/>
  <c r="BA30" i="121" s="1"/>
  <c r="U30" i="121"/>
  <c r="Z30" i="121" s="1"/>
  <c r="BX69" i="121"/>
  <c r="X91" i="121"/>
  <c r="AT91" i="121" s="1"/>
  <c r="T91" i="121"/>
  <c r="AT60" i="121"/>
  <c r="AH80" i="121"/>
  <c r="AM80" i="121"/>
  <c r="AJ80" i="121"/>
  <c r="AT49" i="121"/>
  <c r="AK32" i="121"/>
  <c r="AN32" i="121"/>
  <c r="Y23" i="121"/>
  <c r="U23" i="121"/>
  <c r="Z23" i="121" s="1"/>
  <c r="X76" i="121"/>
  <c r="T76" i="121"/>
  <c r="AJ91" i="121"/>
  <c r="AH91" i="121"/>
  <c r="AM91" i="121"/>
  <c r="AT20" i="121"/>
  <c r="U49" i="121"/>
  <c r="Z49" i="121" s="1"/>
  <c r="Y49" i="121"/>
  <c r="BA49" i="121" s="1"/>
  <c r="W96" i="121"/>
  <c r="N103" i="121"/>
  <c r="BH87" i="121"/>
  <c r="AA85" i="121"/>
  <c r="AJ76" i="121"/>
  <c r="AM76" i="121"/>
  <c r="AJ49" i="121"/>
  <c r="AQ49" i="121" s="1"/>
  <c r="AH49" i="121"/>
  <c r="AT10" i="121"/>
  <c r="X15" i="121"/>
  <c r="AT15" i="121" s="1"/>
  <c r="T15" i="121"/>
  <c r="U20" i="121"/>
  <c r="Z20" i="121" s="1"/>
  <c r="Y20" i="121"/>
  <c r="X69" i="121"/>
  <c r="T69" i="121"/>
  <c r="AM39" i="121"/>
  <c r="AH39" i="121"/>
  <c r="AO39" i="121" s="1"/>
  <c r="Y47" i="121"/>
  <c r="U47" i="121"/>
  <c r="Z47" i="121" s="1"/>
  <c r="U60" i="121"/>
  <c r="Z60" i="121" s="1"/>
  <c r="Y60" i="121"/>
  <c r="X39" i="121"/>
  <c r="AQ39" i="121" s="1"/>
  <c r="T39" i="121"/>
  <c r="AI81" i="121"/>
  <c r="AN87" i="121"/>
  <c r="BY87" i="121" s="1"/>
  <c r="BA87" i="121"/>
  <c r="AO86" i="121"/>
  <c r="AR86" i="121" s="1"/>
  <c r="AH92" i="121"/>
  <c r="AN92" i="121" s="1"/>
  <c r="T48" i="121"/>
  <c r="X48" i="121"/>
  <c r="AT48" i="121" s="1"/>
  <c r="U18" i="121"/>
  <c r="Z18" i="121" s="1"/>
  <c r="Y18" i="121"/>
  <c r="U10" i="121"/>
  <c r="Z10" i="121" s="1"/>
  <c r="Y10" i="121"/>
  <c r="BA10" i="121" s="1"/>
  <c r="AJ15" i="121"/>
  <c r="AM15" i="121"/>
  <c r="AH15" i="121"/>
  <c r="AJ69" i="121"/>
  <c r="AH69" i="121"/>
  <c r="AM69" i="121"/>
  <c r="AH43" i="121"/>
  <c r="U83" i="121"/>
  <c r="Z83" i="121" s="1"/>
  <c r="Y83" i="121"/>
  <c r="AM44" i="121"/>
  <c r="AJ44" i="121"/>
  <c r="AH44" i="121"/>
  <c r="AM48" i="121"/>
  <c r="Y28" i="121"/>
  <c r="U28" i="121"/>
  <c r="Z28" i="121" s="1"/>
  <c r="T56" i="121"/>
  <c r="X56" i="121"/>
  <c r="Y46" i="121"/>
  <c r="U46" i="121"/>
  <c r="Z46" i="121" s="1"/>
  <c r="BG69" i="121"/>
  <c r="Y14" i="121"/>
  <c r="U14" i="121"/>
  <c r="Z14" i="121" s="1"/>
  <c r="X71" i="121"/>
  <c r="T71" i="121"/>
  <c r="N100" i="121"/>
  <c r="AT84" i="121"/>
  <c r="Y32" i="121"/>
  <c r="U32" i="121"/>
  <c r="Z32" i="121" s="1"/>
  <c r="X44" i="121"/>
  <c r="X96" i="121" s="1"/>
  <c r="T44" i="121"/>
  <c r="AH56" i="121"/>
  <c r="AT92" i="121"/>
  <c r="U92" i="121"/>
  <c r="Z92" i="121" s="1"/>
  <c r="Y92" i="121"/>
  <c r="AQ92" i="121"/>
  <c r="BX60" i="121"/>
  <c r="AQ60" i="121"/>
  <c r="AN60" i="121"/>
  <c r="AK60" i="121"/>
  <c r="AO60" i="121"/>
  <c r="BX49" i="121"/>
  <c r="BX48" i="121"/>
  <c r="BX39" i="121"/>
  <c r="AJ33" i="121"/>
  <c r="AO33" i="121" s="1"/>
  <c r="BX32" i="121"/>
  <c r="BX30" i="121"/>
  <c r="AQ30" i="121"/>
  <c r="AO30" i="121"/>
  <c r="AK30" i="121"/>
  <c r="AN30" i="121"/>
  <c r="BX28" i="121"/>
  <c r="AQ28" i="121"/>
  <c r="AO28" i="121"/>
  <c r="AN28" i="121"/>
  <c r="AK28" i="121"/>
  <c r="AO23" i="121"/>
  <c r="AQ23" i="121"/>
  <c r="AK20" i="121"/>
  <c r="AI20" i="121" s="1"/>
  <c r="AO20" i="121"/>
  <c r="AN20" i="121"/>
  <c r="AQ20" i="121"/>
  <c r="BX20" i="121"/>
  <c r="BG84" i="121"/>
  <c r="AK85" i="121"/>
  <c r="AN85" i="121"/>
  <c r="BX86" i="121"/>
  <c r="Y86" i="121"/>
  <c r="U86" i="121"/>
  <c r="Z86" i="121" s="1"/>
  <c r="AQ86" i="121"/>
  <c r="AT86" i="121"/>
  <c r="BX87" i="121"/>
  <c r="AA88" i="121"/>
  <c r="BA88" i="121"/>
  <c r="BG89" i="121"/>
  <c r="AB89" i="121"/>
  <c r="L103" i="121"/>
  <c r="AN89" i="121"/>
  <c r="AK89" i="121"/>
  <c r="AJ89" i="121"/>
  <c r="AO89" i="121" s="1"/>
  <c r="P102" i="121"/>
  <c r="Q102" i="121" s="1"/>
  <c r="AT89" i="121"/>
  <c r="Y89" i="121"/>
  <c r="BA89" i="121" s="1"/>
  <c r="U89" i="121"/>
  <c r="Z89" i="121" s="1"/>
  <c r="BH90" i="121"/>
  <c r="BA90" i="121"/>
  <c r="AA90" i="121"/>
  <c r="BX90" i="121"/>
  <c r="BX91" i="121"/>
  <c r="AJ77" i="121"/>
  <c r="AM77" i="121"/>
  <c r="AH77" i="121"/>
  <c r="T77" i="121"/>
  <c r="X77" i="121"/>
  <c r="AT77" i="121" s="1"/>
  <c r="BX77" i="121"/>
  <c r="X78" i="121"/>
  <c r="AT78" i="121" s="1"/>
  <c r="T78" i="121"/>
  <c r="AJ78" i="121"/>
  <c r="AM78" i="121"/>
  <c r="AH78" i="121"/>
  <c r="BX79" i="121"/>
  <c r="X79" i="121"/>
  <c r="AT79" i="121" s="1"/>
  <c r="T79" i="121"/>
  <c r="AJ79" i="121"/>
  <c r="AH79" i="121"/>
  <c r="AM79" i="121"/>
  <c r="BG79" i="121"/>
  <c r="BX80" i="121"/>
  <c r="BX81" i="121"/>
  <c r="AQ81" i="121"/>
  <c r="AT81" i="121"/>
  <c r="AR81" i="121"/>
  <c r="BX82" i="121"/>
  <c r="AO74" i="121"/>
  <c r="AN74" i="121"/>
  <c r="AK74" i="121"/>
  <c r="BX74" i="121"/>
  <c r="U74" i="121"/>
  <c r="Z74" i="121" s="1"/>
  <c r="Y74" i="121"/>
  <c r="AQ74" i="121"/>
  <c r="AT74" i="121"/>
  <c r="AQ75" i="121"/>
  <c r="AT75" i="121"/>
  <c r="U75" i="121"/>
  <c r="Z75" i="121" s="1"/>
  <c r="Y75" i="121"/>
  <c r="BX70" i="121"/>
  <c r="AJ70" i="121"/>
  <c r="AH70" i="121"/>
  <c r="AM70" i="121"/>
  <c r="T70" i="121"/>
  <c r="X70" i="121"/>
  <c r="AT70" i="121" s="1"/>
  <c r="AN71" i="121"/>
  <c r="BX71" i="121"/>
  <c r="Y72" i="121"/>
  <c r="U72" i="121"/>
  <c r="Z72" i="121" s="1"/>
  <c r="AA62" i="121"/>
  <c r="BH62" i="121"/>
  <c r="BX62" i="121"/>
  <c r="BA63" i="121"/>
  <c r="BG63" i="121"/>
  <c r="BH63" i="121" s="1"/>
  <c r="AA63" i="121"/>
  <c r="Y64" i="121"/>
  <c r="U64" i="121"/>
  <c r="Z64" i="121" s="1"/>
  <c r="X65" i="121"/>
  <c r="T65" i="121"/>
  <c r="BG65" i="121"/>
  <c r="U66" i="121"/>
  <c r="Z66" i="121" s="1"/>
  <c r="Y66" i="121"/>
  <c r="AK66" i="121"/>
  <c r="AO66" i="121"/>
  <c r="AN66" i="121"/>
  <c r="AQ66" i="121"/>
  <c r="U67" i="121"/>
  <c r="Z67" i="121" s="1"/>
  <c r="Y67" i="121"/>
  <c r="BA67" i="121" s="1"/>
  <c r="AN67" i="121"/>
  <c r="AK67" i="121"/>
  <c r="BX67" i="121"/>
  <c r="BG67" i="121"/>
  <c r="BH50" i="121"/>
  <c r="BA50" i="121"/>
  <c r="Y51" i="121"/>
  <c r="U51" i="121"/>
  <c r="Z51" i="121" s="1"/>
  <c r="BG51" i="121"/>
  <c r="AJ52" i="121"/>
  <c r="AH52" i="121"/>
  <c r="AM52" i="121"/>
  <c r="BX52" i="121"/>
  <c r="T52" i="121"/>
  <c r="X52" i="121"/>
  <c r="AT52" i="121" s="1"/>
  <c r="BX53" i="121"/>
  <c r="BA53" i="121"/>
  <c r="BX54" i="121"/>
  <c r="X54" i="121"/>
  <c r="AT54" i="121" s="1"/>
  <c r="T54" i="121"/>
  <c r="AJ54" i="121"/>
  <c r="AH54" i="121"/>
  <c r="AM54" i="121"/>
  <c r="BX55" i="121"/>
  <c r="BG56" i="121"/>
  <c r="BX56" i="121"/>
  <c r="AH57" i="121"/>
  <c r="AB57" i="121"/>
  <c r="AQ57" i="121"/>
  <c r="Y57" i="121"/>
  <c r="U57" i="121"/>
  <c r="Z57" i="121" s="1"/>
  <c r="BX58" i="121"/>
  <c r="AO59" i="121"/>
  <c r="AN59" i="121"/>
  <c r="AK59" i="121"/>
  <c r="AI59" i="121" s="1"/>
  <c r="BX59" i="121"/>
  <c r="Y59" i="121"/>
  <c r="U59" i="121"/>
  <c r="Z59" i="121" s="1"/>
  <c r="AQ59" i="121"/>
  <c r="BX45" i="121"/>
  <c r="U45" i="121"/>
  <c r="Z45" i="121" s="1"/>
  <c r="Y45" i="121"/>
  <c r="BA45" i="121" s="1"/>
  <c r="AQ45" i="121"/>
  <c r="AT45" i="121"/>
  <c r="BH40" i="121"/>
  <c r="BX40" i="121"/>
  <c r="AA40" i="121"/>
  <c r="BG41" i="121"/>
  <c r="T41" i="121"/>
  <c r="X41" i="121"/>
  <c r="AJ41" i="121"/>
  <c r="AH41" i="121"/>
  <c r="AM41" i="121"/>
  <c r="BX41" i="121"/>
  <c r="BN99" i="121" s="1"/>
  <c r="M100" i="121"/>
  <c r="AT42" i="121"/>
  <c r="AB42" i="121"/>
  <c r="U42" i="121"/>
  <c r="Z42" i="121" s="1"/>
  <c r="Y42" i="121"/>
  <c r="AJ42" i="121"/>
  <c r="AQ42" i="121" s="1"/>
  <c r="AH42" i="121"/>
  <c r="AB33" i="121"/>
  <c r="AN33" i="121"/>
  <c r="AK33" i="121"/>
  <c r="BG33" i="121"/>
  <c r="Y33" i="121"/>
  <c r="U33" i="121"/>
  <c r="Z33" i="121" s="1"/>
  <c r="AR34" i="121"/>
  <c r="AP34" i="121" s="1"/>
  <c r="AV34" i="121"/>
  <c r="AU34" i="121"/>
  <c r="BX34" i="121"/>
  <c r="AI34" i="121"/>
  <c r="AA34" i="121"/>
  <c r="BH34" i="121"/>
  <c r="BM34" i="121" s="1"/>
  <c r="AJ35" i="121"/>
  <c r="AM35" i="121"/>
  <c r="AH35" i="121"/>
  <c r="T35" i="121"/>
  <c r="X35" i="121"/>
  <c r="BX35" i="121"/>
  <c r="BG36" i="121"/>
  <c r="Y36" i="121"/>
  <c r="U36" i="121"/>
  <c r="Z36" i="121" s="1"/>
  <c r="T37" i="121"/>
  <c r="X37" i="121"/>
  <c r="AT37" i="121" s="1"/>
  <c r="AJ37" i="121"/>
  <c r="AH37" i="121"/>
  <c r="AM37" i="121"/>
  <c r="BX37" i="121"/>
  <c r="AK38" i="121"/>
  <c r="AN38" i="121"/>
  <c r="AJ38" i="121"/>
  <c r="AQ38" i="121" s="1"/>
  <c r="Y38" i="121"/>
  <c r="BA38" i="121" s="1"/>
  <c r="U38" i="121"/>
  <c r="Z38" i="121" s="1"/>
  <c r="AB38" i="121"/>
  <c r="AT38" i="121"/>
  <c r="AQ31" i="121"/>
  <c r="U31" i="121"/>
  <c r="Z31" i="121" s="1"/>
  <c r="Y31" i="121"/>
  <c r="AH31" i="121"/>
  <c r="AB31" i="121"/>
  <c r="AT31" i="121"/>
  <c r="AJ24" i="121"/>
  <c r="AM24" i="121"/>
  <c r="AH24" i="121"/>
  <c r="BX24" i="121"/>
  <c r="X24" i="121"/>
  <c r="T24" i="121"/>
  <c r="Y25" i="121"/>
  <c r="BA25" i="121" s="1"/>
  <c r="U25" i="121"/>
  <c r="Z25" i="121" s="1"/>
  <c r="AT25" i="121"/>
  <c r="X26" i="121"/>
  <c r="T26" i="121"/>
  <c r="W105" i="121"/>
  <c r="Y27" i="121"/>
  <c r="U27" i="121"/>
  <c r="Z27" i="121" s="1"/>
  <c r="AQ19" i="121"/>
  <c r="AT19" i="121"/>
  <c r="BX19" i="121"/>
  <c r="AO19" i="121"/>
  <c r="AN19" i="121"/>
  <c r="AK19" i="121"/>
  <c r="T16" i="121"/>
  <c r="X16" i="121"/>
  <c r="BX16" i="121"/>
  <c r="AJ16" i="121"/>
  <c r="W106" i="121"/>
  <c r="AM16" i="121"/>
  <c r="AH16" i="121"/>
  <c r="BG16" i="121"/>
  <c r="BG11" i="121"/>
  <c r="T11" i="121"/>
  <c r="X11" i="121"/>
  <c r="BX11" i="121"/>
  <c r="AJ11" i="121"/>
  <c r="AH11" i="121"/>
  <c r="AM11" i="121"/>
  <c r="BX12" i="121"/>
  <c r="Y12" i="121"/>
  <c r="BA12" i="121" s="1"/>
  <c r="U12" i="121"/>
  <c r="Z12" i="121" s="1"/>
  <c r="AQ12" i="121"/>
  <c r="AT12" i="121"/>
  <c r="AN12" i="121"/>
  <c r="AO12" i="121"/>
  <c r="AK12" i="121"/>
  <c r="AI12" i="121" s="1"/>
  <c r="BG13" i="121"/>
  <c r="BX13" i="121"/>
  <c r="X13" i="121"/>
  <c r="T13" i="121"/>
  <c r="AJ13" i="121"/>
  <c r="W99" i="121"/>
  <c r="W5" i="121"/>
  <c r="AM13" i="121"/>
  <c r="AH13" i="121"/>
  <c r="AQ10" i="121"/>
  <c r="AJ18" i="121"/>
  <c r="AB18" i="121"/>
  <c r="AH18" i="121"/>
  <c r="AQ67" i="121" l="1"/>
  <c r="AO83" i="121"/>
  <c r="AR83" i="121" s="1"/>
  <c r="U19" i="121"/>
  <c r="Z19" i="121" s="1"/>
  <c r="C52" i="108"/>
  <c r="AO40" i="121"/>
  <c r="AU40" i="121" s="1"/>
  <c r="AR87" i="121"/>
  <c r="AP87" i="121" s="1"/>
  <c r="BZ87" i="121" s="1"/>
  <c r="AI14" i="121"/>
  <c r="BY14" i="121" s="1"/>
  <c r="C7" i="109"/>
  <c r="C67" i="108"/>
  <c r="D14" i="109"/>
  <c r="C8" i="109"/>
  <c r="F8" i="109" s="1"/>
  <c r="H8" i="109" s="1"/>
  <c r="D67" i="108"/>
  <c r="D55" i="108"/>
  <c r="D13" i="109" s="1"/>
  <c r="AK40" i="121"/>
  <c r="AI40" i="121" s="1"/>
  <c r="BY40" i="121" s="1"/>
  <c r="AU87" i="121"/>
  <c r="AA31" i="121"/>
  <c r="AO56" i="121"/>
  <c r="AR56" i="121" s="1"/>
  <c r="BY34" i="121"/>
  <c r="AO92" i="121"/>
  <c r="AV92" i="121" s="1"/>
  <c r="Y81" i="121"/>
  <c r="BA81" i="121" s="1"/>
  <c r="BX10" i="121"/>
  <c r="D52" i="108"/>
  <c r="D10" i="109" s="1"/>
  <c r="D49" i="108"/>
  <c r="D7" i="109" s="1"/>
  <c r="AR75" i="121"/>
  <c r="AO82" i="121"/>
  <c r="AR82" i="121" s="1"/>
  <c r="BH66" i="121"/>
  <c r="AN23" i="121"/>
  <c r="BY23" i="121" s="1"/>
  <c r="AA20" i="121"/>
  <c r="BY83" i="121"/>
  <c r="AA75" i="121"/>
  <c r="AK63" i="121"/>
  <c r="AI63" i="121" s="1"/>
  <c r="BY63" i="121" s="1"/>
  <c r="AQ56" i="121"/>
  <c r="AU83" i="121"/>
  <c r="AO63" i="121"/>
  <c r="AU63" i="121" s="1"/>
  <c r="AO71" i="121"/>
  <c r="AU71" i="121" s="1"/>
  <c r="AU55" i="121"/>
  <c r="AR55" i="121"/>
  <c r="BE53" i="121"/>
  <c r="BK53" i="121" s="1"/>
  <c r="BS53" i="121" s="1"/>
  <c r="AR88" i="121"/>
  <c r="AP88" i="121" s="1"/>
  <c r="BZ88" i="121" s="1"/>
  <c r="AK45" i="121"/>
  <c r="AI45" i="121" s="1"/>
  <c r="BH53" i="121"/>
  <c r="BM53" i="121" s="1"/>
  <c r="AN82" i="121"/>
  <c r="AV88" i="121"/>
  <c r="BB88" i="121" s="1"/>
  <c r="AV83" i="121"/>
  <c r="BB83" i="121" s="1"/>
  <c r="AQ71" i="121"/>
  <c r="AQ14" i="121"/>
  <c r="AV14" i="121" s="1"/>
  <c r="AR40" i="121"/>
  <c r="AP40" i="121" s="1"/>
  <c r="AK25" i="121"/>
  <c r="AI25" i="121" s="1"/>
  <c r="BY25" i="121" s="1"/>
  <c r="AI32" i="121"/>
  <c r="BY32" i="121" s="1"/>
  <c r="AO25" i="121"/>
  <c r="AV25" i="121" s="1"/>
  <c r="AO90" i="121"/>
  <c r="AU90" i="121" s="1"/>
  <c r="BM88" i="121"/>
  <c r="AK90" i="121"/>
  <c r="AI90" i="121" s="1"/>
  <c r="BY90" i="121" s="1"/>
  <c r="AQ76" i="121"/>
  <c r="AI84" i="121"/>
  <c r="BY81" i="121"/>
  <c r="AQ33" i="121"/>
  <c r="AV33" i="121" s="1"/>
  <c r="AQ58" i="121"/>
  <c r="AK53" i="121"/>
  <c r="AI53" i="121" s="1"/>
  <c r="AI55" i="121"/>
  <c r="BY55" i="121" s="1"/>
  <c r="AQ85" i="121"/>
  <c r="AV85" i="121" s="1"/>
  <c r="BM62" i="121"/>
  <c r="AQ55" i="121"/>
  <c r="AV55" i="121" s="1"/>
  <c r="AY55" i="121" s="1"/>
  <c r="AO53" i="121"/>
  <c r="AR53" i="121" s="1"/>
  <c r="AP53" i="121" s="1"/>
  <c r="BM85" i="121"/>
  <c r="AO10" i="121"/>
  <c r="AU10" i="121" s="1"/>
  <c r="AK10" i="121"/>
  <c r="AI10" i="121" s="1"/>
  <c r="AV86" i="121"/>
  <c r="AY86" i="121" s="1"/>
  <c r="AU86" i="121"/>
  <c r="AK48" i="121"/>
  <c r="AI48" i="121" s="1"/>
  <c r="I24" i="108"/>
  <c r="I25" i="108"/>
  <c r="I21" i="108"/>
  <c r="I37" i="108"/>
  <c r="I23" i="108"/>
  <c r="I27" i="108" s="1"/>
  <c r="AQ32" i="121"/>
  <c r="AV32" i="121" s="1"/>
  <c r="AR84" i="121"/>
  <c r="AN48" i="121"/>
  <c r="AA10" i="121"/>
  <c r="BH74" i="121"/>
  <c r="BH14" i="121"/>
  <c r="AQ80" i="121"/>
  <c r="BM63" i="121"/>
  <c r="AI76" i="121"/>
  <c r="BY76" i="121" s="1"/>
  <c r="AK50" i="121"/>
  <c r="AI50" i="121" s="1"/>
  <c r="AO50" i="121"/>
  <c r="AN50" i="121"/>
  <c r="AA83" i="121"/>
  <c r="BZ34" i="121"/>
  <c r="AQ15" i="121"/>
  <c r="AI58" i="121"/>
  <c r="T101" i="61"/>
  <c r="T100" i="61"/>
  <c r="U101" i="61"/>
  <c r="U100" i="61"/>
  <c r="D67" i="107"/>
  <c r="D79" i="107" s="1"/>
  <c r="S67" i="61"/>
  <c r="D76" i="107"/>
  <c r="P103" i="121"/>
  <c r="Q103" i="121" s="1"/>
  <c r="AK92" i="121"/>
  <c r="AI92" i="121" s="1"/>
  <c r="BY92" i="121" s="1"/>
  <c r="AA49" i="121"/>
  <c r="AQ48" i="121"/>
  <c r="AA30" i="121"/>
  <c r="AA84" i="121"/>
  <c r="BH67" i="121"/>
  <c r="BM67" i="121" s="1"/>
  <c r="BA20" i="121"/>
  <c r="AO62" i="121"/>
  <c r="AN62" i="121"/>
  <c r="AK62" i="121"/>
  <c r="AI62" i="121" s="1"/>
  <c r="BM40" i="121"/>
  <c r="BM87" i="121"/>
  <c r="X97" i="121"/>
  <c r="BH84" i="121"/>
  <c r="BH49" i="121"/>
  <c r="BM49" i="121" s="1"/>
  <c r="BH31" i="121"/>
  <c r="AA19" i="121"/>
  <c r="P100" i="121"/>
  <c r="Q100" i="121" s="1"/>
  <c r="AN45" i="121"/>
  <c r="AO58" i="121"/>
  <c r="AU58" i="121" s="1"/>
  <c r="BH32" i="121"/>
  <c r="AN58" i="121"/>
  <c r="AT82" i="121"/>
  <c r="AQ82" i="121"/>
  <c r="AA74" i="121"/>
  <c r="BA83" i="121"/>
  <c r="U82" i="121"/>
  <c r="Z82" i="121" s="1"/>
  <c r="Y82" i="121"/>
  <c r="BA82" i="121" s="1"/>
  <c r="AQ84" i="121"/>
  <c r="AV84" i="121" s="1"/>
  <c r="AY84" i="121" s="1"/>
  <c r="BA31" i="121"/>
  <c r="BH45" i="121"/>
  <c r="BM45" i="121" s="1"/>
  <c r="AT71" i="121"/>
  <c r="U56" i="121"/>
  <c r="Z56" i="121" s="1"/>
  <c r="Y56" i="121"/>
  <c r="BA56" i="121" s="1"/>
  <c r="AN44" i="121"/>
  <c r="AK44" i="121"/>
  <c r="AI44" i="121" s="1"/>
  <c r="AO44" i="121"/>
  <c r="AO69" i="121"/>
  <c r="AN69" i="121"/>
  <c r="AK69" i="121"/>
  <c r="AI69" i="121" s="1"/>
  <c r="Y21" i="121"/>
  <c r="U21" i="121"/>
  <c r="Z21" i="121" s="1"/>
  <c r="BH30" i="121"/>
  <c r="BM30" i="121" s="1"/>
  <c r="U43" i="121"/>
  <c r="Z43" i="121" s="1"/>
  <c r="Y43" i="121"/>
  <c r="BA43" i="121" s="1"/>
  <c r="AK15" i="121"/>
  <c r="AI15" i="121" s="1"/>
  <c r="AO15" i="121"/>
  <c r="AN15" i="121"/>
  <c r="AN56" i="121"/>
  <c r="AK56" i="121"/>
  <c r="AI56" i="121" s="1"/>
  <c r="AA60" i="121"/>
  <c r="AT39" i="121"/>
  <c r="AO49" i="121"/>
  <c r="AN49" i="121"/>
  <c r="AK49" i="121"/>
  <c r="AI49" i="121" s="1"/>
  <c r="Y76" i="121"/>
  <c r="U76" i="121"/>
  <c r="Z76" i="121" s="1"/>
  <c r="BA60" i="121"/>
  <c r="AQ43" i="121"/>
  <c r="BH60" i="121"/>
  <c r="AA28" i="121"/>
  <c r="BA28" i="121"/>
  <c r="BA32" i="121"/>
  <c r="AA66" i="121"/>
  <c r="Y15" i="121"/>
  <c r="BA15" i="121" s="1"/>
  <c r="U15" i="121"/>
  <c r="Z15" i="121" s="1"/>
  <c r="BH20" i="121"/>
  <c r="Y91" i="121"/>
  <c r="U91" i="121"/>
  <c r="Z91" i="121" s="1"/>
  <c r="U80" i="121"/>
  <c r="Z80" i="121" s="1"/>
  <c r="Y80" i="121"/>
  <c r="AA14" i="121"/>
  <c r="BA14" i="121"/>
  <c r="BH18" i="121"/>
  <c r="AA18" i="121"/>
  <c r="BA18" i="121"/>
  <c r="AA33" i="121"/>
  <c r="AT76" i="121"/>
  <c r="AQ91" i="121"/>
  <c r="AT43" i="121"/>
  <c r="BH19" i="121"/>
  <c r="BH33" i="121"/>
  <c r="AA89" i="121"/>
  <c r="AN43" i="121"/>
  <c r="AK43" i="121"/>
  <c r="AI43" i="121" s="1"/>
  <c r="AO43" i="121"/>
  <c r="U48" i="121"/>
  <c r="Z48" i="121" s="1"/>
  <c r="Y48" i="121"/>
  <c r="Y69" i="121"/>
  <c r="U69" i="121"/>
  <c r="Z69" i="121" s="1"/>
  <c r="BH10" i="121"/>
  <c r="BM10" i="121" s="1"/>
  <c r="BA23" i="121"/>
  <c r="BH23" i="121"/>
  <c r="AA23" i="121"/>
  <c r="U55" i="121"/>
  <c r="Z55" i="121" s="1"/>
  <c r="Y55" i="121"/>
  <c r="BA55" i="121" s="1"/>
  <c r="AU14" i="121"/>
  <c r="AR14" i="121"/>
  <c r="U44" i="121"/>
  <c r="Z44" i="121" s="1"/>
  <c r="Y44" i="121"/>
  <c r="BH83" i="121"/>
  <c r="AQ69" i="121"/>
  <c r="AT69" i="121"/>
  <c r="AN91" i="121"/>
  <c r="AK91" i="121"/>
  <c r="AI91" i="121" s="1"/>
  <c r="AO91" i="121"/>
  <c r="U58" i="121"/>
  <c r="Z58" i="121" s="1"/>
  <c r="Y58" i="121"/>
  <c r="AA25" i="121"/>
  <c r="AI38" i="121"/>
  <c r="BY38" i="121" s="1"/>
  <c r="BY53" i="121"/>
  <c r="BH75" i="121"/>
  <c r="AQ44" i="121"/>
  <c r="U71" i="121"/>
  <c r="Z71" i="121" s="1"/>
  <c r="Y71" i="121"/>
  <c r="AT56" i="121"/>
  <c r="Y39" i="121"/>
  <c r="AX39" i="121" s="1"/>
  <c r="U39" i="121"/>
  <c r="Z39" i="121" s="1"/>
  <c r="AK39" i="121"/>
  <c r="AI39" i="121" s="1"/>
  <c r="AN39" i="121"/>
  <c r="BH28" i="121"/>
  <c r="AU32" i="121"/>
  <c r="AR32" i="121"/>
  <c r="AO80" i="121"/>
  <c r="AN80" i="121"/>
  <c r="AK80" i="121"/>
  <c r="AI80" i="121" s="1"/>
  <c r="AA32" i="121"/>
  <c r="AO76" i="121"/>
  <c r="AT44" i="121"/>
  <c r="BH92" i="121"/>
  <c r="BA92" i="121"/>
  <c r="AA92" i="121"/>
  <c r="AU92" i="121"/>
  <c r="AP83" i="121"/>
  <c r="AQ79" i="121"/>
  <c r="AQ78" i="121"/>
  <c r="AV60" i="121"/>
  <c r="AU60" i="121"/>
  <c r="AR60" i="121"/>
  <c r="AP60" i="121" s="1"/>
  <c r="AX60" i="121"/>
  <c r="AI60" i="121"/>
  <c r="AX57" i="121"/>
  <c r="AU48" i="121"/>
  <c r="AR48" i="121"/>
  <c r="BS40" i="121"/>
  <c r="AR39" i="121"/>
  <c r="AP39" i="121" s="1"/>
  <c r="AV39" i="121"/>
  <c r="AU39" i="121"/>
  <c r="AO38" i="121"/>
  <c r="AV38" i="121" s="1"/>
  <c r="AV30" i="121"/>
  <c r="AU30" i="121"/>
  <c r="AR30" i="121"/>
  <c r="AI30" i="121"/>
  <c r="AX30" i="121"/>
  <c r="AV28" i="121"/>
  <c r="AR28" i="121"/>
  <c r="AP28" i="121" s="1"/>
  <c r="AU28" i="121"/>
  <c r="AI28" i="121"/>
  <c r="AX28" i="121"/>
  <c r="AQ24" i="121"/>
  <c r="AU23" i="121"/>
  <c r="AR23" i="121"/>
  <c r="AP23" i="121" s="1"/>
  <c r="AV23" i="121"/>
  <c r="BY20" i="121"/>
  <c r="AR20" i="121"/>
  <c r="AP20" i="121" s="1"/>
  <c r="AV20" i="121"/>
  <c r="AU20" i="121"/>
  <c r="BM84" i="121"/>
  <c r="AI85" i="121"/>
  <c r="AR85" i="121"/>
  <c r="AU85" i="121"/>
  <c r="AX86" i="121"/>
  <c r="BH86" i="121"/>
  <c r="AA86" i="121"/>
  <c r="BA86" i="121"/>
  <c r="AP86" i="121"/>
  <c r="BB87" i="121"/>
  <c r="BC87" i="121"/>
  <c r="AY87" i="121"/>
  <c r="AW87" i="121" s="1"/>
  <c r="BK87" i="121"/>
  <c r="BY88" i="121"/>
  <c r="BH89" i="121"/>
  <c r="BM89" i="121" s="1"/>
  <c r="AI89" i="121"/>
  <c r="BY89" i="121" s="1"/>
  <c r="AQ89" i="121"/>
  <c r="AV89" i="121" s="1"/>
  <c r="AR89" i="121"/>
  <c r="AU89" i="121"/>
  <c r="BX89" i="121"/>
  <c r="BM90" i="121"/>
  <c r="AQ77" i="121"/>
  <c r="U77" i="121"/>
  <c r="Z77" i="121" s="1"/>
  <c r="Y77" i="121"/>
  <c r="AK77" i="121"/>
  <c r="AO77" i="121"/>
  <c r="AN77" i="121"/>
  <c r="U78" i="121"/>
  <c r="Z78" i="121" s="1"/>
  <c r="Y78" i="121"/>
  <c r="AO78" i="121"/>
  <c r="AN78" i="121"/>
  <c r="AK78" i="121"/>
  <c r="AI78" i="121" s="1"/>
  <c r="AO79" i="121"/>
  <c r="AN79" i="121"/>
  <c r="AK79" i="121"/>
  <c r="AI79" i="121" s="1"/>
  <c r="Y79" i="121"/>
  <c r="U79" i="121"/>
  <c r="Z79" i="121" s="1"/>
  <c r="AP81" i="121"/>
  <c r="AX81" i="121"/>
  <c r="BE81" i="121" s="1"/>
  <c r="AV81" i="121"/>
  <c r="AU82" i="121"/>
  <c r="AI82" i="121"/>
  <c r="AI74" i="121"/>
  <c r="AX74" i="121"/>
  <c r="BE74" i="121" s="1"/>
  <c r="BK74" i="121" s="1"/>
  <c r="BA74" i="121"/>
  <c r="AV74" i="121"/>
  <c r="AU74" i="121"/>
  <c r="AR74" i="121"/>
  <c r="AP75" i="121"/>
  <c r="AV75" i="121"/>
  <c r="AX75" i="121"/>
  <c r="BE75" i="121" s="1"/>
  <c r="BA75" i="121"/>
  <c r="AK70" i="121"/>
  <c r="AI70" i="121" s="1"/>
  <c r="AO70" i="121"/>
  <c r="AN70" i="121"/>
  <c r="AQ70" i="121"/>
  <c r="U70" i="121"/>
  <c r="Z70" i="121" s="1"/>
  <c r="Y70" i="121"/>
  <c r="AI71" i="121"/>
  <c r="BK63" i="121"/>
  <c r="U65" i="121"/>
  <c r="Z65" i="121" s="1"/>
  <c r="Y65" i="121"/>
  <c r="AR66" i="121"/>
  <c r="AP66" i="121" s="1"/>
  <c r="AV66" i="121"/>
  <c r="AU66" i="121"/>
  <c r="AI66" i="121"/>
  <c r="AX66" i="121"/>
  <c r="BE66" i="121" s="1"/>
  <c r="BA66" i="121"/>
  <c r="BM66" i="121" s="1"/>
  <c r="AV67" i="121"/>
  <c r="AU67" i="121"/>
  <c r="AR67" i="121"/>
  <c r="AP67" i="121" s="1"/>
  <c r="AI67" i="121"/>
  <c r="AX67" i="121"/>
  <c r="AA67" i="121"/>
  <c r="BM50" i="121"/>
  <c r="U52" i="121"/>
  <c r="Z52" i="121" s="1"/>
  <c r="Y52" i="121"/>
  <c r="AN52" i="121"/>
  <c r="AK52" i="121"/>
  <c r="AO52" i="121"/>
  <c r="AQ52" i="121"/>
  <c r="AO54" i="121"/>
  <c r="AN54" i="121"/>
  <c r="AK54" i="121"/>
  <c r="AI54" i="121" s="1"/>
  <c r="Y54" i="121"/>
  <c r="U54" i="121"/>
  <c r="Z54" i="121" s="1"/>
  <c r="AQ54" i="121"/>
  <c r="AU56" i="121"/>
  <c r="BX57" i="121"/>
  <c r="AA57" i="121"/>
  <c r="BH57" i="121"/>
  <c r="AK57" i="121"/>
  <c r="AO57" i="121"/>
  <c r="AN57" i="121"/>
  <c r="BA57" i="121"/>
  <c r="BY59" i="121"/>
  <c r="AX59" i="121"/>
  <c r="BE59" i="121" s="1"/>
  <c r="BA59" i="121"/>
  <c r="BH59" i="121"/>
  <c r="AV59" i="121"/>
  <c r="AU59" i="121"/>
  <c r="AR59" i="121"/>
  <c r="AA59" i="121"/>
  <c r="AU45" i="121"/>
  <c r="AR45" i="121"/>
  <c r="AV45" i="121"/>
  <c r="AA45" i="121"/>
  <c r="AN41" i="121"/>
  <c r="AK41" i="121"/>
  <c r="AI41" i="121" s="1"/>
  <c r="AO41" i="121"/>
  <c r="U41" i="121"/>
  <c r="Z41" i="121" s="1"/>
  <c r="Y41" i="121"/>
  <c r="BA41" i="121" s="1"/>
  <c r="AQ41" i="121"/>
  <c r="AT41" i="121"/>
  <c r="X105" i="121"/>
  <c r="BX42" i="121"/>
  <c r="AA42" i="121"/>
  <c r="AK42" i="121"/>
  <c r="AI42" i="121" s="1"/>
  <c r="AO42" i="121"/>
  <c r="AN42" i="121"/>
  <c r="BH42" i="121"/>
  <c r="BA42" i="121"/>
  <c r="AR33" i="121"/>
  <c r="AU33" i="121"/>
  <c r="BX33" i="121"/>
  <c r="AI33" i="121"/>
  <c r="BY33" i="121" s="1"/>
  <c r="BA33" i="121"/>
  <c r="AY34" i="121"/>
  <c r="AX34" i="121"/>
  <c r="BC34" i="121" s="1"/>
  <c r="BB34" i="121"/>
  <c r="AQ35" i="121"/>
  <c r="U35" i="121"/>
  <c r="Z35" i="121" s="1"/>
  <c r="Y35" i="121"/>
  <c r="BA35" i="121" s="1"/>
  <c r="AT35" i="121"/>
  <c r="AN35" i="121"/>
  <c r="AK35" i="121"/>
  <c r="AO35" i="121"/>
  <c r="AN37" i="121"/>
  <c r="AK37" i="121"/>
  <c r="AO37" i="121"/>
  <c r="AQ37" i="121"/>
  <c r="U37" i="121"/>
  <c r="Z37" i="121" s="1"/>
  <c r="Y37" i="121"/>
  <c r="BX38" i="121"/>
  <c r="AX38" i="121"/>
  <c r="AA38" i="121"/>
  <c r="BH38" i="121"/>
  <c r="BM38" i="121" s="1"/>
  <c r="AK31" i="121"/>
  <c r="AO31" i="121"/>
  <c r="AN31" i="121"/>
  <c r="BX31" i="121"/>
  <c r="AN24" i="121"/>
  <c r="AK24" i="121"/>
  <c r="AI24" i="121" s="1"/>
  <c r="AO24" i="121"/>
  <c r="Y24" i="121"/>
  <c r="U24" i="121"/>
  <c r="Z24" i="121" s="1"/>
  <c r="AT24" i="121"/>
  <c r="BH25" i="121"/>
  <c r="BM25" i="121" s="1"/>
  <c r="U26" i="121"/>
  <c r="Z26" i="121" s="1"/>
  <c r="Y26" i="121"/>
  <c r="AV19" i="121"/>
  <c r="AU19" i="121"/>
  <c r="AR19" i="121"/>
  <c r="AP19" i="121" s="1"/>
  <c r="AI19" i="121"/>
  <c r="BA19" i="121"/>
  <c r="X106" i="121"/>
  <c r="AQ16" i="121"/>
  <c r="U16" i="121"/>
  <c r="Z16" i="121" s="1"/>
  <c r="Y16" i="121"/>
  <c r="AT16" i="121"/>
  <c r="AN16" i="121"/>
  <c r="AK16" i="121"/>
  <c r="AO16" i="121"/>
  <c r="AK11" i="121"/>
  <c r="AI11" i="121" s="1"/>
  <c r="AN11" i="121"/>
  <c r="AO11" i="121"/>
  <c r="AQ11" i="121"/>
  <c r="AT11" i="121"/>
  <c r="Y11" i="121"/>
  <c r="U11" i="121"/>
  <c r="Z11" i="121" s="1"/>
  <c r="BY12" i="121"/>
  <c r="AX12" i="121"/>
  <c r="BH12" i="121"/>
  <c r="BM12" i="121" s="1"/>
  <c r="AA12" i="121"/>
  <c r="AV12" i="121"/>
  <c r="AU12" i="121"/>
  <c r="AR12" i="121"/>
  <c r="U13" i="121"/>
  <c r="Z13" i="121" s="1"/>
  <c r="Y13" i="121"/>
  <c r="AN13" i="121"/>
  <c r="AK13" i="121"/>
  <c r="AO13" i="121"/>
  <c r="X99" i="121"/>
  <c r="AQ13" i="121"/>
  <c r="X5" i="121"/>
  <c r="AT13" i="121"/>
  <c r="AX10" i="121"/>
  <c r="R66" i="61"/>
  <c r="C73" i="61"/>
  <c r="C74" i="61" s="1"/>
  <c r="C78" i="61" s="1"/>
  <c r="C82" i="61" s="1"/>
  <c r="C83" i="61" s="1"/>
  <c r="AO18" i="121"/>
  <c r="AN18" i="121"/>
  <c r="AK18" i="121"/>
  <c r="AI18" i="121" s="1"/>
  <c r="BX18" i="121"/>
  <c r="AQ18" i="121"/>
  <c r="AX14" i="121" l="1"/>
  <c r="BE14" i="121" s="1"/>
  <c r="BK14" i="121" s="1"/>
  <c r="AX76" i="121"/>
  <c r="AP14" i="121"/>
  <c r="BY44" i="121"/>
  <c r="AV40" i="121"/>
  <c r="BC40" i="121" s="1"/>
  <c r="BJ40" i="121" s="1"/>
  <c r="AV56" i="121"/>
  <c r="AV82" i="121"/>
  <c r="AY82" i="121" s="1"/>
  <c r="AR63" i="121"/>
  <c r="AP63" i="121" s="1"/>
  <c r="BZ63" i="121" s="1"/>
  <c r="AR92" i="121"/>
  <c r="AP92" i="121" s="1"/>
  <c r="L22" i="121"/>
  <c r="E7" i="109"/>
  <c r="F7" i="109" s="1"/>
  <c r="AR90" i="121"/>
  <c r="AP90" i="121" s="1"/>
  <c r="BZ90" i="121" s="1"/>
  <c r="AV90" i="121"/>
  <c r="BB90" i="121" s="1"/>
  <c r="AX88" i="121"/>
  <c r="BC88" i="121" s="1"/>
  <c r="BF88" i="121" s="1"/>
  <c r="AY88" i="121"/>
  <c r="AA81" i="121"/>
  <c r="AR25" i="121"/>
  <c r="AP25" i="121" s="1"/>
  <c r="AU53" i="121"/>
  <c r="BZ53" i="121" s="1"/>
  <c r="BH81" i="121"/>
  <c r="BM81" i="121" s="1"/>
  <c r="AX84" i="121"/>
  <c r="BC84" i="121" s="1"/>
  <c r="BI84" i="121" s="1"/>
  <c r="AX83" i="121"/>
  <c r="BC83" i="121" s="1"/>
  <c r="BI83" i="121" s="1"/>
  <c r="BN83" i="121" s="1"/>
  <c r="AY83" i="121"/>
  <c r="I28" i="108"/>
  <c r="C72" i="108" s="1"/>
  <c r="BB84" i="121"/>
  <c r="AU25" i="121"/>
  <c r="BZ25" i="121" s="1"/>
  <c r="BH76" i="121"/>
  <c r="AV71" i="121"/>
  <c r="BB71" i="121" s="1"/>
  <c r="BY45" i="121"/>
  <c r="AR71" i="121"/>
  <c r="AP71" i="121" s="1"/>
  <c r="BZ71" i="121" s="1"/>
  <c r="Z96" i="121"/>
  <c r="AV63" i="121"/>
  <c r="BZ28" i="121"/>
  <c r="AP33" i="121"/>
  <c r="BH13" i="121"/>
  <c r="AX78" i="121"/>
  <c r="BE78" i="121" s="1"/>
  <c r="BK78" i="121" s="1"/>
  <c r="AV53" i="121"/>
  <c r="AY53" i="121" s="1"/>
  <c r="BY15" i="121"/>
  <c r="BY62" i="121"/>
  <c r="AV58" i="121"/>
  <c r="AY58" i="121" s="1"/>
  <c r="AP32" i="121"/>
  <c r="BZ32" i="121" s="1"/>
  <c r="BM31" i="121"/>
  <c r="AR58" i="121"/>
  <c r="AP58" i="121" s="1"/>
  <c r="BZ58" i="121" s="1"/>
  <c r="BZ39" i="121"/>
  <c r="AX58" i="121"/>
  <c r="BH44" i="121"/>
  <c r="BH52" i="121"/>
  <c r="AP82" i="121"/>
  <c r="BZ82" i="121" s="1"/>
  <c r="BM20" i="121"/>
  <c r="BY58" i="121"/>
  <c r="BY50" i="121"/>
  <c r="BY48" i="121"/>
  <c r="AV10" i="121"/>
  <c r="BC10" i="121" s="1"/>
  <c r="BB55" i="121"/>
  <c r="AP85" i="121"/>
  <c r="BM14" i="121"/>
  <c r="AX48" i="121"/>
  <c r="BE48" i="121" s="1"/>
  <c r="BH79" i="121"/>
  <c r="BB86" i="121"/>
  <c r="BM74" i="121"/>
  <c r="BM19" i="121"/>
  <c r="AP55" i="121"/>
  <c r="BZ55" i="121" s="1"/>
  <c r="BM92" i="121"/>
  <c r="BY39" i="121"/>
  <c r="AR10" i="121"/>
  <c r="AP10" i="121" s="1"/>
  <c r="BZ10" i="121" s="1"/>
  <c r="AP48" i="121"/>
  <c r="BZ48" i="121" s="1"/>
  <c r="AV48" i="121"/>
  <c r="AY48" i="121" s="1"/>
  <c r="I29" i="108"/>
  <c r="I33" i="108"/>
  <c r="V64" i="121"/>
  <c r="BM33" i="121"/>
  <c r="BZ67" i="121"/>
  <c r="BZ60" i="121"/>
  <c r="BE76" i="121"/>
  <c r="BK76" i="121" s="1"/>
  <c r="AV50" i="121"/>
  <c r="AR50" i="121"/>
  <c r="AP50" i="121" s="1"/>
  <c r="AU50" i="121"/>
  <c r="BH41" i="121"/>
  <c r="BM41" i="121" s="1"/>
  <c r="BH82" i="121"/>
  <c r="BM82" i="121" s="1"/>
  <c r="BH15" i="121"/>
  <c r="BM15" i="121" s="1"/>
  <c r="AX15" i="121"/>
  <c r="BE15" i="121" s="1"/>
  <c r="BK15" i="121" s="1"/>
  <c r="T102" i="61"/>
  <c r="T103" i="61" s="1"/>
  <c r="T85" i="61" s="1"/>
  <c r="T86" i="61" s="1"/>
  <c r="T87" i="61" s="1"/>
  <c r="U102" i="61"/>
  <c r="C14" i="109"/>
  <c r="L29" i="121" s="1"/>
  <c r="AA39" i="121"/>
  <c r="BM18" i="121"/>
  <c r="BM60" i="121"/>
  <c r="BH56" i="121"/>
  <c r="BM56" i="121" s="1"/>
  <c r="AA24" i="121"/>
  <c r="AX56" i="121"/>
  <c r="BE56" i="121" s="1"/>
  <c r="BZ66" i="121"/>
  <c r="AA56" i="121"/>
  <c r="BM83" i="121"/>
  <c r="BA76" i="121"/>
  <c r="BM76" i="121" s="1"/>
  <c r="BM75" i="121"/>
  <c r="AX82" i="121"/>
  <c r="BE82" i="121" s="1"/>
  <c r="BK82" i="121" s="1"/>
  <c r="BY42" i="121"/>
  <c r="BM57" i="121"/>
  <c r="AA44" i="121"/>
  <c r="AP84" i="121"/>
  <c r="BH54" i="121"/>
  <c r="AA13" i="121"/>
  <c r="AA41" i="121"/>
  <c r="BM28" i="121"/>
  <c r="AR62" i="121"/>
  <c r="AP62" i="121" s="1"/>
  <c r="AV62" i="121"/>
  <c r="AU62" i="121"/>
  <c r="BY80" i="121"/>
  <c r="BY91" i="121"/>
  <c r="BY43" i="121"/>
  <c r="BM32" i="121"/>
  <c r="BY56" i="121"/>
  <c r="AA82" i="121"/>
  <c r="BH91" i="121"/>
  <c r="BA91" i="121"/>
  <c r="BZ19" i="121"/>
  <c r="AU38" i="121"/>
  <c r="AA71" i="121"/>
  <c r="BH71" i="121"/>
  <c r="AA58" i="121"/>
  <c r="BH58" i="121"/>
  <c r="BA58" i="121"/>
  <c r="AX69" i="121"/>
  <c r="BE69" i="121" s="1"/>
  <c r="BK69" i="121" s="1"/>
  <c r="BY49" i="121"/>
  <c r="BH43" i="121"/>
  <c r="BM43" i="121" s="1"/>
  <c r="AA43" i="121"/>
  <c r="AV69" i="121"/>
  <c r="AU69" i="121"/>
  <c r="AR69" i="121"/>
  <c r="AP69" i="121" s="1"/>
  <c r="BA48" i="121"/>
  <c r="AA48" i="121"/>
  <c r="BH48" i="121"/>
  <c r="AR44" i="121"/>
  <c r="AP44" i="121" s="1"/>
  <c r="AU44" i="121"/>
  <c r="AV44" i="121"/>
  <c r="AX11" i="121"/>
  <c r="BE11" i="121" s="1"/>
  <c r="BK11" i="121" s="1"/>
  <c r="AR38" i="121"/>
  <c r="AP38" i="121" s="1"/>
  <c r="BH35" i="121"/>
  <c r="BM35" i="121" s="1"/>
  <c r="AV80" i="121"/>
  <c r="AU80" i="121"/>
  <c r="AR80" i="121"/>
  <c r="AP80" i="121" s="1"/>
  <c r="BS14" i="121"/>
  <c r="AA15" i="121"/>
  <c r="AR49" i="121"/>
  <c r="AP49" i="121" s="1"/>
  <c r="AU49" i="121"/>
  <c r="AV49" i="121"/>
  <c r="BA69" i="121"/>
  <c r="BY69" i="121"/>
  <c r="AU76" i="121"/>
  <c r="AR76" i="121"/>
  <c r="AP76" i="121" s="1"/>
  <c r="AV76" i="121"/>
  <c r="AV91" i="121"/>
  <c r="AU91" i="121"/>
  <c r="AR91" i="121"/>
  <c r="AP91" i="121" s="1"/>
  <c r="BM23" i="121"/>
  <c r="AV43" i="121"/>
  <c r="AU43" i="121"/>
  <c r="AR43" i="121"/>
  <c r="AP43" i="121" s="1"/>
  <c r="BH39" i="121"/>
  <c r="BA39" i="121"/>
  <c r="AX71" i="121"/>
  <c r="BC71" i="121" s="1"/>
  <c r="BC14" i="121"/>
  <c r="BB14" i="121"/>
  <c r="AY14" i="121"/>
  <c r="AW14" i="121" s="1"/>
  <c r="Y96" i="121"/>
  <c r="BH80" i="121"/>
  <c r="AX80" i="121"/>
  <c r="BA80" i="121"/>
  <c r="AA80" i="121"/>
  <c r="BH69" i="121"/>
  <c r="AA55" i="121"/>
  <c r="AX55" i="121"/>
  <c r="BH55" i="121"/>
  <c r="BM55" i="121" s="1"/>
  <c r="BA24" i="121"/>
  <c r="Y97" i="121"/>
  <c r="BH78" i="121"/>
  <c r="BB32" i="121"/>
  <c r="AY32" i="121"/>
  <c r="AX32" i="121"/>
  <c r="AA69" i="121"/>
  <c r="BZ14" i="121"/>
  <c r="AR15" i="121"/>
  <c r="AP15" i="121" s="1"/>
  <c r="AV15" i="121"/>
  <c r="AU15" i="121"/>
  <c r="AA76" i="121"/>
  <c r="BA44" i="121"/>
  <c r="Y105" i="121"/>
  <c r="AW86" i="121"/>
  <c r="AA91" i="121"/>
  <c r="BA71" i="121"/>
  <c r="I30" i="108"/>
  <c r="I40" i="108" s="1"/>
  <c r="F14" i="116"/>
  <c r="I31" i="108"/>
  <c r="BZ92" i="121"/>
  <c r="AY92" i="121"/>
  <c r="AX92" i="121"/>
  <c r="BC92" i="121" s="1"/>
  <c r="BB92" i="121"/>
  <c r="BZ83" i="121"/>
  <c r="BE60" i="121"/>
  <c r="BC60" i="121"/>
  <c r="BB60" i="121"/>
  <c r="AY60" i="121"/>
  <c r="BY60" i="121"/>
  <c r="BE57" i="121"/>
  <c r="BK57" i="121" s="1"/>
  <c r="BS57" i="121" s="1"/>
  <c r="BE39" i="121"/>
  <c r="BB39" i="121"/>
  <c r="BC39" i="121"/>
  <c r="AY39" i="121"/>
  <c r="AW39" i="121" s="1"/>
  <c r="AP30" i="121"/>
  <c r="BZ30" i="121" s="1"/>
  <c r="BE30" i="121"/>
  <c r="BY30" i="121"/>
  <c r="BC30" i="121"/>
  <c r="BB30" i="121"/>
  <c r="AY30" i="121"/>
  <c r="AW30" i="121" s="1"/>
  <c r="BE28" i="121"/>
  <c r="BY28" i="121"/>
  <c r="AY28" i="121"/>
  <c r="AW28" i="121" s="1"/>
  <c r="BC28" i="121"/>
  <c r="BB28" i="121"/>
  <c r="BZ23" i="121"/>
  <c r="BB23" i="121"/>
  <c r="AY23" i="121"/>
  <c r="AX23" i="121"/>
  <c r="BZ20" i="121"/>
  <c r="AX20" i="121"/>
  <c r="BC20" i="121" s="1"/>
  <c r="AY20" i="121"/>
  <c r="BB20" i="121"/>
  <c r="BE12" i="121"/>
  <c r="BK12" i="121" s="1"/>
  <c r="BS12" i="121" s="1"/>
  <c r="BB85" i="121"/>
  <c r="AY85" i="121"/>
  <c r="AX85" i="121"/>
  <c r="BC85" i="121" s="1"/>
  <c r="BE86" i="121"/>
  <c r="BC86" i="121"/>
  <c r="BZ86" i="121"/>
  <c r="BM86" i="121"/>
  <c r="BS87" i="121"/>
  <c r="BJ87" i="121"/>
  <c r="BI87" i="121"/>
  <c r="BN87" i="121" s="1"/>
  <c r="BF87" i="121"/>
  <c r="BD87" i="121" s="1"/>
  <c r="BQ87" i="121" s="1"/>
  <c r="BE88" i="121"/>
  <c r="AY89" i="121"/>
  <c r="AX89" i="121"/>
  <c r="BC89" i="121" s="1"/>
  <c r="BB89" i="121"/>
  <c r="AP89" i="121"/>
  <c r="AY90" i="121"/>
  <c r="AX90" i="121"/>
  <c r="AI77" i="121"/>
  <c r="AU77" i="121"/>
  <c r="AR77" i="121"/>
  <c r="AP77" i="121" s="1"/>
  <c r="AV77" i="121"/>
  <c r="AX77" i="121"/>
  <c r="AA77" i="121"/>
  <c r="BH77" i="121"/>
  <c r="BA77" i="121"/>
  <c r="AV78" i="121"/>
  <c r="AU78" i="121"/>
  <c r="AR78" i="121"/>
  <c r="AP78" i="121" s="1"/>
  <c r="BA78" i="121"/>
  <c r="AA78" i="121"/>
  <c r="AX79" i="121"/>
  <c r="BE79" i="121" s="1"/>
  <c r="AA79" i="121"/>
  <c r="BY79" i="121"/>
  <c r="BA79" i="121"/>
  <c r="Z97" i="121"/>
  <c r="AV79" i="121"/>
  <c r="AU79" i="121"/>
  <c r="AR79" i="121"/>
  <c r="AP79" i="121" s="1"/>
  <c r="BZ81" i="121"/>
  <c r="BC81" i="121"/>
  <c r="BB81" i="121"/>
  <c r="AY81" i="121"/>
  <c r="AW81" i="121" s="1"/>
  <c r="BK81" i="121"/>
  <c r="BY82" i="121"/>
  <c r="BS74" i="121"/>
  <c r="AP74" i="121"/>
  <c r="BZ74" i="121" s="1"/>
  <c r="BY74" i="121"/>
  <c r="BC74" i="121"/>
  <c r="BB74" i="121"/>
  <c r="AY74" i="121"/>
  <c r="AW74" i="121" s="1"/>
  <c r="BB75" i="121"/>
  <c r="AY75" i="121"/>
  <c r="AW75" i="121" s="1"/>
  <c r="BC75" i="121"/>
  <c r="BK75" i="121"/>
  <c r="BZ75" i="121"/>
  <c r="AX70" i="121"/>
  <c r="BE70" i="121" s="1"/>
  <c r="AA70" i="121"/>
  <c r="BH70" i="121"/>
  <c r="BA70" i="121"/>
  <c r="AU70" i="121"/>
  <c r="AR70" i="121"/>
  <c r="AP70" i="121" s="1"/>
  <c r="AV70" i="121"/>
  <c r="BY70" i="121"/>
  <c r="AY71" i="121"/>
  <c r="BY71" i="121"/>
  <c r="BS63" i="121"/>
  <c r="BB66" i="121"/>
  <c r="AY66" i="121"/>
  <c r="AW66" i="121" s="1"/>
  <c r="BC66" i="121"/>
  <c r="BY66" i="121"/>
  <c r="BK66" i="121"/>
  <c r="BY67" i="121"/>
  <c r="BE67" i="121"/>
  <c r="BC67" i="121"/>
  <c r="BB67" i="121"/>
  <c r="AY67" i="121"/>
  <c r="AW67" i="121" s="1"/>
  <c r="AV52" i="121"/>
  <c r="AU52" i="121"/>
  <c r="AR52" i="121"/>
  <c r="AP52" i="121" s="1"/>
  <c r="AI52" i="121"/>
  <c r="AA52" i="121"/>
  <c r="AX52" i="121"/>
  <c r="BE52" i="121" s="1"/>
  <c r="BA52" i="121"/>
  <c r="BY54" i="121"/>
  <c r="AX54" i="121"/>
  <c r="AA54" i="121"/>
  <c r="BA54" i="121"/>
  <c r="AV54" i="121"/>
  <c r="AU54" i="121"/>
  <c r="AR54" i="121"/>
  <c r="AP54" i="121" s="1"/>
  <c r="BB56" i="121"/>
  <c r="AY56" i="121"/>
  <c r="AP56" i="121"/>
  <c r="AR57" i="121"/>
  <c r="AP57" i="121" s="1"/>
  <c r="AV57" i="121"/>
  <c r="AU57" i="121"/>
  <c r="AI57" i="121"/>
  <c r="BK59" i="121"/>
  <c r="BS59" i="121" s="1"/>
  <c r="AP59" i="121"/>
  <c r="AY59" i="121"/>
  <c r="AW59" i="121" s="1"/>
  <c r="BC59" i="121"/>
  <c r="BB59" i="121"/>
  <c r="BM59" i="121"/>
  <c r="AP45" i="121"/>
  <c r="BB45" i="121"/>
  <c r="AY45" i="121"/>
  <c r="AX45" i="121"/>
  <c r="BC45" i="121" s="1"/>
  <c r="BI40" i="121"/>
  <c r="BF40" i="121"/>
  <c r="BD40" i="121" s="1"/>
  <c r="BZ40" i="121"/>
  <c r="BY41" i="121"/>
  <c r="BQ99" i="121" s="1"/>
  <c r="AV41" i="121"/>
  <c r="AU41" i="121"/>
  <c r="AR41" i="121"/>
  <c r="AP41" i="121" s="1"/>
  <c r="AR42" i="121"/>
  <c r="AP42" i="121" s="1"/>
  <c r="AV42" i="121"/>
  <c r="AU42" i="121"/>
  <c r="BM42" i="121"/>
  <c r="BZ33" i="121"/>
  <c r="AY33" i="121"/>
  <c r="AX33" i="121"/>
  <c r="BC33" i="121" s="1"/>
  <c r="BB33" i="121"/>
  <c r="BF34" i="121"/>
  <c r="BL34" i="121" s="1"/>
  <c r="BI34" i="121"/>
  <c r="BN34" i="121" s="1"/>
  <c r="AW34" i="121"/>
  <c r="BE34" i="121"/>
  <c r="Z105" i="121"/>
  <c r="AI35" i="121"/>
  <c r="AA35" i="121"/>
  <c r="AV35" i="121"/>
  <c r="AU35" i="121"/>
  <c r="AR35" i="121"/>
  <c r="AP35" i="121" s="1"/>
  <c r="AV37" i="121"/>
  <c r="AU37" i="121"/>
  <c r="AR37" i="121"/>
  <c r="AX37" i="121"/>
  <c r="BE37" i="121" s="1"/>
  <c r="BA37" i="121"/>
  <c r="AA37" i="121"/>
  <c r="BH37" i="121"/>
  <c r="AI37" i="121"/>
  <c r="BE38" i="121"/>
  <c r="BK38" i="121" s="1"/>
  <c r="BS38" i="121" s="1"/>
  <c r="AY38" i="121"/>
  <c r="AW38" i="121" s="1"/>
  <c r="BC38" i="121"/>
  <c r="BB38" i="121"/>
  <c r="AR31" i="121"/>
  <c r="AP31" i="121" s="1"/>
  <c r="AV31" i="121"/>
  <c r="AU31" i="121"/>
  <c r="AI31" i="121"/>
  <c r="BY24" i="121"/>
  <c r="BH24" i="121"/>
  <c r="AV24" i="121"/>
  <c r="AU24" i="121"/>
  <c r="AR24" i="121"/>
  <c r="AP24" i="121" s="1"/>
  <c r="AY25" i="121"/>
  <c r="AX25" i="121"/>
  <c r="BC25" i="121" s="1"/>
  <c r="BB25" i="121"/>
  <c r="BY19" i="121"/>
  <c r="AX19" i="121"/>
  <c r="BC19" i="121" s="1"/>
  <c r="BB19" i="121"/>
  <c r="AY19" i="121"/>
  <c r="AV16" i="121"/>
  <c r="AU16" i="121"/>
  <c r="AR16" i="121"/>
  <c r="AP16" i="121" s="1"/>
  <c r="Y106" i="121"/>
  <c r="AX16" i="121"/>
  <c r="BE16" i="121" s="1"/>
  <c r="AA16" i="121"/>
  <c r="Z106" i="121"/>
  <c r="BA16" i="121"/>
  <c r="AI16" i="121"/>
  <c r="BH16" i="121"/>
  <c r="BY11" i="121"/>
  <c r="AU11" i="121"/>
  <c r="AV11" i="121"/>
  <c r="AR11" i="121"/>
  <c r="AP11" i="121" s="1"/>
  <c r="BA11" i="121"/>
  <c r="AA11" i="121"/>
  <c r="BH11" i="121"/>
  <c r="AP12" i="121"/>
  <c r="AY12" i="121"/>
  <c r="BC12" i="121"/>
  <c r="BB12" i="121"/>
  <c r="Y99" i="121"/>
  <c r="AX13" i="121"/>
  <c r="Y5" i="121"/>
  <c r="BA13" i="121"/>
  <c r="Z99" i="121"/>
  <c r="Z5" i="121"/>
  <c r="AV13" i="121"/>
  <c r="AU13" i="121"/>
  <c r="AR13" i="121"/>
  <c r="AP13" i="121" s="1"/>
  <c r="AI13" i="121"/>
  <c r="BE10" i="121"/>
  <c r="BK10" i="121" s="1"/>
  <c r="BY10" i="121"/>
  <c r="C84" i="61"/>
  <c r="V83" i="61"/>
  <c r="C75" i="61"/>
  <c r="R73" i="61"/>
  <c r="R74" i="61" s="1"/>
  <c r="R78" i="61" s="1"/>
  <c r="R82" i="61" s="1"/>
  <c r="R83" i="61" s="1"/>
  <c r="BY18" i="121"/>
  <c r="AV18" i="121"/>
  <c r="AU18" i="121"/>
  <c r="AR18" i="121"/>
  <c r="BB82" i="121" l="1"/>
  <c r="AY40" i="121"/>
  <c r="AW40" i="121" s="1"/>
  <c r="BB40" i="121"/>
  <c r="BE84" i="121"/>
  <c r="AW84" i="121"/>
  <c r="BF84" i="121"/>
  <c r="BL84" i="121" s="1"/>
  <c r="AW83" i="121"/>
  <c r="BL88" i="121"/>
  <c r="BE83" i="121"/>
  <c r="BK83" i="121" s="1"/>
  <c r="BI88" i="121"/>
  <c r="BN88" i="121" s="1"/>
  <c r="BZ91" i="121"/>
  <c r="BF83" i="121"/>
  <c r="BL83" i="121" s="1"/>
  <c r="AW88" i="121"/>
  <c r="BN84" i="121"/>
  <c r="BN40" i="121"/>
  <c r="K31" i="108"/>
  <c r="M31" i="108" s="1"/>
  <c r="D51" i="108" s="1"/>
  <c r="D9" i="109" s="1"/>
  <c r="J31" i="108"/>
  <c r="L31" i="108" s="1"/>
  <c r="C13" i="109"/>
  <c r="AW58" i="121"/>
  <c r="V29" i="121"/>
  <c r="AC29" i="121" s="1"/>
  <c r="F14" i="109"/>
  <c r="H14" i="109" s="1"/>
  <c r="BM78" i="121"/>
  <c r="BB58" i="121"/>
  <c r="BB63" i="121"/>
  <c r="AY63" i="121"/>
  <c r="AW63" i="121" s="1"/>
  <c r="BC63" i="121"/>
  <c r="BM52" i="121"/>
  <c r="BC58" i="121"/>
  <c r="BQ40" i="121"/>
  <c r="BZ76" i="121"/>
  <c r="BE58" i="121"/>
  <c r="BK58" i="121" s="1"/>
  <c r="BS58" i="121" s="1"/>
  <c r="AW82" i="121"/>
  <c r="BM44" i="121"/>
  <c r="BB53" i="121"/>
  <c r="BM69" i="121"/>
  <c r="BC53" i="121"/>
  <c r="BF53" i="121" s="1"/>
  <c r="BD53" i="121" s="1"/>
  <c r="BM13" i="121"/>
  <c r="BM11" i="121"/>
  <c r="BM79" i="121"/>
  <c r="BZ62" i="121"/>
  <c r="BZ44" i="121"/>
  <c r="BM54" i="121"/>
  <c r="AW48" i="121"/>
  <c r="AY10" i="121"/>
  <c r="AW10" i="121" s="1"/>
  <c r="BB10" i="121"/>
  <c r="BZ13" i="121"/>
  <c r="BM24" i="121"/>
  <c r="BS76" i="121"/>
  <c r="BM39" i="121"/>
  <c r="BZ50" i="121"/>
  <c r="BZ49" i="121"/>
  <c r="BB48" i="121"/>
  <c r="BC48" i="121"/>
  <c r="BJ48" i="121" s="1"/>
  <c r="C77" i="108"/>
  <c r="C76" i="108"/>
  <c r="I34" i="108"/>
  <c r="AF64" i="121"/>
  <c r="AG64" i="121"/>
  <c r="BA64" i="121"/>
  <c r="V97" i="121"/>
  <c r="AD64" i="121"/>
  <c r="BH64" i="121"/>
  <c r="AC64" i="121"/>
  <c r="AH64" i="121" s="1"/>
  <c r="AK64" i="121" s="1"/>
  <c r="AA64" i="121"/>
  <c r="AM64" i="121"/>
  <c r="AT64" i="121"/>
  <c r="BM80" i="121"/>
  <c r="AV94" i="121"/>
  <c r="AV95" i="121" s="1"/>
  <c r="BB50" i="121"/>
  <c r="AY50" i="121"/>
  <c r="AX50" i="121"/>
  <c r="BC50" i="121" s="1"/>
  <c r="BM16" i="121"/>
  <c r="BC82" i="121"/>
  <c r="BJ82" i="121" s="1"/>
  <c r="BZ16" i="121"/>
  <c r="T106" i="61"/>
  <c r="U103" i="61"/>
  <c r="U85" i="61" s="1"/>
  <c r="U86" i="61" s="1"/>
  <c r="U87" i="61" s="1"/>
  <c r="U106" i="61"/>
  <c r="I36" i="108"/>
  <c r="BC56" i="121"/>
  <c r="BI56" i="121" s="1"/>
  <c r="BN56" i="121" s="1"/>
  <c r="BZ79" i="121"/>
  <c r="BZ80" i="121"/>
  <c r="BZ43" i="121"/>
  <c r="BM91" i="121"/>
  <c r="BS82" i="121"/>
  <c r="AX62" i="121"/>
  <c r="BB62" i="121"/>
  <c r="AY62" i="121"/>
  <c r="BZ69" i="121"/>
  <c r="BZ77" i="121"/>
  <c r="AY15" i="121"/>
  <c r="AW15" i="121" s="1"/>
  <c r="BB15" i="121"/>
  <c r="BC15" i="121"/>
  <c r="AY43" i="121"/>
  <c r="BB43" i="121"/>
  <c r="AX43" i="121"/>
  <c r="BC43" i="121" s="1"/>
  <c r="BS15" i="121"/>
  <c r="BE71" i="121"/>
  <c r="BK71" i="121" s="1"/>
  <c r="BS71" i="121" s="1"/>
  <c r="BB44" i="121"/>
  <c r="AY44" i="121"/>
  <c r="AX44" i="121"/>
  <c r="BM58" i="121"/>
  <c r="BI14" i="121"/>
  <c r="BN14" i="121" s="1"/>
  <c r="BJ14" i="121"/>
  <c r="BT14" i="121" s="1"/>
  <c r="BU14" i="121" s="1"/>
  <c r="BV14" i="121" s="1"/>
  <c r="BF14" i="121"/>
  <c r="BD14" i="121" s="1"/>
  <c r="BQ14" i="121" s="1"/>
  <c r="BL40" i="121"/>
  <c r="BO40" i="121" s="1"/>
  <c r="BC69" i="121"/>
  <c r="BB69" i="121"/>
  <c r="AY69" i="121"/>
  <c r="AW69" i="121" s="1"/>
  <c r="BS69" i="121"/>
  <c r="BE80" i="121"/>
  <c r="BK80" i="121" s="1"/>
  <c r="BS80" i="121" s="1"/>
  <c r="AX91" i="121"/>
  <c r="BB91" i="121"/>
  <c r="AY91" i="121"/>
  <c r="AY49" i="121"/>
  <c r="AX49" i="121"/>
  <c r="BB49" i="121"/>
  <c r="BC80" i="121"/>
  <c r="BB80" i="121"/>
  <c r="AY80" i="121"/>
  <c r="AW80" i="121" s="1"/>
  <c r="BM71" i="121"/>
  <c r="BZ15" i="121"/>
  <c r="BZ24" i="121"/>
  <c r="BZ42" i="121"/>
  <c r="BC32" i="121"/>
  <c r="BE32" i="121"/>
  <c r="AW32" i="121"/>
  <c r="BE55" i="121"/>
  <c r="BK55" i="121" s="1"/>
  <c r="BS55" i="121" s="1"/>
  <c r="BC55" i="121"/>
  <c r="AW55" i="121"/>
  <c r="BM48" i="121"/>
  <c r="BZ41" i="121"/>
  <c r="BT99" i="121" s="1"/>
  <c r="BZ52" i="121"/>
  <c r="BC76" i="121"/>
  <c r="BB76" i="121"/>
  <c r="AY76" i="121"/>
  <c r="AW76" i="121" s="1"/>
  <c r="BF92" i="121"/>
  <c r="BL92" i="121" s="1"/>
  <c r="BI92" i="121"/>
  <c r="BN92" i="121" s="1"/>
  <c r="BE92" i="121"/>
  <c r="BK92" i="121" s="1"/>
  <c r="AW92" i="121"/>
  <c r="BD84" i="121"/>
  <c r="BJ83" i="121"/>
  <c r="BM77" i="121"/>
  <c r="BJ60" i="121"/>
  <c r="BI60" i="121"/>
  <c r="BN60" i="121" s="1"/>
  <c r="BF60" i="121"/>
  <c r="BL60" i="121" s="1"/>
  <c r="AW60" i="121"/>
  <c r="BK60" i="121"/>
  <c r="BK48" i="121"/>
  <c r="BJ39" i="121"/>
  <c r="BI39" i="121"/>
  <c r="BN39" i="121" s="1"/>
  <c r="BF39" i="121"/>
  <c r="BD39" i="121" s="1"/>
  <c r="BQ39" i="121" s="1"/>
  <c r="BK39" i="121"/>
  <c r="BM37" i="121"/>
  <c r="BF30" i="121"/>
  <c r="BD30" i="121" s="1"/>
  <c r="BQ30" i="121" s="1"/>
  <c r="BI30" i="121"/>
  <c r="BN30" i="121" s="1"/>
  <c r="BJ30" i="121"/>
  <c r="BK30" i="121"/>
  <c r="BF28" i="121"/>
  <c r="BL28" i="121" s="1"/>
  <c r="BJ28" i="121"/>
  <c r="BI28" i="121"/>
  <c r="BN28" i="121" s="1"/>
  <c r="BK28" i="121"/>
  <c r="AW23" i="121"/>
  <c r="BE23" i="121"/>
  <c r="BK23" i="121" s="1"/>
  <c r="BC23" i="121"/>
  <c r="BI20" i="121"/>
  <c r="BN20" i="121" s="1"/>
  <c r="BF20" i="121"/>
  <c r="BL20" i="121" s="1"/>
  <c r="BE20" i="121"/>
  <c r="AW20" i="121"/>
  <c r="BK84" i="121"/>
  <c r="BJ84" i="121"/>
  <c r="BI85" i="121"/>
  <c r="BN85" i="121" s="1"/>
  <c r="BF85" i="121"/>
  <c r="BL85" i="121" s="1"/>
  <c r="AW85" i="121"/>
  <c r="BE85" i="121"/>
  <c r="BK86" i="121"/>
  <c r="BF86" i="121"/>
  <c r="BL86" i="121" s="1"/>
  <c r="BJ86" i="121"/>
  <c r="BI86" i="121"/>
  <c r="BN86" i="121" s="1"/>
  <c r="BL87" i="121"/>
  <c r="BO87" i="121" s="1"/>
  <c r="BR87" i="121" s="1"/>
  <c r="BT87" i="121"/>
  <c r="BU87" i="121" s="1"/>
  <c r="BV87" i="121" s="1"/>
  <c r="BD88" i="121"/>
  <c r="BK88" i="121"/>
  <c r="BJ88" i="121"/>
  <c r="BF89" i="121"/>
  <c r="BL89" i="121" s="1"/>
  <c r="BI89" i="121"/>
  <c r="BN89" i="121" s="1"/>
  <c r="BZ89" i="121"/>
  <c r="AW89" i="121"/>
  <c r="BE89" i="121"/>
  <c r="AW90" i="121"/>
  <c r="BE90" i="121"/>
  <c r="BK90" i="121" s="1"/>
  <c r="BC90" i="121"/>
  <c r="BC77" i="121"/>
  <c r="BB77" i="121"/>
  <c r="AY77" i="121"/>
  <c r="BY77" i="121"/>
  <c r="BE77" i="121"/>
  <c r="BC78" i="121"/>
  <c r="BB78" i="121"/>
  <c r="AY78" i="121"/>
  <c r="BS78" i="121"/>
  <c r="BC79" i="121"/>
  <c r="BB79" i="121"/>
  <c r="AY79" i="121"/>
  <c r="AW79" i="121" s="1"/>
  <c r="BK79" i="121"/>
  <c r="BS79" i="121" s="1"/>
  <c r="BJ81" i="121"/>
  <c r="BI81" i="121"/>
  <c r="BN81" i="121" s="1"/>
  <c r="BF81" i="121"/>
  <c r="BD81" i="121" s="1"/>
  <c r="BQ81" i="121" s="1"/>
  <c r="BS81" i="121"/>
  <c r="BJ74" i="121"/>
  <c r="BI74" i="121"/>
  <c r="BN74" i="121" s="1"/>
  <c r="BF74" i="121"/>
  <c r="BD74" i="121" s="1"/>
  <c r="BQ74" i="121" s="1"/>
  <c r="BS75" i="121"/>
  <c r="BJ75" i="121"/>
  <c r="BI75" i="121"/>
  <c r="BN75" i="121" s="1"/>
  <c r="BF75" i="121"/>
  <c r="BD75" i="121" s="1"/>
  <c r="BQ75" i="121" s="1"/>
  <c r="BZ70" i="121"/>
  <c r="BM70" i="121"/>
  <c r="BC70" i="121"/>
  <c r="BB70" i="121"/>
  <c r="AY70" i="121"/>
  <c r="AW70" i="121" s="1"/>
  <c r="BK70" i="121"/>
  <c r="AW71" i="121"/>
  <c r="BI71" i="121"/>
  <c r="BN71" i="121" s="1"/>
  <c r="BF71" i="121"/>
  <c r="BS66" i="121"/>
  <c r="BI66" i="121"/>
  <c r="BN66" i="121" s="1"/>
  <c r="BF66" i="121"/>
  <c r="BD66" i="121" s="1"/>
  <c r="BQ66" i="121" s="1"/>
  <c r="BJ66" i="121"/>
  <c r="BJ67" i="121"/>
  <c r="BI67" i="121"/>
  <c r="BN67" i="121" s="1"/>
  <c r="BF67" i="121"/>
  <c r="BD67" i="121" s="1"/>
  <c r="BQ67" i="121" s="1"/>
  <c r="BK67" i="121"/>
  <c r="BC52" i="121"/>
  <c r="BB52" i="121"/>
  <c r="AY52" i="121"/>
  <c r="AW52" i="121" s="1"/>
  <c r="BY52" i="121"/>
  <c r="BK52" i="121"/>
  <c r="AW53" i="121"/>
  <c r="BZ54" i="121"/>
  <c r="BE54" i="121"/>
  <c r="BK54" i="121" s="1"/>
  <c r="BC54" i="121"/>
  <c r="BB54" i="121"/>
  <c r="AY54" i="121"/>
  <c r="BZ56" i="121"/>
  <c r="AW56" i="121"/>
  <c r="BK56" i="121"/>
  <c r="BY57" i="121"/>
  <c r="AY57" i="121"/>
  <c r="BC57" i="121"/>
  <c r="BB57" i="121"/>
  <c r="BZ57" i="121"/>
  <c r="BF59" i="121"/>
  <c r="BD59" i="121" s="1"/>
  <c r="BQ59" i="121" s="1"/>
  <c r="BJ59" i="121"/>
  <c r="BI59" i="121"/>
  <c r="BN59" i="121" s="1"/>
  <c r="BZ59" i="121"/>
  <c r="BI45" i="121"/>
  <c r="BN45" i="121" s="1"/>
  <c r="BF45" i="121"/>
  <c r="BL45" i="121" s="1"/>
  <c r="AW45" i="121"/>
  <c r="BE45" i="121"/>
  <c r="BZ45" i="121"/>
  <c r="BT40" i="121"/>
  <c r="BU40" i="121" s="1"/>
  <c r="BV40" i="121" s="1"/>
  <c r="BB41" i="121"/>
  <c r="AY41" i="121"/>
  <c r="AX41" i="121"/>
  <c r="BC41" i="121" s="1"/>
  <c r="AY42" i="121"/>
  <c r="AX42" i="121"/>
  <c r="BC42" i="121" s="1"/>
  <c r="BB42" i="121"/>
  <c r="BF33" i="121"/>
  <c r="BL33" i="121" s="1"/>
  <c r="BI33" i="121"/>
  <c r="BN33" i="121" s="1"/>
  <c r="AW33" i="121"/>
  <c r="BE33" i="121"/>
  <c r="BK33" i="121" s="1"/>
  <c r="BD34" i="121"/>
  <c r="BQ34" i="121" s="1"/>
  <c r="BK34" i="121"/>
  <c r="BJ34" i="121"/>
  <c r="BZ35" i="121"/>
  <c r="BY35" i="121"/>
  <c r="BB35" i="121"/>
  <c r="AY35" i="121"/>
  <c r="AX35" i="121"/>
  <c r="BC35" i="121" s="1"/>
  <c r="BC37" i="121"/>
  <c r="BB37" i="121"/>
  <c r="AY37" i="121"/>
  <c r="AW37" i="121" s="1"/>
  <c r="AP37" i="121"/>
  <c r="BZ37" i="121" s="1"/>
  <c r="BY37" i="121"/>
  <c r="BK37" i="121"/>
  <c r="BS37" i="121" s="1"/>
  <c r="BZ38" i="121"/>
  <c r="BI38" i="121"/>
  <c r="BN38" i="121" s="1"/>
  <c r="BF38" i="121"/>
  <c r="BL38" i="121" s="1"/>
  <c r="BO38" i="121" s="1"/>
  <c r="BJ38" i="121"/>
  <c r="AY31" i="121"/>
  <c r="AX31" i="121"/>
  <c r="BC31" i="121" s="1"/>
  <c r="BB31" i="121"/>
  <c r="BY31" i="121"/>
  <c r="BZ31" i="121"/>
  <c r="AX24" i="121"/>
  <c r="BB24" i="121"/>
  <c r="AY24" i="121"/>
  <c r="BF25" i="121"/>
  <c r="BL25" i="121" s="1"/>
  <c r="BI25" i="121"/>
  <c r="BN25" i="121" s="1"/>
  <c r="AW25" i="121"/>
  <c r="BE25" i="121"/>
  <c r="BJ25" i="121" s="1"/>
  <c r="BF19" i="121"/>
  <c r="BL19" i="121" s="1"/>
  <c r="BI19" i="121"/>
  <c r="BN19" i="121" s="1"/>
  <c r="AW19" i="121"/>
  <c r="BE19" i="121"/>
  <c r="BY16" i="121"/>
  <c r="BC16" i="121"/>
  <c r="BB16" i="121"/>
  <c r="AY16" i="121"/>
  <c r="BK16" i="121"/>
  <c r="BZ11" i="121"/>
  <c r="BS11" i="121"/>
  <c r="BC11" i="121"/>
  <c r="BB11" i="121"/>
  <c r="AY11" i="121"/>
  <c r="AW11" i="121" s="1"/>
  <c r="BF12" i="121"/>
  <c r="BD12" i="121" s="1"/>
  <c r="BJ12" i="121"/>
  <c r="BI12" i="121"/>
  <c r="BN12" i="121" s="1"/>
  <c r="AW12" i="121"/>
  <c r="BZ12" i="121"/>
  <c r="BY13" i="121"/>
  <c r="BC13" i="121"/>
  <c r="BB13" i="121"/>
  <c r="AY13" i="121"/>
  <c r="AW13" i="121" s="1"/>
  <c r="BE13" i="121"/>
  <c r="BK13" i="121" s="1"/>
  <c r="BS10" i="121"/>
  <c r="BF10" i="121"/>
  <c r="BJ10" i="121"/>
  <c r="BI10" i="121"/>
  <c r="C11" i="109"/>
  <c r="E11" i="109" s="1"/>
  <c r="V73" i="121"/>
  <c r="AC73" i="121" s="1"/>
  <c r="C86" i="61"/>
  <c r="C87" i="61" s="1"/>
  <c r="C88" i="61" s="1"/>
  <c r="R88" i="61" s="1"/>
  <c r="S88" i="61" s="1"/>
  <c r="T88" i="61" s="1"/>
  <c r="C98" i="61"/>
  <c r="C100" i="61" s="1"/>
  <c r="C102" i="61" s="1"/>
  <c r="R75" i="61"/>
  <c r="R84" i="61"/>
  <c r="V75" i="61"/>
  <c r="AP18" i="121"/>
  <c r="BB18" i="121"/>
  <c r="AY18" i="121"/>
  <c r="AX18" i="121"/>
  <c r="BQ88" i="121" l="1"/>
  <c r="BQ84" i="121"/>
  <c r="C86" i="108"/>
  <c r="BR40" i="121"/>
  <c r="BD83" i="121"/>
  <c r="BQ83" i="121" s="1"/>
  <c r="C69" i="108"/>
  <c r="C71" i="108" s="1"/>
  <c r="C9" i="109"/>
  <c r="E9" i="109" s="1"/>
  <c r="E13" i="109"/>
  <c r="F13" i="109" s="1"/>
  <c r="H13" i="109" s="1"/>
  <c r="E32" i="116"/>
  <c r="F32" i="116" s="1"/>
  <c r="E30" i="116"/>
  <c r="E31" i="116" s="1"/>
  <c r="F31" i="116" s="1"/>
  <c r="D69" i="108"/>
  <c r="BH29" i="121"/>
  <c r="BD20" i="121"/>
  <c r="AD29" i="121"/>
  <c r="AB29" i="121" s="1"/>
  <c r="AM29" i="121"/>
  <c r="BA29" i="121"/>
  <c r="AA29" i="121"/>
  <c r="AT29" i="121"/>
  <c r="AG29" i="121"/>
  <c r="AF29" i="121"/>
  <c r="C10" i="109"/>
  <c r="F12" i="109"/>
  <c r="H12" i="109" s="1"/>
  <c r="V22" i="121"/>
  <c r="BJ58" i="121"/>
  <c r="BT58" i="121" s="1"/>
  <c r="BU58" i="121" s="1"/>
  <c r="BV58" i="121" s="1"/>
  <c r="BF58" i="121"/>
  <c r="BL58" i="121" s="1"/>
  <c r="BO58" i="121" s="1"/>
  <c r="BI58" i="121"/>
  <c r="BN58" i="121" s="1"/>
  <c r="BI53" i="121"/>
  <c r="BN53" i="121" s="1"/>
  <c r="BF63" i="121"/>
  <c r="BJ63" i="121"/>
  <c r="BT63" i="121" s="1"/>
  <c r="BU63" i="121" s="1"/>
  <c r="BV63" i="121" s="1"/>
  <c r="BI63" i="121"/>
  <c r="BN63" i="121" s="1"/>
  <c r="BJ53" i="121"/>
  <c r="BT53" i="121" s="1"/>
  <c r="BU53" i="121" s="1"/>
  <c r="BV53" i="121" s="1"/>
  <c r="BL67" i="121"/>
  <c r="BO67" i="121" s="1"/>
  <c r="BR67" i="121" s="1"/>
  <c r="BF82" i="121"/>
  <c r="BD82" i="121" s="1"/>
  <c r="BQ82" i="121" s="1"/>
  <c r="BN10" i="121"/>
  <c r="BI82" i="121"/>
  <c r="BN82" i="121" s="1"/>
  <c r="BD71" i="121"/>
  <c r="BQ71" i="121" s="1"/>
  <c r="BL10" i="121"/>
  <c r="BO10" i="121" s="1"/>
  <c r="BJ71" i="121"/>
  <c r="BT71" i="121" s="1"/>
  <c r="BU71" i="121" s="1"/>
  <c r="BV71" i="121" s="1"/>
  <c r="E28" i="116"/>
  <c r="BF48" i="121"/>
  <c r="BD48" i="121" s="1"/>
  <c r="BQ48" i="121" s="1"/>
  <c r="BI48" i="121"/>
  <c r="BN48" i="121" s="1"/>
  <c r="BJ56" i="121"/>
  <c r="BM64" i="121"/>
  <c r="AJ64" i="121"/>
  <c r="AQ64" i="121" s="1"/>
  <c r="AX64" i="121" s="1"/>
  <c r="BE64" i="121" s="1"/>
  <c r="BK64" i="121" s="1"/>
  <c r="BS64" i="121" s="1"/>
  <c r="AB64" i="121"/>
  <c r="BX64" i="121" s="1"/>
  <c r="AN64" i="121"/>
  <c r="BI50" i="121"/>
  <c r="BN50" i="121" s="1"/>
  <c r="BF50" i="121"/>
  <c r="BL50" i="121" s="1"/>
  <c r="AW50" i="121"/>
  <c r="BE50" i="121"/>
  <c r="BF56" i="121"/>
  <c r="BL56" i="121" s="1"/>
  <c r="BO56" i="121" s="1"/>
  <c r="BC62" i="121"/>
  <c r="BE62" i="121"/>
  <c r="AW62" i="121"/>
  <c r="BD28" i="121"/>
  <c r="BQ28" i="121" s="1"/>
  <c r="BL14" i="121"/>
  <c r="BO14" i="121" s="1"/>
  <c r="BR14" i="121" s="1"/>
  <c r="BD25" i="121"/>
  <c r="BQ25" i="121" s="1"/>
  <c r="BQ12" i="121"/>
  <c r="BD89" i="121"/>
  <c r="BQ89" i="121" s="1"/>
  <c r="BF43" i="121"/>
  <c r="BL43" i="121" s="1"/>
  <c r="BI43" i="121"/>
  <c r="BN43" i="121" s="1"/>
  <c r="BF80" i="121"/>
  <c r="BJ80" i="121"/>
  <c r="BT80" i="121" s="1"/>
  <c r="BU80" i="121" s="1"/>
  <c r="BV80" i="121" s="1"/>
  <c r="BI80" i="121"/>
  <c r="BN80" i="121" s="1"/>
  <c r="BJ20" i="121"/>
  <c r="BL30" i="121"/>
  <c r="BO30" i="121" s="1"/>
  <c r="BR30" i="121" s="1"/>
  <c r="BP40" i="121"/>
  <c r="BQ53" i="121"/>
  <c r="BL39" i="121"/>
  <c r="BO39" i="121" s="1"/>
  <c r="BC91" i="121"/>
  <c r="AW91" i="121"/>
  <c r="BE91" i="121"/>
  <c r="BK91" i="121" s="1"/>
  <c r="BS91" i="121" s="1"/>
  <c r="BC44" i="121"/>
  <c r="BE44" i="121"/>
  <c r="AW44" i="121"/>
  <c r="BJ76" i="121"/>
  <c r="BI76" i="121"/>
  <c r="BN76" i="121" s="1"/>
  <c r="BF76" i="121"/>
  <c r="BI55" i="121"/>
  <c r="BN55" i="121" s="1"/>
  <c r="BJ55" i="121"/>
  <c r="BT55" i="121" s="1"/>
  <c r="BU55" i="121" s="1"/>
  <c r="BV55" i="121" s="1"/>
  <c r="BF55" i="121"/>
  <c r="BD60" i="121"/>
  <c r="BQ60" i="121" s="1"/>
  <c r="AW43" i="121"/>
  <c r="BE43" i="121"/>
  <c r="BF69" i="121"/>
  <c r="BD69" i="121" s="1"/>
  <c r="BQ69" i="121" s="1"/>
  <c r="BJ69" i="121"/>
  <c r="BI69" i="121"/>
  <c r="BN69" i="121" s="1"/>
  <c r="BK32" i="121"/>
  <c r="BK20" i="121"/>
  <c r="BO20" i="121" s="1"/>
  <c r="BF32" i="121"/>
  <c r="BL32" i="121" s="1"/>
  <c r="BI32" i="121"/>
  <c r="BN32" i="121" s="1"/>
  <c r="BJ32" i="121"/>
  <c r="BD19" i="121"/>
  <c r="BQ19" i="121" s="1"/>
  <c r="BQ20" i="121"/>
  <c r="BC49" i="121"/>
  <c r="AW49" i="121"/>
  <c r="BE49" i="121"/>
  <c r="BJ15" i="121"/>
  <c r="BT15" i="121" s="1"/>
  <c r="BU15" i="121" s="1"/>
  <c r="BV15" i="121" s="1"/>
  <c r="BF15" i="121"/>
  <c r="BI15" i="121"/>
  <c r="BN15" i="121" s="1"/>
  <c r="F11" i="109"/>
  <c r="H11" i="109" s="1"/>
  <c r="BD92" i="121"/>
  <c r="BQ92" i="121" s="1"/>
  <c r="BO92" i="121"/>
  <c r="BP92" i="121" s="1"/>
  <c r="BS92" i="121"/>
  <c r="BJ92" i="121"/>
  <c r="BD85" i="121"/>
  <c r="BQ85" i="121" s="1"/>
  <c r="BK85" i="121"/>
  <c r="BO85" i="121" s="1"/>
  <c r="BP85" i="121" s="1"/>
  <c r="BO83" i="121"/>
  <c r="BS83" i="121"/>
  <c r="BT83" i="121" s="1"/>
  <c r="BU83" i="121" s="1"/>
  <c r="BV83" i="121" s="1"/>
  <c r="BL81" i="121"/>
  <c r="BO81" i="121" s="1"/>
  <c r="BR81" i="121" s="1"/>
  <c r="BL75" i="121"/>
  <c r="BO75" i="121" s="1"/>
  <c r="BP75" i="121" s="1"/>
  <c r="BL74" i="121"/>
  <c r="BO74" i="121" s="1"/>
  <c r="BP74" i="121" s="1"/>
  <c r="BL71" i="121"/>
  <c r="BO71" i="121" s="1"/>
  <c r="BO60" i="121"/>
  <c r="BP60" i="121" s="1"/>
  <c r="BS60" i="121"/>
  <c r="BT60" i="121" s="1"/>
  <c r="BU60" i="121" s="1"/>
  <c r="BV60" i="121" s="1"/>
  <c r="BL59" i="121"/>
  <c r="BO59" i="121" s="1"/>
  <c r="BP59" i="121" s="1"/>
  <c r="BL53" i="121"/>
  <c r="BO53" i="121" s="1"/>
  <c r="BS48" i="121"/>
  <c r="BT48" i="121" s="1"/>
  <c r="BU48" i="121" s="1"/>
  <c r="BV48" i="121" s="1"/>
  <c r="BD45" i="121"/>
  <c r="BQ45" i="121" s="1"/>
  <c r="BS39" i="121"/>
  <c r="BT39" i="121" s="1"/>
  <c r="BU39" i="121" s="1"/>
  <c r="BV39" i="121" s="1"/>
  <c r="BD33" i="121"/>
  <c r="BQ33" i="121" s="1"/>
  <c r="BS30" i="121"/>
  <c r="BT30" i="121" s="1"/>
  <c r="BU30" i="121" s="1"/>
  <c r="BV30" i="121" s="1"/>
  <c r="BO28" i="121"/>
  <c r="BS28" i="121"/>
  <c r="BT28" i="121" s="1"/>
  <c r="BU28" i="121" s="1"/>
  <c r="BV28" i="121" s="1"/>
  <c r="BJ23" i="121"/>
  <c r="BI23" i="121"/>
  <c r="BN23" i="121" s="1"/>
  <c r="BF23" i="121"/>
  <c r="BL23" i="121" s="1"/>
  <c r="BO23" i="121" s="1"/>
  <c r="BS23" i="121"/>
  <c r="BJ19" i="121"/>
  <c r="BO84" i="121"/>
  <c r="BP84" i="121" s="1"/>
  <c r="BS84" i="121"/>
  <c r="BT84" i="121" s="1"/>
  <c r="BU84" i="121" s="1"/>
  <c r="BV84" i="121" s="1"/>
  <c r="BJ85" i="121"/>
  <c r="BO86" i="121"/>
  <c r="BP86" i="121" s="1"/>
  <c r="BS86" i="121"/>
  <c r="BT86" i="121" s="1"/>
  <c r="BU86" i="121" s="1"/>
  <c r="BV86" i="121" s="1"/>
  <c r="BD86" i="121"/>
  <c r="BQ86" i="121" s="1"/>
  <c r="BP87" i="121"/>
  <c r="BO88" i="121"/>
  <c r="BP88" i="121" s="1"/>
  <c r="BS88" i="121"/>
  <c r="BT88" i="121" s="1"/>
  <c r="BU88" i="121" s="1"/>
  <c r="BV88" i="121" s="1"/>
  <c r="BJ89" i="121"/>
  <c r="BK89" i="121"/>
  <c r="BS90" i="121"/>
  <c r="BJ90" i="121"/>
  <c r="BI90" i="121"/>
  <c r="BN90" i="121" s="1"/>
  <c r="BF90" i="121"/>
  <c r="BL90" i="121" s="1"/>
  <c r="BO90" i="121" s="1"/>
  <c r="BJ77" i="121"/>
  <c r="BI77" i="121"/>
  <c r="BN77" i="121" s="1"/>
  <c r="BF77" i="121"/>
  <c r="BL77" i="121" s="1"/>
  <c r="BK77" i="121"/>
  <c r="AW77" i="121"/>
  <c r="AW78" i="121"/>
  <c r="BI78" i="121"/>
  <c r="BN78" i="121" s="1"/>
  <c r="BJ78" i="121"/>
  <c r="BF78" i="121"/>
  <c r="BD78" i="121" s="1"/>
  <c r="BF79" i="121"/>
  <c r="BD79" i="121" s="1"/>
  <c r="BQ79" i="121" s="1"/>
  <c r="BJ79" i="121"/>
  <c r="BI79" i="121"/>
  <c r="BN79" i="121" s="1"/>
  <c r="BT81" i="121"/>
  <c r="BU81" i="121" s="1"/>
  <c r="BV81" i="121" s="1"/>
  <c r="BT82" i="121"/>
  <c r="BU82" i="121" s="1"/>
  <c r="BV82" i="121" s="1"/>
  <c r="BT74" i="121"/>
  <c r="BU74" i="121" s="1"/>
  <c r="BV74" i="121" s="1"/>
  <c r="BT75" i="121"/>
  <c r="BU75" i="121" s="1"/>
  <c r="BV75" i="121" s="1"/>
  <c r="BJ70" i="121"/>
  <c r="BI70" i="121"/>
  <c r="BN70" i="121" s="1"/>
  <c r="BF70" i="121"/>
  <c r="BD70" i="121" s="1"/>
  <c r="BQ70" i="121" s="1"/>
  <c r="BS70" i="121"/>
  <c r="BL66" i="121"/>
  <c r="BO66" i="121" s="1"/>
  <c r="BP66" i="121" s="1"/>
  <c r="BT66" i="121"/>
  <c r="BU66" i="121" s="1"/>
  <c r="BV66" i="121" s="1"/>
  <c r="BS67" i="121"/>
  <c r="BT67" i="121" s="1"/>
  <c r="BU67" i="121" s="1"/>
  <c r="BV67" i="121" s="1"/>
  <c r="BJ52" i="121"/>
  <c r="BI52" i="121"/>
  <c r="BN52" i="121" s="1"/>
  <c r="BF52" i="121"/>
  <c r="BD52" i="121" s="1"/>
  <c r="BQ52" i="121" s="1"/>
  <c r="BS52" i="121"/>
  <c r="BF54" i="121"/>
  <c r="BD54" i="121" s="1"/>
  <c r="BJ54" i="121"/>
  <c r="BI54" i="121"/>
  <c r="BN54" i="121" s="1"/>
  <c r="AW54" i="121"/>
  <c r="BS54" i="121"/>
  <c r="BS56" i="121"/>
  <c r="BI57" i="121"/>
  <c r="BN57" i="121" s="1"/>
  <c r="BF57" i="121"/>
  <c r="BD57" i="121" s="1"/>
  <c r="BJ57" i="121"/>
  <c r="AW57" i="121"/>
  <c r="BT59" i="121"/>
  <c r="BU59" i="121" s="1"/>
  <c r="BV59" i="121" s="1"/>
  <c r="BK45" i="121"/>
  <c r="BJ45" i="121"/>
  <c r="BI41" i="121"/>
  <c r="BN41" i="121" s="1"/>
  <c r="BF41" i="121"/>
  <c r="BL41" i="121" s="1"/>
  <c r="AW41" i="121"/>
  <c r="BE41" i="121"/>
  <c r="BI42" i="121"/>
  <c r="BN42" i="121" s="1"/>
  <c r="BF42" i="121"/>
  <c r="BL42" i="121" s="1"/>
  <c r="AW42" i="121"/>
  <c r="BE42" i="121"/>
  <c r="BK42" i="121" s="1"/>
  <c r="BO33" i="121"/>
  <c r="BP33" i="121" s="1"/>
  <c r="BS33" i="121"/>
  <c r="BJ33" i="121"/>
  <c r="BO34" i="121"/>
  <c r="BP34" i="121" s="1"/>
  <c r="BS34" i="121"/>
  <c r="BT34" i="121" s="1"/>
  <c r="BU34" i="121" s="1"/>
  <c r="BV34" i="121" s="1"/>
  <c r="BI35" i="121"/>
  <c r="BN35" i="121" s="1"/>
  <c r="BF35" i="121"/>
  <c r="BL35" i="121" s="1"/>
  <c r="AW35" i="121"/>
  <c r="BE35" i="121"/>
  <c r="BJ35" i="121" s="1"/>
  <c r="BJ37" i="121"/>
  <c r="BI37" i="121"/>
  <c r="BN37" i="121" s="1"/>
  <c r="BF37" i="121"/>
  <c r="BD37" i="121" s="1"/>
  <c r="BQ37" i="121" s="1"/>
  <c r="BD38" i="121"/>
  <c r="BQ38" i="121" s="1"/>
  <c r="BR38" i="121" s="1"/>
  <c r="BT38" i="121"/>
  <c r="BU38" i="121" s="1"/>
  <c r="BV38" i="121" s="1"/>
  <c r="BP38" i="121"/>
  <c r="BI31" i="121"/>
  <c r="BN31" i="121" s="1"/>
  <c r="BF31" i="121"/>
  <c r="BL31" i="121" s="1"/>
  <c r="AW31" i="121"/>
  <c r="BE31" i="121"/>
  <c r="AW24" i="121"/>
  <c r="BE24" i="121"/>
  <c r="BC24" i="121"/>
  <c r="BK25" i="121"/>
  <c r="BK19" i="121"/>
  <c r="BJ16" i="121"/>
  <c r="BI16" i="121"/>
  <c r="BN16" i="121" s="1"/>
  <c r="BF16" i="121"/>
  <c r="BD16" i="121" s="1"/>
  <c r="AW16" i="121"/>
  <c r="BS16" i="121"/>
  <c r="BF11" i="121"/>
  <c r="BD11" i="121" s="1"/>
  <c r="BQ11" i="121" s="1"/>
  <c r="BJ11" i="121"/>
  <c r="BI11" i="121"/>
  <c r="BN11" i="121" s="1"/>
  <c r="BT12" i="121"/>
  <c r="BU12" i="121" s="1"/>
  <c r="BV12" i="121" s="1"/>
  <c r="BL12" i="121"/>
  <c r="BO12" i="121" s="1"/>
  <c r="BS13" i="121"/>
  <c r="BJ13" i="121"/>
  <c r="BI13" i="121"/>
  <c r="BN13" i="121" s="1"/>
  <c r="BF13" i="121"/>
  <c r="BD13" i="121" s="1"/>
  <c r="BQ13" i="121" s="1"/>
  <c r="BT10" i="121"/>
  <c r="BU10" i="121" s="1"/>
  <c r="BV10" i="121" s="1"/>
  <c r="BD10" i="121"/>
  <c r="BQ10" i="121" s="1"/>
  <c r="C89" i="61"/>
  <c r="C90" i="61" s="1"/>
  <c r="AH29" i="121"/>
  <c r="AJ29" i="121"/>
  <c r="BH73" i="121"/>
  <c r="AD73" i="121"/>
  <c r="AB73" i="121" s="1"/>
  <c r="AF73" i="121"/>
  <c r="AT73" i="121"/>
  <c r="AG73" i="121"/>
  <c r="BA73" i="121"/>
  <c r="AM73" i="121"/>
  <c r="AA73" i="121"/>
  <c r="C106" i="61"/>
  <c r="C103" i="61"/>
  <c r="AH73" i="121"/>
  <c r="AJ73" i="121"/>
  <c r="R98" i="61"/>
  <c r="R100" i="61" s="1"/>
  <c r="R102" i="61" s="1"/>
  <c r="T89" i="61"/>
  <c r="T90" i="61" s="1"/>
  <c r="U88" i="61"/>
  <c r="U89" i="61" s="1"/>
  <c r="U90" i="61" s="1"/>
  <c r="BE18" i="121"/>
  <c r="BK18" i="121" s="1"/>
  <c r="AW18" i="121"/>
  <c r="BC18" i="121"/>
  <c r="BZ18" i="121"/>
  <c r="BP58" i="121" l="1"/>
  <c r="BL82" i="121"/>
  <c r="BO82" i="121" s="1"/>
  <c r="BR82" i="121" s="1"/>
  <c r="V17" i="121"/>
  <c r="AG17" i="121" s="1"/>
  <c r="L21" i="121"/>
  <c r="D59" i="108"/>
  <c r="D16" i="109"/>
  <c r="E8" i="116" s="1"/>
  <c r="F30" i="116"/>
  <c r="L36" i="121"/>
  <c r="V36" i="121" s="1"/>
  <c r="BD58" i="121"/>
  <c r="BQ58" i="121" s="1"/>
  <c r="BR58" i="121" s="1"/>
  <c r="BP53" i="121"/>
  <c r="C88" i="108"/>
  <c r="BP10" i="121"/>
  <c r="BM29" i="121"/>
  <c r="BX29" i="121"/>
  <c r="AF22" i="121"/>
  <c r="AA22" i="121"/>
  <c r="AC22" i="121"/>
  <c r="AD22" i="121"/>
  <c r="BA22" i="121"/>
  <c r="BH22" i="121"/>
  <c r="AM22" i="121"/>
  <c r="AT22" i="121"/>
  <c r="AG22" i="121"/>
  <c r="F10" i="109"/>
  <c r="H10" i="109" s="1"/>
  <c r="BT56" i="121"/>
  <c r="BU56" i="121" s="1"/>
  <c r="BV56" i="121" s="1"/>
  <c r="BL48" i="121"/>
  <c r="BO48" i="121" s="1"/>
  <c r="BR48" i="121" s="1"/>
  <c r="BD63" i="121"/>
  <c r="BQ63" i="121" s="1"/>
  <c r="BL63" i="121"/>
  <c r="BO63" i="121" s="1"/>
  <c r="BP63" i="121" s="1"/>
  <c r="BS85" i="121"/>
  <c r="BT85" i="121" s="1"/>
  <c r="BU85" i="121" s="1"/>
  <c r="BV85" i="121" s="1"/>
  <c r="BR10" i="121"/>
  <c r="F28" i="116"/>
  <c r="C92" i="108"/>
  <c r="BR20" i="121"/>
  <c r="C59" i="108"/>
  <c r="AC17" i="121"/>
  <c r="V21" i="121"/>
  <c r="C73" i="108"/>
  <c r="AO64" i="121"/>
  <c r="AV64" i="121" s="1"/>
  <c r="BB64" i="121" s="1"/>
  <c r="AI64" i="121"/>
  <c r="BY64" i="121" s="1"/>
  <c r="BK50" i="121"/>
  <c r="BD50" i="121"/>
  <c r="BQ50" i="121" s="1"/>
  <c r="BD56" i="121"/>
  <c r="BQ56" i="121" s="1"/>
  <c r="BR56" i="121" s="1"/>
  <c r="BR85" i="121"/>
  <c r="BJ50" i="121"/>
  <c r="BD43" i="121"/>
  <c r="BQ43" i="121" s="1"/>
  <c r="BR53" i="121"/>
  <c r="BP14" i="121"/>
  <c r="BR28" i="121"/>
  <c r="BL11" i="121"/>
  <c r="BO11" i="121" s="1"/>
  <c r="BP11" i="121" s="1"/>
  <c r="BK43" i="121"/>
  <c r="BO43" i="121" s="1"/>
  <c r="BP43" i="121" s="1"/>
  <c r="BR71" i="121"/>
  <c r="BP71" i="121"/>
  <c r="BR59" i="121"/>
  <c r="BK62" i="121"/>
  <c r="BR60" i="121"/>
  <c r="BF62" i="121"/>
  <c r="BL62" i="121" s="1"/>
  <c r="BI62" i="121"/>
  <c r="BN62" i="121" s="1"/>
  <c r="BJ62" i="121"/>
  <c r="BS20" i="121"/>
  <c r="BT20" i="121" s="1"/>
  <c r="BU20" i="121" s="1"/>
  <c r="BV20" i="121" s="1"/>
  <c r="BP28" i="121"/>
  <c r="BR12" i="121"/>
  <c r="BP81" i="121"/>
  <c r="BP39" i="121"/>
  <c r="BR39" i="121"/>
  <c r="BP23" i="121"/>
  <c r="BL76" i="121"/>
  <c r="BO76" i="121" s="1"/>
  <c r="BP76" i="121" s="1"/>
  <c r="BD76" i="121"/>
  <c r="BQ76" i="121" s="1"/>
  <c r="BR74" i="121"/>
  <c r="BR75" i="121"/>
  <c r="BJ49" i="121"/>
  <c r="BK49" i="121"/>
  <c r="BI91" i="121"/>
  <c r="BN91" i="121" s="1"/>
  <c r="BJ91" i="121"/>
  <c r="BT91" i="121" s="1"/>
  <c r="BU91" i="121" s="1"/>
  <c r="BV91" i="121" s="1"/>
  <c r="BF91" i="121"/>
  <c r="BI49" i="121"/>
  <c r="BN49" i="121" s="1"/>
  <c r="BF49" i="121"/>
  <c r="BL49" i="121" s="1"/>
  <c r="BO32" i="121"/>
  <c r="BP32" i="121" s="1"/>
  <c r="BS32" i="121"/>
  <c r="BT32" i="121" s="1"/>
  <c r="BU32" i="121" s="1"/>
  <c r="BV32" i="121" s="1"/>
  <c r="BJ43" i="121"/>
  <c r="BD77" i="121"/>
  <c r="BQ77" i="121" s="1"/>
  <c r="BD32" i="121"/>
  <c r="BQ32" i="121" s="1"/>
  <c r="BJ44" i="121"/>
  <c r="BK44" i="121"/>
  <c r="BT76" i="121"/>
  <c r="BU76" i="121" s="1"/>
  <c r="BV76" i="121" s="1"/>
  <c r="BD31" i="121"/>
  <c r="BQ31" i="121" s="1"/>
  <c r="BD55" i="121"/>
  <c r="BQ55" i="121" s="1"/>
  <c r="BL55" i="121"/>
  <c r="BO55" i="121" s="1"/>
  <c r="BI44" i="121"/>
  <c r="BN44" i="121" s="1"/>
  <c r="BF44" i="121"/>
  <c r="BL44" i="121" s="1"/>
  <c r="BT69" i="121"/>
  <c r="BU69" i="121" s="1"/>
  <c r="BV69" i="121" s="1"/>
  <c r="BL69" i="121"/>
  <c r="BO69" i="121" s="1"/>
  <c r="BP69" i="121" s="1"/>
  <c r="BD80" i="121"/>
  <c r="BQ80" i="121" s="1"/>
  <c r="BL80" i="121"/>
  <c r="BO80" i="121" s="1"/>
  <c r="BP80" i="121" s="1"/>
  <c r="BL37" i="121"/>
  <c r="BO37" i="121" s="1"/>
  <c r="BP37" i="121" s="1"/>
  <c r="BP67" i="121"/>
  <c r="BD15" i="121"/>
  <c r="BQ15" i="121" s="1"/>
  <c r="BL15" i="121"/>
  <c r="BO15" i="121" s="1"/>
  <c r="BP15" i="121" s="1"/>
  <c r="BR92" i="121"/>
  <c r="BT92" i="121"/>
  <c r="BU92" i="121" s="1"/>
  <c r="BV92" i="121" s="1"/>
  <c r="BR88" i="121"/>
  <c r="BP83" i="121"/>
  <c r="BR83" i="121"/>
  <c r="BQ57" i="121"/>
  <c r="BL54" i="121"/>
  <c r="BO54" i="121" s="1"/>
  <c r="BP54" i="121" s="1"/>
  <c r="BR34" i="121"/>
  <c r="BR33" i="121"/>
  <c r="BP30" i="121"/>
  <c r="BD23" i="121"/>
  <c r="BQ23" i="121" s="1"/>
  <c r="BR23" i="121" s="1"/>
  <c r="BT23" i="121"/>
  <c r="BU23" i="121" s="1"/>
  <c r="BV23" i="121" s="1"/>
  <c r="BP20" i="121"/>
  <c r="BQ16" i="121"/>
  <c r="BL13" i="121"/>
  <c r="BO13" i="121" s="1"/>
  <c r="BR13" i="121" s="1"/>
  <c r="BR84" i="121"/>
  <c r="BR86" i="121"/>
  <c r="BO89" i="121"/>
  <c r="BS89" i="121"/>
  <c r="BT89" i="121" s="1"/>
  <c r="BU89" i="121" s="1"/>
  <c r="BV89" i="121" s="1"/>
  <c r="BD90" i="121"/>
  <c r="BQ90" i="121" s="1"/>
  <c r="BR90" i="121" s="1"/>
  <c r="BP90" i="121"/>
  <c r="BT90" i="121"/>
  <c r="BU90" i="121" s="1"/>
  <c r="BV90" i="121" s="1"/>
  <c r="BO77" i="121"/>
  <c r="BP77" i="121" s="1"/>
  <c r="BS77" i="121"/>
  <c r="BT77" i="121" s="1"/>
  <c r="BU77" i="121" s="1"/>
  <c r="BV77" i="121" s="1"/>
  <c r="BT78" i="121"/>
  <c r="BU78" i="121" s="1"/>
  <c r="BV78" i="121" s="1"/>
  <c r="BL78" i="121"/>
  <c r="BO78" i="121" s="1"/>
  <c r="BP78" i="121" s="1"/>
  <c r="BQ78" i="121"/>
  <c r="BT79" i="121"/>
  <c r="BU79" i="121" s="1"/>
  <c r="BV79" i="121" s="1"/>
  <c r="BL79" i="121"/>
  <c r="BO79" i="121" s="1"/>
  <c r="BR79" i="121" s="1"/>
  <c r="BP82" i="121"/>
  <c r="BT70" i="121"/>
  <c r="BU70" i="121" s="1"/>
  <c r="BV70" i="121" s="1"/>
  <c r="BL70" i="121"/>
  <c r="BO70" i="121" s="1"/>
  <c r="BP70" i="121" s="1"/>
  <c r="BR66" i="121"/>
  <c r="BL52" i="121"/>
  <c r="BO52" i="121" s="1"/>
  <c r="BR52" i="121" s="1"/>
  <c r="BT52" i="121"/>
  <c r="BU52" i="121" s="1"/>
  <c r="BV52" i="121" s="1"/>
  <c r="BQ54" i="121"/>
  <c r="BT54" i="121"/>
  <c r="BU54" i="121" s="1"/>
  <c r="BV54" i="121" s="1"/>
  <c r="BP56" i="121"/>
  <c r="BL57" i="121"/>
  <c r="BO57" i="121" s="1"/>
  <c r="BT57" i="121"/>
  <c r="BU57" i="121" s="1"/>
  <c r="BV57" i="121" s="1"/>
  <c r="BO45" i="121"/>
  <c r="BS45" i="121"/>
  <c r="BT45" i="121" s="1"/>
  <c r="BU45" i="121" s="1"/>
  <c r="BV45" i="121" s="1"/>
  <c r="BD41" i="121"/>
  <c r="BQ41" i="121" s="1"/>
  <c r="BK41" i="121"/>
  <c r="BJ41" i="121"/>
  <c r="BD42" i="121"/>
  <c r="BQ42" i="121" s="1"/>
  <c r="BO42" i="121"/>
  <c r="BP42" i="121" s="1"/>
  <c r="BS42" i="121"/>
  <c r="BJ42" i="121"/>
  <c r="BT33" i="121"/>
  <c r="BU33" i="121" s="1"/>
  <c r="BV33" i="121" s="1"/>
  <c r="BD35" i="121"/>
  <c r="BQ35" i="121" s="1"/>
  <c r="BK35" i="121"/>
  <c r="BT37" i="121"/>
  <c r="BU37" i="121" s="1"/>
  <c r="BV37" i="121" s="1"/>
  <c r="BK31" i="121"/>
  <c r="BJ31" i="121"/>
  <c r="BF24" i="121"/>
  <c r="BL24" i="121" s="1"/>
  <c r="BJ24" i="121"/>
  <c r="BI24" i="121"/>
  <c r="BN24" i="121" s="1"/>
  <c r="BK24" i="121"/>
  <c r="BO25" i="121"/>
  <c r="BS25" i="121"/>
  <c r="BT25" i="121" s="1"/>
  <c r="BU25" i="121" s="1"/>
  <c r="BV25" i="121" s="1"/>
  <c r="BO19" i="121"/>
  <c r="BP19" i="121" s="1"/>
  <c r="BS19" i="121"/>
  <c r="BT19" i="121" s="1"/>
  <c r="BU19" i="121" s="1"/>
  <c r="BV19" i="121" s="1"/>
  <c r="BT16" i="121"/>
  <c r="BU16" i="121" s="1"/>
  <c r="BV16" i="121" s="1"/>
  <c r="BL16" i="121"/>
  <c r="BO16" i="121" s="1"/>
  <c r="BT11" i="121"/>
  <c r="BU11" i="121" s="1"/>
  <c r="BV11" i="121" s="1"/>
  <c r="BP12" i="121"/>
  <c r="BT13" i="121"/>
  <c r="BU13" i="121" s="1"/>
  <c r="BV13" i="121" s="1"/>
  <c r="C91" i="61"/>
  <c r="AQ29" i="121"/>
  <c r="AN29" i="121"/>
  <c r="AK29" i="121"/>
  <c r="AI29" i="121" s="1"/>
  <c r="AO29" i="121"/>
  <c r="BM73" i="121"/>
  <c r="BX73" i="121"/>
  <c r="AQ73" i="121"/>
  <c r="AX73" i="121" s="1"/>
  <c r="BE73" i="121" s="1"/>
  <c r="R106" i="61"/>
  <c r="V106" i="61" s="1"/>
  <c r="R103" i="61"/>
  <c r="R85" i="61" s="1"/>
  <c r="R86" i="61" s="1"/>
  <c r="AO73" i="121"/>
  <c r="AN73" i="121"/>
  <c r="AK73" i="121"/>
  <c r="AI73" i="121" s="1"/>
  <c r="BJ18" i="121"/>
  <c r="BI18" i="121"/>
  <c r="BN18" i="121" s="1"/>
  <c r="BF18" i="121"/>
  <c r="BL18" i="121" s="1"/>
  <c r="BO18" i="121" s="1"/>
  <c r="BS18" i="121"/>
  <c r="BH17" i="121" l="1"/>
  <c r="AT17" i="121"/>
  <c r="BA17" i="121"/>
  <c r="AA17" i="121"/>
  <c r="AF17" i="121"/>
  <c r="AM17" i="121"/>
  <c r="C32" i="61"/>
  <c r="C37" i="61" s="1"/>
  <c r="B4" i="118" s="1"/>
  <c r="L8" i="134" s="1"/>
  <c r="L65" i="121"/>
  <c r="AD17" i="121"/>
  <c r="AB17" i="121" s="1"/>
  <c r="E16" i="109"/>
  <c r="BA36" i="121"/>
  <c r="AA36" i="121"/>
  <c r="F15" i="116"/>
  <c r="AG36" i="121"/>
  <c r="AT36" i="121"/>
  <c r="AC36" i="121"/>
  <c r="AH36" i="121" s="1"/>
  <c r="AN36" i="121" s="1"/>
  <c r="AM36" i="121"/>
  <c r="BP48" i="121"/>
  <c r="BH36" i="121"/>
  <c r="BR63" i="121"/>
  <c r="AD36" i="121"/>
  <c r="AF36" i="121"/>
  <c r="S68" i="61"/>
  <c r="AH22" i="121"/>
  <c r="AB22" i="121"/>
  <c r="BX22" i="121" s="1"/>
  <c r="AJ22" i="121"/>
  <c r="BM22" i="121"/>
  <c r="L68" i="121"/>
  <c r="V68" i="121" s="1"/>
  <c r="AC21" i="121"/>
  <c r="AH21" i="121" s="1"/>
  <c r="AF21" i="121"/>
  <c r="AG21" i="121"/>
  <c r="AD21" i="121"/>
  <c r="AM21" i="121"/>
  <c r="AT21" i="121"/>
  <c r="BA21" i="121"/>
  <c r="BH21" i="121"/>
  <c r="AA21" i="121"/>
  <c r="H7" i="109"/>
  <c r="S69" i="61"/>
  <c r="BR54" i="121"/>
  <c r="BR37" i="121"/>
  <c r="AJ17" i="121"/>
  <c r="AQ17" i="121" s="1"/>
  <c r="AH17" i="121"/>
  <c r="AK17" i="121" s="1"/>
  <c r="C16" i="109"/>
  <c r="C93" i="108"/>
  <c r="AU64" i="121"/>
  <c r="AR64" i="121"/>
  <c r="AP64" i="121" s="1"/>
  <c r="BD62" i="121"/>
  <c r="BQ62" i="121" s="1"/>
  <c r="BR77" i="121"/>
  <c r="BS43" i="121"/>
  <c r="BT43" i="121" s="1"/>
  <c r="BU43" i="121" s="1"/>
  <c r="BV43" i="121" s="1"/>
  <c r="BO50" i="121"/>
  <c r="BP50" i="121" s="1"/>
  <c r="BS50" i="121"/>
  <c r="BT50" i="121" s="1"/>
  <c r="BU50" i="121" s="1"/>
  <c r="BV50" i="121" s="1"/>
  <c r="BR11" i="121"/>
  <c r="V109" i="61"/>
  <c r="V108" i="61"/>
  <c r="AY64" i="121"/>
  <c r="AW64" i="121" s="1"/>
  <c r="BC64" i="121"/>
  <c r="BF64" i="121" s="1"/>
  <c r="BD64" i="121" s="1"/>
  <c r="BR57" i="121"/>
  <c r="BR69" i="121"/>
  <c r="BO62" i="121"/>
  <c r="BP62" i="121" s="1"/>
  <c r="BS62" i="121"/>
  <c r="BT62" i="121" s="1"/>
  <c r="BU62" i="121" s="1"/>
  <c r="BV62" i="121" s="1"/>
  <c r="BP13" i="121"/>
  <c r="BS49" i="121"/>
  <c r="BT49" i="121" s="1"/>
  <c r="BU49" i="121" s="1"/>
  <c r="BV49" i="121" s="1"/>
  <c r="BO49" i="121"/>
  <c r="BP49" i="121" s="1"/>
  <c r="BR16" i="121"/>
  <c r="BR32" i="121"/>
  <c r="BD49" i="121"/>
  <c r="BQ49" i="121" s="1"/>
  <c r="BR15" i="121"/>
  <c r="BL91" i="121"/>
  <c r="BO91" i="121" s="1"/>
  <c r="BP91" i="121" s="1"/>
  <c r="BD91" i="121"/>
  <c r="BQ91" i="121" s="1"/>
  <c r="BR76" i="121"/>
  <c r="BD44" i="121"/>
  <c r="BQ44" i="121" s="1"/>
  <c r="BP57" i="121"/>
  <c r="BR78" i="121"/>
  <c r="BR80" i="121"/>
  <c r="BR55" i="121"/>
  <c r="BP55" i="121"/>
  <c r="BO44" i="121"/>
  <c r="BP44" i="121" s="1"/>
  <c r="BS44" i="121"/>
  <c r="BT44" i="121" s="1"/>
  <c r="BU44" i="121" s="1"/>
  <c r="BV44" i="121" s="1"/>
  <c r="BR43" i="121"/>
  <c r="BP52" i="121"/>
  <c r="BR89" i="121"/>
  <c r="BP89" i="121"/>
  <c r="BP79" i="121"/>
  <c r="BR70" i="121"/>
  <c r="BR45" i="121"/>
  <c r="BP45" i="121"/>
  <c r="BO41" i="121"/>
  <c r="BP41" i="121" s="1"/>
  <c r="BS41" i="121"/>
  <c r="BT41" i="121" s="1"/>
  <c r="BU41" i="121" s="1"/>
  <c r="BV41" i="121" s="1"/>
  <c r="BT42" i="121"/>
  <c r="BU42" i="121" s="1"/>
  <c r="BV42" i="121" s="1"/>
  <c r="BR42" i="121"/>
  <c r="BO35" i="121"/>
  <c r="BP35" i="121" s="1"/>
  <c r="BS35" i="121"/>
  <c r="BT35" i="121" s="1"/>
  <c r="BU35" i="121" s="1"/>
  <c r="BV35" i="121" s="1"/>
  <c r="BO31" i="121"/>
  <c r="BP31" i="121" s="1"/>
  <c r="BS31" i="121"/>
  <c r="BT31" i="121" s="1"/>
  <c r="BU31" i="121" s="1"/>
  <c r="BV31" i="121" s="1"/>
  <c r="BO24" i="121"/>
  <c r="BP24" i="121" s="1"/>
  <c r="BS24" i="121"/>
  <c r="BT24" i="121" s="1"/>
  <c r="BU24" i="121" s="1"/>
  <c r="BV24" i="121" s="1"/>
  <c r="BD24" i="121"/>
  <c r="BQ24" i="121" s="1"/>
  <c r="BP25" i="121"/>
  <c r="BR25" i="121"/>
  <c r="BR19" i="121"/>
  <c r="BP16" i="121"/>
  <c r="BY29" i="121"/>
  <c r="AX29" i="121"/>
  <c r="AR29" i="121"/>
  <c r="AP29" i="121" s="1"/>
  <c r="AU29" i="121"/>
  <c r="AV29" i="121"/>
  <c r="BY73" i="121"/>
  <c r="BK73" i="121"/>
  <c r="BS73" i="121" s="1"/>
  <c r="BD18" i="121"/>
  <c r="BQ18" i="121" s="1"/>
  <c r="BR18" i="121" s="1"/>
  <c r="AV73" i="121"/>
  <c r="AU73" i="121"/>
  <c r="AR73" i="121"/>
  <c r="AP73" i="121" s="1"/>
  <c r="R89" i="61"/>
  <c r="R90" i="61" s="1"/>
  <c r="R87" i="61"/>
  <c r="BP18" i="121"/>
  <c r="BT18" i="121"/>
  <c r="BU18" i="121" s="1"/>
  <c r="BV18" i="121" s="1"/>
  <c r="BM17" i="121" l="1"/>
  <c r="V65" i="121"/>
  <c r="AF65" i="121" s="1"/>
  <c r="AJ36" i="121"/>
  <c r="AQ36" i="121" s="1"/>
  <c r="AX36" i="121" s="1"/>
  <c r="BE36" i="121" s="1"/>
  <c r="BK36" i="121" s="1"/>
  <c r="BS36" i="121" s="1"/>
  <c r="AB36" i="121"/>
  <c r="BX36" i="121" s="1"/>
  <c r="AK36" i="121"/>
  <c r="M8" i="134"/>
  <c r="L3" i="134"/>
  <c r="BM36" i="121"/>
  <c r="S73" i="61"/>
  <c r="S74" i="61" s="1"/>
  <c r="S78" i="61" s="1"/>
  <c r="S82" i="61" s="1"/>
  <c r="S83" i="61" s="1"/>
  <c r="S75" i="61" s="1"/>
  <c r="AT65" i="121"/>
  <c r="AC65" i="121"/>
  <c r="AJ65" i="121" s="1"/>
  <c r="AQ65" i="121" s="1"/>
  <c r="AX65" i="121" s="1"/>
  <c r="BE65" i="121" s="1"/>
  <c r="BX17" i="121"/>
  <c r="AO22" i="121"/>
  <c r="AQ22" i="121"/>
  <c r="AK22" i="121"/>
  <c r="AI22" i="121" s="1"/>
  <c r="AN22" i="121"/>
  <c r="BR49" i="121"/>
  <c r="F9" i="109"/>
  <c r="AK21" i="121"/>
  <c r="AN21" i="121"/>
  <c r="BM21" i="121"/>
  <c r="AB21" i="121"/>
  <c r="BX21" i="121" s="1"/>
  <c r="AJ21" i="121"/>
  <c r="AQ21" i="121" s="1"/>
  <c r="AT68" i="121"/>
  <c r="AD68" i="121"/>
  <c r="M101" i="121" s="1"/>
  <c r="BH68" i="121"/>
  <c r="AF68" i="121"/>
  <c r="N101" i="121" s="1"/>
  <c r="AM68" i="121"/>
  <c r="AC68" i="121"/>
  <c r="AA68" i="121"/>
  <c r="BA68" i="121"/>
  <c r="AG68" i="121"/>
  <c r="O101" i="121" s="1"/>
  <c r="AI17" i="121"/>
  <c r="AN17" i="121"/>
  <c r="AO17" i="121"/>
  <c r="AV17" i="121" s="1"/>
  <c r="L8" i="121"/>
  <c r="BZ64" i="121"/>
  <c r="BR50" i="121"/>
  <c r="BR91" i="121"/>
  <c r="BQ64" i="121"/>
  <c r="BJ64" i="121"/>
  <c r="BT64" i="121" s="1"/>
  <c r="BU64" i="121" s="1"/>
  <c r="BV64" i="121" s="1"/>
  <c r="BI64" i="121"/>
  <c r="BN64" i="121" s="1"/>
  <c r="BR62" i="121"/>
  <c r="BR44" i="121"/>
  <c r="BL64" i="121"/>
  <c r="BO64" i="121" s="1"/>
  <c r="BR24" i="121"/>
  <c r="BR41" i="121"/>
  <c r="BR35" i="121"/>
  <c r="BR31" i="121"/>
  <c r="BZ29" i="121"/>
  <c r="AY29" i="121"/>
  <c r="AW29" i="121" s="1"/>
  <c r="BB29" i="121"/>
  <c r="BC29" i="121"/>
  <c r="BE29" i="121"/>
  <c r="BZ73" i="121"/>
  <c r="BB73" i="121"/>
  <c r="AY73" i="121"/>
  <c r="AW73" i="121" s="1"/>
  <c r="BC73" i="121"/>
  <c r="BA65" i="121" l="1"/>
  <c r="AH65" i="121"/>
  <c r="AO65" i="121" s="1"/>
  <c r="AR65" i="121" s="1"/>
  <c r="AP65" i="121" s="1"/>
  <c r="AM65" i="121"/>
  <c r="BH65" i="121"/>
  <c r="AA65" i="121"/>
  <c r="AD65" i="121"/>
  <c r="AB65" i="121" s="1"/>
  <c r="AG65" i="121"/>
  <c r="AO36" i="121"/>
  <c r="AV36" i="121" s="1"/>
  <c r="BB36" i="121" s="1"/>
  <c r="AI36" i="121"/>
  <c r="BY36" i="121" s="1"/>
  <c r="N8" i="134"/>
  <c r="M3" i="134"/>
  <c r="L47" i="121"/>
  <c r="V47" i="121" s="1"/>
  <c r="L51" i="121"/>
  <c r="V51" i="121" s="1"/>
  <c r="S84" i="61"/>
  <c r="S98" i="61" s="1"/>
  <c r="S100" i="61" s="1"/>
  <c r="S102" i="61" s="1"/>
  <c r="S103" i="61" s="1"/>
  <c r="S85" i="61" s="1"/>
  <c r="S86" i="61" s="1"/>
  <c r="BY22" i="121"/>
  <c r="AV22" i="121"/>
  <c r="AR22" i="121"/>
  <c r="AP22" i="121" s="1"/>
  <c r="AU22" i="121"/>
  <c r="H9" i="109"/>
  <c r="F16" i="109"/>
  <c r="AO21" i="121"/>
  <c r="AU21" i="121" s="1"/>
  <c r="AH68" i="121"/>
  <c r="AB68" i="121"/>
  <c r="BX68" i="121" s="1"/>
  <c r="AJ68" i="121"/>
  <c r="BM68" i="121"/>
  <c r="P101" i="121"/>
  <c r="Q101" i="121" s="1"/>
  <c r="AI21" i="121"/>
  <c r="BY21" i="121" s="1"/>
  <c r="L46" i="121"/>
  <c r="V27" i="121"/>
  <c r="AD27" i="121" s="1"/>
  <c r="V26" i="121"/>
  <c r="AR17" i="121"/>
  <c r="AP17" i="121" s="1"/>
  <c r="AU17" i="121"/>
  <c r="BY17" i="121"/>
  <c r="B8" i="118"/>
  <c r="AK65" i="121"/>
  <c r="AI65" i="121" s="1"/>
  <c r="AN65" i="121"/>
  <c r="BR64" i="121"/>
  <c r="BK65" i="121"/>
  <c r="BP64" i="121"/>
  <c r="AU65" i="121"/>
  <c r="L61" i="121"/>
  <c r="V61" i="121" s="1"/>
  <c r="L72" i="121"/>
  <c r="V72" i="121" s="1"/>
  <c r="M8" i="121"/>
  <c r="N8" i="121" s="1"/>
  <c r="L3" i="121"/>
  <c r="BK29" i="121"/>
  <c r="BS29" i="121" s="1"/>
  <c r="BB17" i="121"/>
  <c r="AY17" i="121"/>
  <c r="AX17" i="121"/>
  <c r="BC17" i="121" s="1"/>
  <c r="BI29" i="121"/>
  <c r="BN29" i="121" s="1"/>
  <c r="BJ29" i="121"/>
  <c r="BF29" i="121"/>
  <c r="BL29" i="121" s="1"/>
  <c r="BJ73" i="121"/>
  <c r="BT73" i="121" s="1"/>
  <c r="BU73" i="121" s="1"/>
  <c r="BV73" i="121" s="1"/>
  <c r="BI73" i="121"/>
  <c r="BN73" i="121" s="1"/>
  <c r="BF73" i="121"/>
  <c r="BM65" i="121" l="1"/>
  <c r="AV65" i="121"/>
  <c r="BX65" i="121"/>
  <c r="BS65" i="121"/>
  <c r="AR36" i="121"/>
  <c r="AP36" i="121" s="1"/>
  <c r="AY36" i="121"/>
  <c r="AW36" i="121" s="1"/>
  <c r="AU36" i="121"/>
  <c r="BC36" i="121"/>
  <c r="BI36" i="121" s="1"/>
  <c r="O8" i="134"/>
  <c r="P8" i="134" s="1"/>
  <c r="N3" i="134"/>
  <c r="E7" i="116"/>
  <c r="F8" i="116" s="1"/>
  <c r="H16" i="109"/>
  <c r="C4" i="117" s="1"/>
  <c r="AR21" i="121"/>
  <c r="AP21" i="121" s="1"/>
  <c r="BZ21" i="121" s="1"/>
  <c r="BZ22" i="121"/>
  <c r="AY22" i="121"/>
  <c r="BB22" i="121"/>
  <c r="AX22" i="121"/>
  <c r="F11" i="116"/>
  <c r="AV21" i="121"/>
  <c r="BB21" i="121" s="1"/>
  <c r="AA27" i="121"/>
  <c r="BA27" i="121"/>
  <c r="AC27" i="121"/>
  <c r="AH27" i="121" s="1"/>
  <c r="AK27" i="121" s="1"/>
  <c r="AN68" i="121"/>
  <c r="AK68" i="121"/>
  <c r="AI68" i="121" s="1"/>
  <c r="AO68" i="121"/>
  <c r="BH27" i="121"/>
  <c r="AG27" i="121"/>
  <c r="AM27" i="121"/>
  <c r="AD26" i="121"/>
  <c r="AG26" i="121"/>
  <c r="AC26" i="121"/>
  <c r="AH26" i="121" s="1"/>
  <c r="AF26" i="121"/>
  <c r="AM26" i="121"/>
  <c r="AT26" i="121"/>
  <c r="BA26" i="121"/>
  <c r="AA26" i="121"/>
  <c r="BH26" i="121"/>
  <c r="AQ68" i="121"/>
  <c r="AX68" i="121" s="1"/>
  <c r="BE68" i="121" s="1"/>
  <c r="BK68" i="121" s="1"/>
  <c r="AT27" i="121"/>
  <c r="AF27" i="121"/>
  <c r="BZ17" i="121"/>
  <c r="B9" i="118"/>
  <c r="BY65" i="121"/>
  <c r="BZ65" i="121"/>
  <c r="S106" i="61"/>
  <c r="BC65" i="121"/>
  <c r="BB65" i="121"/>
  <c r="AY65" i="121"/>
  <c r="AW65" i="121" s="1"/>
  <c r="V46" i="121"/>
  <c r="L5" i="121"/>
  <c r="AT61" i="121"/>
  <c r="AG61" i="121"/>
  <c r="AC61" i="121"/>
  <c r="AM61" i="121"/>
  <c r="AF61" i="121"/>
  <c r="BA61" i="121"/>
  <c r="AD61" i="121"/>
  <c r="AA61" i="121"/>
  <c r="BH61" i="121"/>
  <c r="V106" i="121"/>
  <c r="BH47" i="121"/>
  <c r="BA47" i="121"/>
  <c r="AF47" i="121"/>
  <c r="AG47" i="121"/>
  <c r="AD47" i="121"/>
  <c r="AM47" i="121"/>
  <c r="AT47" i="121"/>
  <c r="AA47" i="121"/>
  <c r="AC47" i="121"/>
  <c r="V96" i="121"/>
  <c r="V100" i="121" s="1"/>
  <c r="AM51" i="121"/>
  <c r="AG51" i="121"/>
  <c r="AF51" i="121"/>
  <c r="AD51" i="121"/>
  <c r="AC51" i="121"/>
  <c r="AH51" i="121" s="1"/>
  <c r="BA51" i="121"/>
  <c r="AT51" i="121"/>
  <c r="AA51" i="121"/>
  <c r="BH51" i="121"/>
  <c r="M3" i="121"/>
  <c r="N3" i="121" s="1"/>
  <c r="O8" i="121"/>
  <c r="AT72" i="121"/>
  <c r="AC72" i="121"/>
  <c r="AG72" i="121"/>
  <c r="AF72" i="121"/>
  <c r="AM72" i="121"/>
  <c r="AD72" i="121"/>
  <c r="BA72" i="121"/>
  <c r="AA72" i="121"/>
  <c r="BH72" i="121"/>
  <c r="S87" i="61"/>
  <c r="S89" i="61"/>
  <c r="S90" i="61" s="1"/>
  <c r="BD29" i="121"/>
  <c r="BQ29" i="121" s="1"/>
  <c r="BO29" i="121"/>
  <c r="BP29" i="121" s="1"/>
  <c r="BF17" i="121"/>
  <c r="BL17" i="121" s="1"/>
  <c r="BI17" i="121"/>
  <c r="BN17" i="121" s="1"/>
  <c r="BE17" i="121"/>
  <c r="BK17" i="121" s="1"/>
  <c r="AW17" i="121"/>
  <c r="BT29" i="121"/>
  <c r="BU29" i="121" s="1"/>
  <c r="BV29" i="121" s="1"/>
  <c r="BL73" i="121"/>
  <c r="BO73" i="121" s="1"/>
  <c r="BP73" i="121" s="1"/>
  <c r="BD73" i="121"/>
  <c r="BQ73" i="121" s="1"/>
  <c r="BJ36" i="121" l="1"/>
  <c r="BT36" i="121" s="1"/>
  <c r="BU36" i="121" s="1"/>
  <c r="BV36" i="121" s="1"/>
  <c r="BN36" i="121"/>
  <c r="BZ36" i="121"/>
  <c r="BF36" i="121"/>
  <c r="BD36" i="121" s="1"/>
  <c r="BQ36" i="121" s="1"/>
  <c r="O3" i="134"/>
  <c r="P3" i="134" s="1"/>
  <c r="E4" i="116"/>
  <c r="E39" i="116" s="1"/>
  <c r="F39" i="116" s="1"/>
  <c r="F7" i="116"/>
  <c r="E10" i="116"/>
  <c r="F10" i="116" s="1"/>
  <c r="BC22" i="121"/>
  <c r="BE22" i="121"/>
  <c r="AW22" i="121"/>
  <c r="AN27" i="121"/>
  <c r="AY21" i="121"/>
  <c r="AB27" i="121"/>
  <c r="BX27" i="121" s="1"/>
  <c r="AJ27" i="121"/>
  <c r="AQ27" i="121" s="1"/>
  <c r="AX21" i="121"/>
  <c r="BC21" i="121" s="1"/>
  <c r="BF21" i="121" s="1"/>
  <c r="BM27" i="121"/>
  <c r="BM26" i="121"/>
  <c r="BY68" i="121"/>
  <c r="AU68" i="121"/>
  <c r="AV68" i="121"/>
  <c r="AR68" i="121"/>
  <c r="AP68" i="121" s="1"/>
  <c r="AN26" i="121"/>
  <c r="AK26" i="121"/>
  <c r="AB26" i="121"/>
  <c r="AJ26" i="121"/>
  <c r="AQ26" i="121" s="1"/>
  <c r="B12" i="118"/>
  <c r="B13" i="118" s="1"/>
  <c r="B14" i="118" s="1"/>
  <c r="B3" i="117"/>
  <c r="E4" i="117" s="1"/>
  <c r="B15" i="118"/>
  <c r="O99" i="121"/>
  <c r="BJ65" i="121"/>
  <c r="BI65" i="121"/>
  <c r="BN65" i="121" s="1"/>
  <c r="BF65" i="121"/>
  <c r="BD65" i="121" s="1"/>
  <c r="BQ65" i="121" s="1"/>
  <c r="AJ47" i="121"/>
  <c r="AB47" i="121"/>
  <c r="BX47" i="121" s="1"/>
  <c r="L99" i="121"/>
  <c r="AB61" i="121"/>
  <c r="BX61" i="121" s="1"/>
  <c r="AJ61" i="121"/>
  <c r="AJ51" i="121"/>
  <c r="AQ51" i="121" s="1"/>
  <c r="AB51" i="121"/>
  <c r="BX51" i="121" s="1"/>
  <c r="BM47" i="121"/>
  <c r="BM61" i="121"/>
  <c r="AK51" i="121"/>
  <c r="AN51" i="121"/>
  <c r="AH72" i="121"/>
  <c r="AJ72" i="121"/>
  <c r="AB72" i="121"/>
  <c r="M99" i="121"/>
  <c r="BM72" i="121"/>
  <c r="BM51" i="121"/>
  <c r="AH47" i="121"/>
  <c r="P8" i="121"/>
  <c r="O3" i="121"/>
  <c r="AM46" i="121"/>
  <c r="AM5" i="121" s="1"/>
  <c r="H5" i="121" s="1"/>
  <c r="AG46" i="121"/>
  <c r="AF46" i="121"/>
  <c r="AA46" i="121"/>
  <c r="BH46" i="121"/>
  <c r="BA46" i="121"/>
  <c r="BA5" i="121" s="1"/>
  <c r="J5" i="121" s="1"/>
  <c r="AC46" i="121"/>
  <c r="AH46" i="121" s="1"/>
  <c r="AT46" i="121"/>
  <c r="AT5" i="121" s="1"/>
  <c r="I5" i="121" s="1"/>
  <c r="AD46" i="121"/>
  <c r="V105" i="121"/>
  <c r="V109" i="121" s="1"/>
  <c r="V5" i="121"/>
  <c r="V3" i="121" s="1"/>
  <c r="N99" i="121"/>
  <c r="AH61" i="121"/>
  <c r="BR29" i="121"/>
  <c r="BD17" i="121"/>
  <c r="BQ17" i="121" s="1"/>
  <c r="BJ17" i="121"/>
  <c r="BS17" i="121"/>
  <c r="BO17" i="121"/>
  <c r="BR73" i="121"/>
  <c r="BS68" i="121"/>
  <c r="BL36" i="121" l="1"/>
  <c r="BO36" i="121" s="1"/>
  <c r="BP36" i="121" s="1"/>
  <c r="BX26" i="121"/>
  <c r="AO27" i="121"/>
  <c r="AR27" i="121" s="1"/>
  <c r="AP27" i="121" s="1"/>
  <c r="BL21" i="121"/>
  <c r="BK22" i="121"/>
  <c r="BF22" i="121"/>
  <c r="BL22" i="121" s="1"/>
  <c r="BI22" i="121"/>
  <c r="BN22" i="121" s="1"/>
  <c r="BJ22" i="121"/>
  <c r="AI27" i="121"/>
  <c r="BY27" i="121" s="1"/>
  <c r="BI21" i="121"/>
  <c r="BN21" i="121" s="1"/>
  <c r="AW21" i="121"/>
  <c r="BE21" i="121"/>
  <c r="BK21" i="121" s="1"/>
  <c r="BS21" i="121" s="1"/>
  <c r="BZ68" i="121"/>
  <c r="AI26" i="121"/>
  <c r="BY26" i="121" s="1"/>
  <c r="AO26" i="121"/>
  <c r="BB68" i="121"/>
  <c r="BC68" i="121"/>
  <c r="AY68" i="121"/>
  <c r="AW68" i="121" s="1"/>
  <c r="B16" i="118"/>
  <c r="C3" i="117" s="1"/>
  <c r="E3" i="117" s="1"/>
  <c r="E5" i="116"/>
  <c r="F5" i="116" s="1"/>
  <c r="F4" i="116"/>
  <c r="BL65" i="121"/>
  <c r="BO65" i="121" s="1"/>
  <c r="BR65" i="121" s="1"/>
  <c r="BT65" i="121"/>
  <c r="BU65" i="121" s="1"/>
  <c r="BV65" i="121" s="1"/>
  <c r="V111" i="121"/>
  <c r="P3" i="121"/>
  <c r="V101" i="121"/>
  <c r="BM46" i="121"/>
  <c r="BH5" i="121"/>
  <c r="K5" i="121" s="1"/>
  <c r="BX72" i="121"/>
  <c r="BM99" i="121" s="1"/>
  <c r="N98" i="121"/>
  <c r="N104" i="121" s="1"/>
  <c r="AF5" i="121"/>
  <c r="G5" i="121" s="1"/>
  <c r="AN47" i="121"/>
  <c r="AK47" i="121"/>
  <c r="AI47" i="121" s="1"/>
  <c r="AO47" i="121"/>
  <c r="AN72" i="121"/>
  <c r="AK72" i="121"/>
  <c r="AO72" i="121"/>
  <c r="P99" i="121"/>
  <c r="Q99" i="121" s="1"/>
  <c r="AK46" i="121"/>
  <c r="AN46" i="121"/>
  <c r="AH5" i="121"/>
  <c r="O98" i="121"/>
  <c r="O104" i="121" s="1"/>
  <c r="AG5" i="121"/>
  <c r="G6" i="121" s="1"/>
  <c r="AA5" i="121"/>
  <c r="AQ72" i="121"/>
  <c r="M98" i="121"/>
  <c r="M104" i="121" s="1"/>
  <c r="AD5" i="121"/>
  <c r="G4" i="121" s="1"/>
  <c r="AI51" i="121"/>
  <c r="BY51" i="121" s="1"/>
  <c r="AQ47" i="121"/>
  <c r="AO51" i="121"/>
  <c r="AK61" i="121"/>
  <c r="AI61" i="121" s="1"/>
  <c r="AN61" i="121"/>
  <c r="AO61" i="121"/>
  <c r="AB46" i="121"/>
  <c r="AB5" i="121" s="1"/>
  <c r="G2" i="121" s="1"/>
  <c r="AJ46" i="121"/>
  <c r="AO46" i="121" s="1"/>
  <c r="L98" i="121"/>
  <c r="AC5" i="121"/>
  <c r="G3" i="121" s="1"/>
  <c r="AQ61" i="121"/>
  <c r="BT17" i="121"/>
  <c r="BU17" i="121" s="1"/>
  <c r="BV17" i="121" s="1"/>
  <c r="BR17" i="121"/>
  <c r="BP17" i="121"/>
  <c r="BJ21" i="121" l="1"/>
  <c r="BT21" i="121" s="1"/>
  <c r="BU21" i="121" s="1"/>
  <c r="BV21" i="121" s="1"/>
  <c r="BR36" i="121"/>
  <c r="AV27" i="121"/>
  <c r="BB27" i="121" s="1"/>
  <c r="AU27" i="121"/>
  <c r="BZ27" i="121" s="1"/>
  <c r="BD22" i="121"/>
  <c r="BQ22" i="121" s="1"/>
  <c r="BS22" i="121"/>
  <c r="BT22" i="121" s="1"/>
  <c r="BU22" i="121" s="1"/>
  <c r="BV22" i="121" s="1"/>
  <c r="BO22" i="121"/>
  <c r="BP22" i="121" s="1"/>
  <c r="BD21" i="121"/>
  <c r="BQ21" i="121" s="1"/>
  <c r="B17" i="118"/>
  <c r="F43" i="116"/>
  <c r="BO21" i="121"/>
  <c r="BP21" i="121" s="1"/>
  <c r="BJ68" i="121"/>
  <c r="BT68" i="121" s="1"/>
  <c r="BU68" i="121" s="1"/>
  <c r="BV68" i="121" s="1"/>
  <c r="BF68" i="121"/>
  <c r="BI68" i="121"/>
  <c r="BN68" i="121" s="1"/>
  <c r="AU26" i="121"/>
  <c r="AV26" i="121"/>
  <c r="AR26" i="121"/>
  <c r="AP26" i="121" s="1"/>
  <c r="F41" i="116"/>
  <c r="BY61" i="121"/>
  <c r="BP65" i="121"/>
  <c r="AN5" i="121"/>
  <c r="H6" i="121" s="1"/>
  <c r="M105" i="121"/>
  <c r="BY47" i="121"/>
  <c r="AU46" i="121"/>
  <c r="AR46" i="121"/>
  <c r="AO5" i="121"/>
  <c r="AR61" i="121"/>
  <c r="AP61" i="121" s="1"/>
  <c r="AV61" i="121"/>
  <c r="AU61" i="121"/>
  <c r="AX72" i="121"/>
  <c r="AX61" i="121"/>
  <c r="BE61" i="121" s="1"/>
  <c r="AI72" i="121"/>
  <c r="AR51" i="121"/>
  <c r="AP51" i="121" s="1"/>
  <c r="AV51" i="121"/>
  <c r="AU51" i="121"/>
  <c r="BM5" i="121"/>
  <c r="AU47" i="121"/>
  <c r="AR47" i="121"/>
  <c r="AP47" i="121" s="1"/>
  <c r="AV47" i="121"/>
  <c r="G7" i="121"/>
  <c r="G8" i="121" s="1"/>
  <c r="C6" i="117" s="1"/>
  <c r="E6" i="117" s="1"/>
  <c r="AI46" i="121"/>
  <c r="AK5" i="121"/>
  <c r="H4" i="121" s="1"/>
  <c r="P98" i="121"/>
  <c r="L104" i="121"/>
  <c r="L105" i="121" s="1"/>
  <c r="BM100" i="121"/>
  <c r="BM102" i="121" s="1"/>
  <c r="BM103" i="121" s="1"/>
  <c r="BN100" i="121"/>
  <c r="BN102" i="121" s="1"/>
  <c r="BN103" i="121" s="1"/>
  <c r="N105" i="121"/>
  <c r="AQ46" i="121"/>
  <c r="AQ5" i="121" s="1"/>
  <c r="I3" i="121" s="1"/>
  <c r="AJ5" i="121"/>
  <c r="H3" i="121" s="1"/>
  <c r="BX46" i="121"/>
  <c r="O105" i="121"/>
  <c r="AV72" i="121"/>
  <c r="AU72" i="121"/>
  <c r="AR72" i="121"/>
  <c r="AY27" i="121" l="1"/>
  <c r="AX27" i="121"/>
  <c r="BC27" i="121" s="1"/>
  <c r="BR22" i="121"/>
  <c r="BR21" i="121"/>
  <c r="BZ26" i="121"/>
  <c r="AX26" i="121"/>
  <c r="BC26" i="121" s="1"/>
  <c r="BB26" i="121"/>
  <c r="AY26" i="121"/>
  <c r="C5" i="117"/>
  <c r="E5" i="117" s="1"/>
  <c r="F45" i="116"/>
  <c r="BL68" i="121"/>
  <c r="BO68" i="121" s="1"/>
  <c r="BP68" i="121" s="1"/>
  <c r="BD68" i="121"/>
  <c r="BQ68" i="121" s="1"/>
  <c r="BK61" i="121"/>
  <c r="BS61" i="121" s="1"/>
  <c r="BZ51" i="121"/>
  <c r="H7" i="121"/>
  <c r="H8" i="121" s="1"/>
  <c r="BB72" i="121"/>
  <c r="AY72" i="121"/>
  <c r="AW72" i="121" s="1"/>
  <c r="BC72" i="121"/>
  <c r="AY47" i="121"/>
  <c r="AX47" i="121"/>
  <c r="BB47" i="121"/>
  <c r="BB61" i="121"/>
  <c r="BC61" i="121"/>
  <c r="AY61" i="121"/>
  <c r="AW61" i="121" s="1"/>
  <c r="BZ47" i="121"/>
  <c r="BY72" i="121"/>
  <c r="BP99" i="121" s="1"/>
  <c r="AP46" i="121"/>
  <c r="AR5" i="121"/>
  <c r="I4" i="121" s="1"/>
  <c r="BZ61" i="121"/>
  <c r="Q98" i="121"/>
  <c r="Q104" i="121" s="1"/>
  <c r="Q105" i="121" s="1"/>
  <c r="P104" i="121"/>
  <c r="P105" i="121" s="1"/>
  <c r="BE72" i="121"/>
  <c r="BK72" i="121" s="1"/>
  <c r="BS72" i="121" s="1"/>
  <c r="AU5" i="121"/>
  <c r="I6" i="121" s="1"/>
  <c r="AP72" i="121"/>
  <c r="BZ72" i="121" s="1"/>
  <c r="AV46" i="121"/>
  <c r="BY46" i="121"/>
  <c r="AI5" i="121"/>
  <c r="H2" i="121" s="1"/>
  <c r="AY51" i="121"/>
  <c r="AX51" i="121"/>
  <c r="BB51" i="121"/>
  <c r="BE27" i="121" l="1"/>
  <c r="BK27" i="121" s="1"/>
  <c r="BS27" i="121" s="1"/>
  <c r="AW27" i="121"/>
  <c r="C8" i="117"/>
  <c r="C9" i="117"/>
  <c r="BR68" i="121"/>
  <c r="C7" i="117"/>
  <c r="BI26" i="121"/>
  <c r="BN26" i="121" s="1"/>
  <c r="BF26" i="121"/>
  <c r="BL26" i="121" s="1"/>
  <c r="AW26" i="121"/>
  <c r="BE26" i="121"/>
  <c r="BJ26" i="121" s="1"/>
  <c r="BI27" i="121"/>
  <c r="BN27" i="121" s="1"/>
  <c r="BF27" i="121"/>
  <c r="BL27" i="121" s="1"/>
  <c r="BS99" i="121"/>
  <c r="BT100" i="121" s="1"/>
  <c r="BT102" i="121" s="1"/>
  <c r="BT103" i="121" s="1"/>
  <c r="I7" i="121"/>
  <c r="I8" i="121" s="1"/>
  <c r="AY46" i="121"/>
  <c r="AY5" i="121" s="1"/>
  <c r="J4" i="121" s="1"/>
  <c r="BB46" i="121"/>
  <c r="BB5" i="121" s="1"/>
  <c r="J6" i="121" s="1"/>
  <c r="AX46" i="121"/>
  <c r="BC46" i="121" s="1"/>
  <c r="AV5" i="121"/>
  <c r="BC47" i="121"/>
  <c r="BE47" i="121"/>
  <c r="AW47" i="121"/>
  <c r="BP100" i="121"/>
  <c r="BP102" i="121" s="1"/>
  <c r="BP103" i="121" s="1"/>
  <c r="BQ100" i="121"/>
  <c r="BQ102" i="121" s="1"/>
  <c r="BQ103" i="121" s="1"/>
  <c r="BF72" i="121"/>
  <c r="BD72" i="121" s="1"/>
  <c r="BQ72" i="121" s="1"/>
  <c r="BJ72" i="121"/>
  <c r="BT72" i="121" s="1"/>
  <c r="BU72" i="121" s="1"/>
  <c r="BV72" i="121" s="1"/>
  <c r="BI72" i="121"/>
  <c r="BN72" i="121" s="1"/>
  <c r="BC51" i="121"/>
  <c r="AW51" i="121"/>
  <c r="BE51" i="121"/>
  <c r="BZ46" i="121"/>
  <c r="AP5" i="121"/>
  <c r="I2" i="121" s="1"/>
  <c r="BJ61" i="121"/>
  <c r="BT61" i="121" s="1"/>
  <c r="BU61" i="121" s="1"/>
  <c r="BV61" i="121" s="1"/>
  <c r="BI61" i="121"/>
  <c r="BN61" i="121" s="1"/>
  <c r="BF61" i="121"/>
  <c r="E9" i="117" l="1"/>
  <c r="E8" i="117"/>
  <c r="C11" i="117"/>
  <c r="BJ27" i="121"/>
  <c r="BT27" i="121" s="1"/>
  <c r="BU27" i="121" s="1"/>
  <c r="BV27" i="121" s="1"/>
  <c r="BO27" i="121"/>
  <c r="BP27" i="121" s="1"/>
  <c r="BK26" i="121"/>
  <c r="BS26" i="121" s="1"/>
  <c r="BT26" i="121" s="1"/>
  <c r="BU26" i="121" s="1"/>
  <c r="BV26" i="121" s="1"/>
  <c r="BD26" i="121"/>
  <c r="BQ26" i="121" s="1"/>
  <c r="BD27" i="121"/>
  <c r="BQ27" i="121" s="1"/>
  <c r="BS100" i="121"/>
  <c r="BS102" i="121" s="1"/>
  <c r="BS103" i="121" s="1"/>
  <c r="BI47" i="121"/>
  <c r="BN47" i="121" s="1"/>
  <c r="BF47" i="121"/>
  <c r="BL47" i="121" s="1"/>
  <c r="BJ47" i="121"/>
  <c r="BK51" i="121"/>
  <c r="BF46" i="121"/>
  <c r="BI46" i="121"/>
  <c r="BC5" i="121"/>
  <c r="BE46" i="121"/>
  <c r="AW46" i="121"/>
  <c r="AW5" i="121" s="1"/>
  <c r="J2" i="121" s="1"/>
  <c r="AX5" i="121"/>
  <c r="J3" i="121" s="1"/>
  <c r="J7" i="121" s="1"/>
  <c r="J8" i="121" s="1"/>
  <c r="BF51" i="121"/>
  <c r="BL51" i="121" s="1"/>
  <c r="BI51" i="121"/>
  <c r="BN51" i="121" s="1"/>
  <c r="BJ51" i="121"/>
  <c r="BL61" i="121"/>
  <c r="BO61" i="121" s="1"/>
  <c r="BP61" i="121" s="1"/>
  <c r="BD61" i="121"/>
  <c r="BQ61" i="121" s="1"/>
  <c r="BK47" i="121"/>
  <c r="BL72" i="121"/>
  <c r="BO72" i="121" s="1"/>
  <c r="BP72" i="121" s="1"/>
  <c r="D9" i="117" l="1"/>
  <c r="C12" i="117"/>
  <c r="D8" i="117"/>
  <c r="D6" i="117"/>
  <c r="D11" i="117"/>
  <c r="D5" i="117"/>
  <c r="D3" i="117"/>
  <c r="E11" i="117"/>
  <c r="D4" i="117"/>
  <c r="BR27" i="121"/>
  <c r="BO26" i="121"/>
  <c r="BP26" i="121" s="1"/>
  <c r="BR61" i="121"/>
  <c r="BL46" i="121"/>
  <c r="BF5" i="121"/>
  <c r="K4" i="121" s="1"/>
  <c r="BD51" i="121"/>
  <c r="BQ51" i="121" s="1"/>
  <c r="BO51" i="121"/>
  <c r="BP51" i="121" s="1"/>
  <c r="BS51" i="121"/>
  <c r="BT51" i="121" s="1"/>
  <c r="BU51" i="121" s="1"/>
  <c r="BV51" i="121" s="1"/>
  <c r="BO47" i="121"/>
  <c r="BS47" i="121"/>
  <c r="BT47" i="121" s="1"/>
  <c r="BU47" i="121" s="1"/>
  <c r="BV47" i="121" s="1"/>
  <c r="BK46" i="121"/>
  <c r="BD46" i="121"/>
  <c r="BE5" i="121"/>
  <c r="K3" i="121" s="1"/>
  <c r="BD47" i="121"/>
  <c r="BQ47" i="121" s="1"/>
  <c r="BN46" i="121"/>
  <c r="BI5" i="121"/>
  <c r="K6" i="121" s="1"/>
  <c r="BJ46" i="121"/>
  <c r="BR72" i="121"/>
  <c r="BR26" i="121" l="1"/>
  <c r="BR47" i="121"/>
  <c r="BN5" i="121"/>
  <c r="K7" i="121"/>
  <c r="K8" i="121" s="1"/>
  <c r="BP47" i="121"/>
  <c r="BR51" i="121"/>
  <c r="BQ46" i="121"/>
  <c r="BD5" i="121"/>
  <c r="K2" i="121" s="1"/>
  <c r="BK5" i="121"/>
  <c r="BS46" i="121"/>
  <c r="BS5" i="121" s="1"/>
  <c r="BJ5" i="121"/>
  <c r="BO46" i="121"/>
  <c r="BO5" i="121" s="1"/>
  <c r="BL5" i="121"/>
  <c r="BR46" i="121" l="1"/>
  <c r="BR5" i="121" s="1"/>
  <c r="BQ5" i="121"/>
  <c r="BT46" i="121"/>
  <c r="BP46" i="121"/>
  <c r="BP5" i="121" s="1"/>
  <c r="BU46" i="121" l="1"/>
  <c r="BV46" i="121" s="1"/>
  <c r="BT5" i="1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Ameya Ukarande</author>
  </authors>
  <commentList>
    <comment ref="D22" authorId="0" shapeId="0" xr:uid="{13714B90-DD59-4759-A286-8618FEAB2A9B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1 box = 4 Min</t>
        </r>
      </text>
    </comment>
    <comment ref="D23" authorId="0" shapeId="0" xr:uid="{5BDD166E-5079-4D78-9DAD-809711D1B577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1 Pallet = 30 sec.</t>
        </r>
      </text>
    </comment>
    <comment ref="D24" authorId="0" shapeId="0" xr:uid="{E65D7CEB-0E30-4E5B-BCD2-67CAC8377EBA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3 Sec = 1 Box/Pallet</t>
        </r>
      </text>
    </comment>
    <comment ref="D25" authorId="0" shapeId="0" xr:uid="{96C42CDA-5705-42B5-82F8-7CC5F77BF9D1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3 Sec = 1 Box/Pallet</t>
        </r>
      </text>
    </comment>
    <comment ref="D38" authorId="0" shapeId="0" xr:uid="{82807739-8F10-4F91-A5D5-468146AEF2E9}">
      <text>
        <r>
          <rPr>
            <b/>
            <sz val="9"/>
            <color indexed="81"/>
            <rFont val="Tahoma"/>
            <family val="2"/>
          </rPr>
          <t xml:space="preserve">Ameya Ukarande
</t>
        </r>
        <r>
          <rPr>
            <sz val="9"/>
            <color indexed="81"/>
            <rFont val="Tahoma"/>
            <family val="2"/>
          </rPr>
          <t xml:space="preserve">1 Box = 4 Min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6" authorId="0" shapeId="0" xr:uid="{00000000-0006-0000-1000-000001000000}">
      <text>
        <r>
          <rPr>
            <b/>
            <sz val="8"/>
            <rFont val="Calibri"/>
            <family val="2"/>
          </rPr>
          <t>PEB Structure: 6-8%
RCC Structure: 10-15%</t>
        </r>
      </text>
    </comment>
    <comment ref="B51" authorId="0" shapeId="0" xr:uid="{00000000-0006-0000-1000-000002000000}">
      <text>
        <r>
          <rPr>
            <sz val="8"/>
            <rFont val="Calibri"/>
            <family val="2"/>
          </rPr>
          <t xml:space="preserve">Honeycombing allowance is the percent of storage space lost due to ineffective use of storage capacity.
</t>
        </r>
        <r>
          <rPr>
            <b/>
            <u/>
            <sz val="8"/>
            <rFont val="Calibri"/>
            <family val="2"/>
          </rPr>
          <t xml:space="preserve">Honeycombing allowance
</t>
        </r>
        <r>
          <rPr>
            <sz val="8"/>
            <color indexed="12"/>
            <rFont val="Calibri"/>
            <family val="2"/>
          </rPr>
          <t>Bulk storage (single deep) - 0%
Bulk storage (up to 3-deep) - 15%
Bulk storage (more than 3-deep)- 20% to 25%
Single deep racks - 0%
Double deep racks - 10%
Shelving racks - 0%</t>
        </r>
      </text>
    </comment>
    <comment ref="B52" authorId="0" shapeId="0" xr:uid="{00000000-0006-0000-1000-000003000000}">
      <text>
        <r>
          <rPr>
            <sz val="8"/>
            <rFont val="Calibri"/>
            <family val="2"/>
          </rPr>
          <t>Utilization factor within a location.
Industry standard is 85% to 90%.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tc={DC019B18-4BCD-4ADD-B5C4-48815C52545E}</author>
    <author>tc={63D321A0-D850-43C8-8FEE-143D74B6FC5E}</author>
    <author>tc={F01E5B35-1E7E-489B-96F4-91D1107FF301}</author>
    <author>Ameya Ukarande</author>
    <author>tc={EBE431D7-C213-44EA-9E08-5E22CA5DB38D}</author>
    <author>tc={911C5348-694A-44EB-B768-20813F3200BE}</author>
    <author>tc={29E32956-E870-43D8-8605-D86696B4F8E5}</author>
    <author>tc={5FFB2FA6-3AE0-4F67-AE96-BA23E900EB23}</author>
  </authors>
  <commentList>
    <comment ref="U12" authorId="0" shapeId="0" xr:uid="{DC019B18-4BCD-4ADD-B5C4-48815C5254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Due to weight constrain boxes reduce</t>
      </text>
    </comment>
    <comment ref="V12" authorId="1" shapeId="0" xr:uid="{63D321A0-D850-43C8-8FEE-143D74B6FC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Due to weight constrain boxes reduce</t>
      </text>
    </comment>
    <comment ref="U21" authorId="2" shapeId="0" xr:uid="{F01E5B35-1E7E-489B-96F4-91D1107FF301}">
      <text>
        <t>[Threaded comment]
Your version of Excel allows you to read this threaded comment; however, any edits to it will get removed if the file is opened in a newer version of Excel. Learn more: https://go.microsoft.com/fwlink/?linkid=870924
Comment:
    Due to weight constrain boxes reduce</t>
      </text>
    </comment>
    <comment ref="V21" authorId="3" shapeId="0" xr:uid="{CD490229-EFA2-49E6-B6FD-DE6647853188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U24" authorId="4" shapeId="0" xr:uid="{EBE431D7-C213-44EA-9E08-5E22CA5DB3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Due to weight constrain boxes reduce
</t>
      </text>
    </comment>
    <comment ref="V24" authorId="5" shapeId="0" xr:uid="{911C5348-694A-44EB-B768-20813F3200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Due to weight constrain boxes reduce
</t>
      </text>
    </comment>
    <comment ref="P48" authorId="3" shapeId="0" xr:uid="{1CC218C5-BDE0-4DD3-A0EF-DECB6D72B837}">
      <text>
        <r>
          <rPr>
            <b/>
            <sz val="9"/>
            <color indexed="81"/>
            <rFont val="Tahoma"/>
            <family val="2"/>
          </rPr>
          <t>Ameya Ukarande
Assumption hight</t>
        </r>
      </text>
    </comment>
    <comment ref="U54" authorId="6" shapeId="0" xr:uid="{29E32956-E870-43D8-8605-D86696B4F8E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Due to weight constrain boxes reduce
</t>
      </text>
    </comment>
    <comment ref="V54" authorId="7" shapeId="0" xr:uid="{5FFB2FA6-3AE0-4F67-AE96-BA23E900EB2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Due to weight constrain boxes reduce
</t>
      </text>
    </comment>
    <comment ref="P67" authorId="3" shapeId="0" xr:uid="{485C54BF-1082-461C-B552-8EDFC3C7680B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Assumption hight</t>
        </r>
      </text>
    </comment>
    <comment ref="V71" authorId="3" shapeId="0" xr:uid="{2A0B11AE-3958-4D2B-864F-A9B084D07CE8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P84" authorId="3" shapeId="0" xr:uid="{17BF2555-ABF7-45D7-BECD-A34420CB58DD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Assumption hight</t>
        </r>
      </text>
    </comment>
    <comment ref="P88" authorId="3" shapeId="0" xr:uid="{689BD256-7CCD-4A05-A223-7D86BB26064B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Assumption hight</t>
        </r>
      </text>
    </comment>
    <comment ref="P121" authorId="3" shapeId="0" xr:uid="{06066137-70CD-40D8-B1C0-42E7E3FFE598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Assumption hight</t>
        </r>
      </text>
    </comment>
    <comment ref="P146" authorId="3" shapeId="0" xr:uid="{D187733D-5BE0-44D4-9808-7C3C937B8417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Assumption hight</t>
        </r>
      </text>
    </comment>
    <comment ref="P147" authorId="3" shapeId="0" xr:uid="{927D2215-088B-453C-ABF6-01362ED0B51C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Assumption hight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tc={997C1A47-E88E-4B52-866E-296CD9E1D94D}</author>
    <author>tc={FDB6E588-639C-40A0-B620-E3E1892D619C}</author>
    <author>Ameya Ukarande</author>
    <author>tc={E745CFCE-7205-47D8-B087-D522C10D83D7}</author>
    <author>tc={AF3B07D0-C1F7-47F3-8F54-2425ECAD6B78}</author>
    <author>tc={0A03C12B-BBF6-4C74-8B73-7798FCD8948A}</author>
    <author>tc={A4A6B302-C5F4-4144-895D-DC6D2497494C}</author>
    <author>tc={7A1B64A9-CCF7-4ED0-AE50-8CB9D042E84C}</author>
  </authors>
  <commentList>
    <comment ref="T12" authorId="0" shapeId="0" xr:uid="{997C1A47-E88E-4B52-866E-296CD9E1D94D}">
      <text>
        <t>[Threaded comment]
Your version of Excel allows you to read this threaded comment; however, any edits to it will get removed if the file is opened in a newer version of Excel. Learn more: https://go.microsoft.com/fwlink/?linkid=870924
Comment:
    Due to weight constrain boxes reduce</t>
      </text>
    </comment>
    <comment ref="U12" authorId="1" shapeId="0" xr:uid="{FDB6E588-639C-40A0-B620-E3E1892D619C}">
      <text>
        <t>[Threaded comment]
Your version of Excel allows you to read this threaded comment; however, any edits to it will get removed if the file is opened in a newer version of Excel. Learn more: https://go.microsoft.com/fwlink/?linkid=870924
Comment:
    Due to weight constrain boxes reduce</t>
      </text>
    </comment>
    <comment ref="V12" authorId="2" shapeId="0" xr:uid="{9D1DEFD9-385C-458B-A13F-0EF4251086FF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17" authorId="2" shapeId="0" xr:uid="{43B7691C-833D-4CBE-8E47-27EC62B920B7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20" authorId="2" shapeId="0" xr:uid="{A8C8011C-C639-4B79-A58B-A59711DA5A1F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T21" authorId="3" shapeId="0" xr:uid="{E745CFCE-7205-47D8-B087-D522C10D83D7}">
      <text>
        <t>[Threaded comment]
Your version of Excel allows you to read this threaded comment; however, any edits to it will get removed if the file is opened in a newer version of Excel. Learn more: https://go.microsoft.com/fwlink/?linkid=870924
Comment:
    Due to weight constrain boxes reduce</t>
      </text>
    </comment>
    <comment ref="U21" authorId="2" shapeId="0" xr:uid="{022C7B5A-F436-4D35-96A0-D1C222751B0C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21" authorId="2" shapeId="0" xr:uid="{3317D6DE-7A65-42D4-AD47-C0BCE133C715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T24" authorId="4" shapeId="0" xr:uid="{AF3B07D0-C1F7-47F3-8F54-2425ECAD6B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Due to weight constrain boxes reduce
</t>
      </text>
    </comment>
    <comment ref="U24" authorId="5" shapeId="0" xr:uid="{0A03C12B-BBF6-4C74-8B73-7798FCD894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Due to weight constrain boxes reduce
</t>
      </text>
    </comment>
    <comment ref="V24" authorId="2" shapeId="0" xr:uid="{90585381-1879-4694-BF41-C89C48D9D513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27" authorId="2" shapeId="0" xr:uid="{3ED648C5-855A-4F06-A7D5-1D9DA0ECC15D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29" authorId="2" shapeId="0" xr:uid="{85F44254-222A-4E6F-8C73-A5F552F9BDC0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31" authorId="2" shapeId="0" xr:uid="{E562CA03-6A2E-45B7-A872-441AC9FD9237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33" authorId="2" shapeId="0" xr:uid="{E3BDABB1-8383-4E18-B2DC-D87BBC893143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35" authorId="2" shapeId="0" xr:uid="{D18C9543-A491-4CD8-A81F-95CE037AABE8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43" authorId="2" shapeId="0" xr:uid="{687C9C9A-2337-435B-B739-6C11A02B7C86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46" authorId="2" shapeId="0" xr:uid="{F07173C6-ED27-4CD5-AF39-66C48C0E5AC4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O48" authorId="2" shapeId="0" xr:uid="{B5113C99-2C15-4A9C-96AF-F229FDC41E70}">
      <text>
        <r>
          <rPr>
            <b/>
            <sz val="9"/>
            <color indexed="81"/>
            <rFont val="Tahoma"/>
            <family val="2"/>
          </rPr>
          <t>Ameya Ukarande
Assumption hight</t>
        </r>
      </text>
    </comment>
    <comment ref="V53" authorId="2" shapeId="0" xr:uid="{8FED0942-DF15-4089-B03B-031F400F0B68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T54" authorId="6" shapeId="0" xr:uid="{A4A6B302-C5F4-4144-895D-DC6D249749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Due to weight constrain boxes reduce
</t>
      </text>
    </comment>
    <comment ref="U54" authorId="7" shapeId="0" xr:uid="{7A1B64A9-CCF7-4ED0-AE50-8CB9D042E8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Due to weight constrain boxes reduce
</t>
      </text>
    </comment>
    <comment ref="V54" authorId="2" shapeId="0" xr:uid="{12585C2A-9BEF-4B06-B050-24A1CA1385EC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55" authorId="2" shapeId="0" xr:uid="{3CED81F9-EEB7-460A-BDAA-E0EA809EC988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57" authorId="2" shapeId="0" xr:uid="{5098FB49-3E37-4F32-9EE5-267B0590886C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59" authorId="2" shapeId="0" xr:uid="{925EDB36-1810-4562-9503-9FA166DEFB71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64" authorId="2" shapeId="0" xr:uid="{795B12C6-EC90-4671-8557-F8D8C67B5BF3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O67" authorId="2" shapeId="0" xr:uid="{A93D6598-3748-4BA0-8DE0-FFC7B1A5EEA1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Assumption hight</t>
        </r>
      </text>
    </comment>
    <comment ref="U71" authorId="2" shapeId="0" xr:uid="{DFF0D01F-6E9E-4F2E-BE3B-C07175CAB53A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71" authorId="2" shapeId="0" xr:uid="{47784421-D03B-440F-8E87-A6C357C5695B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75" authorId="2" shapeId="0" xr:uid="{3F1BA79D-AC13-4F5F-833A-2BED1B6A47B4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81" authorId="2" shapeId="0" xr:uid="{B24F10D7-3233-49BA-BE5B-B631A1721AAA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
</t>
        </r>
      </text>
    </comment>
    <comment ref="O84" authorId="2" shapeId="0" xr:uid="{6865A0B6-DE46-4D09-8F41-23D584CF0FC0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Assumption hight</t>
        </r>
      </text>
    </comment>
    <comment ref="O88" authorId="2" shapeId="0" xr:uid="{C7322F9B-9BF4-4CFF-BD2B-CC10F3F59A9A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Assumption hight</t>
        </r>
      </text>
    </comment>
    <comment ref="V90" authorId="2" shapeId="0" xr:uid="{BFE5812C-DDD3-4954-BD05-6FCD4E936FEA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91" authorId="2" shapeId="0" xr:uid="{DAB2D193-08E1-4D4B-B07F-E75CB30FF549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92" authorId="2" shapeId="0" xr:uid="{8EB9A264-EF47-4F5E-AB38-319B100004AC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103" authorId="2" shapeId="0" xr:uid="{6C5C2B4B-D0EA-48B4-A4CD-050664A7AABF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104" authorId="2" shapeId="0" xr:uid="{4AA5FA4B-17A1-40E1-A360-53DE13E2F002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105" authorId="2" shapeId="0" xr:uid="{E2BDF73D-71BD-4B6D-8B0E-7DA8788E504C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112" authorId="2" shapeId="0" xr:uid="{06C395BE-0844-4536-8233-9388840E8471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120" authorId="2" shapeId="0" xr:uid="{F14DC44F-7A1D-4F2B-85F8-E8F42C9A9D24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O121" authorId="2" shapeId="0" xr:uid="{430F4932-274E-4B10-BA27-7C62F82F91BB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Assumption hight</t>
        </r>
      </text>
    </comment>
    <comment ref="V131" authorId="2" shapeId="0" xr:uid="{4610597F-A07E-4073-A6E4-F1ADC03A2607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136" authorId="2" shapeId="0" xr:uid="{17AAF99E-261D-471C-B74A-BD064AAD16C8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V140" authorId="2" shapeId="0" xr:uid="{FF324A5E-C483-4E2E-B637-16D4F074BFB3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Due to weight constrain hight reduce</t>
        </r>
      </text>
    </comment>
    <comment ref="O146" authorId="2" shapeId="0" xr:uid="{24F0B1F4-BF1C-4551-B9C8-F087C2AD6C74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Assumption hight</t>
        </r>
      </text>
    </comment>
    <comment ref="O147" authorId="2" shapeId="0" xr:uid="{709FA8FF-2324-49C8-B567-3E29ED8C1AF6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Assumption hight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Ameya Ukarande</author>
  </authors>
  <commentList>
    <comment ref="X10" authorId="0" shapeId="0" xr:uid="{0F392BC4-EC23-425C-987A-A1875E28FF96}">
      <text>
        <r>
          <rPr>
            <b/>
            <sz val="9"/>
            <color indexed="81"/>
            <rFont val="Tahoma"/>
            <family val="2"/>
          </rPr>
          <t>Ameya Ukarande:</t>
        </r>
        <r>
          <rPr>
            <sz val="9"/>
            <color indexed="81"/>
            <rFont val="Tahoma"/>
            <family val="2"/>
          </rPr>
          <t xml:space="preserve">
Hight not given assumption hight considered</t>
        </r>
      </text>
    </comment>
  </commentList>
</comments>
</file>

<file path=xl/sharedStrings.xml><?xml version="1.0" encoding="utf-8"?>
<sst xmlns="http://schemas.openxmlformats.org/spreadsheetml/2006/main" count="3779" uniqueCount="1009">
  <si>
    <t>Inplant Operation</t>
  </si>
  <si>
    <t>Customer Details</t>
  </si>
  <si>
    <t>Customer name:</t>
  </si>
  <si>
    <t>Project name:</t>
  </si>
  <si>
    <t>Sector:</t>
  </si>
  <si>
    <t>Sub-Sector:</t>
  </si>
  <si>
    <t>City/Town scope:</t>
  </si>
  <si>
    <t>Mumbai</t>
  </si>
  <si>
    <t>Key Person</t>
  </si>
  <si>
    <t>Contact</t>
  </si>
  <si>
    <t>"CONFIDENTIAL" DOCUMENT AND MUST NOT BE DISCLOSED TO ANY OUTSIDE PARTY</t>
  </si>
  <si>
    <t>CLIENT NAME</t>
  </si>
  <si>
    <t>CLIENT BACKGROUND</t>
  </si>
  <si>
    <t>BUSINESS - EXISTING / NEW</t>
  </si>
  <si>
    <t>PROJECT NAME</t>
  </si>
  <si>
    <t>PROJECT LOCATION</t>
  </si>
  <si>
    <t>PROJECT BACKGROUND</t>
  </si>
  <si>
    <t>INDUSTRY VERTICAL - AEI / CPR</t>
  </si>
  <si>
    <t>SOLUTION CODE</t>
  </si>
  <si>
    <t>PRODUCT DETAILS</t>
  </si>
  <si>
    <t xml:space="preserve">No. of SKUs  : </t>
  </si>
  <si>
    <t>Product Category:</t>
  </si>
  <si>
    <t>Hazmat / DG  : NA</t>
  </si>
  <si>
    <t>Shelf life items :  NA</t>
  </si>
  <si>
    <t>Others: NA</t>
  </si>
  <si>
    <t>CONTRACT DURATION</t>
  </si>
  <si>
    <t>Contract Period  :</t>
  </si>
  <si>
    <t>Lock in Period:</t>
  </si>
  <si>
    <t>Possible Extension from contract period  : Yes</t>
  </si>
  <si>
    <t>SCOPE OF WORK</t>
  </si>
  <si>
    <t>PROCESS</t>
  </si>
  <si>
    <t>Inbound, Putaway, Picking, Dispatch, Housekeeping &amp; Security</t>
  </si>
  <si>
    <t>SPACE</t>
  </si>
  <si>
    <t>MAN POWER</t>
  </si>
  <si>
    <t>Blue collar &amp; White collar</t>
  </si>
  <si>
    <t>CAPEX</t>
  </si>
  <si>
    <t>All operational related, HDR, MHE</t>
  </si>
  <si>
    <t>OPEX</t>
  </si>
  <si>
    <t>All operational related</t>
  </si>
  <si>
    <t>IT SYSTEM</t>
  </si>
  <si>
    <t>WMS, SAP</t>
  </si>
  <si>
    <t>NO. OF SHIFTS &amp; WORK TIMING</t>
  </si>
  <si>
    <t xml:space="preserve">One shift </t>
  </si>
  <si>
    <t>OUT OF SCOPE</t>
  </si>
  <si>
    <t>Quality Inspetion</t>
  </si>
  <si>
    <t>RFQ SUBMISSION DATE</t>
  </si>
  <si>
    <t>GO-LIVE DATE</t>
  </si>
  <si>
    <t>ORGANISATION CHART - CLIENT</t>
  </si>
  <si>
    <t>DECISION MAKER</t>
  </si>
  <si>
    <t>INFLUENCER</t>
  </si>
  <si>
    <t>END USER</t>
  </si>
  <si>
    <t>OTHERS</t>
  </si>
  <si>
    <t>PROPOSAL SUBMISSION TEAM</t>
  </si>
  <si>
    <t>BDM - BUSINESS DEVELOPMENT MANAGER</t>
  </si>
  <si>
    <t>SOL   - SOLUTIONS OWNER</t>
  </si>
  <si>
    <t>BIO    - BID OWNER (COMMERCIAL)</t>
  </si>
  <si>
    <t>RMO - REGIONAL MANAGER OPERATION</t>
  </si>
  <si>
    <t>Sr. No.</t>
  </si>
  <si>
    <t>Process</t>
  </si>
  <si>
    <t>Sub Process</t>
  </si>
  <si>
    <t>Activity</t>
  </si>
  <si>
    <t>Scope</t>
  </si>
  <si>
    <t>Remarks</t>
  </si>
  <si>
    <t>Inbound</t>
  </si>
  <si>
    <t>Gate entry</t>
  </si>
  <si>
    <t>Vehicle reporting / Security check - Manual, Vehicle details entered in system</t>
  </si>
  <si>
    <t>TVS</t>
  </si>
  <si>
    <t>Vehicle Check/Seal/Document</t>
  </si>
  <si>
    <t>Check the seal / Vehicle condition/ document collection</t>
  </si>
  <si>
    <t>Unloading material</t>
  </si>
  <si>
    <t>Unloading the Boxes &amp; Pallets</t>
  </si>
  <si>
    <t>Unloading to Staging</t>
  </si>
  <si>
    <t>Move pallets to staging area</t>
  </si>
  <si>
    <t>Verification</t>
  </si>
  <si>
    <t>Visual Verification of Boxes &amp; Pallets</t>
  </si>
  <si>
    <t>Scanning</t>
  </si>
  <si>
    <t>Scanning of the Boxes</t>
  </si>
  <si>
    <t>GRN</t>
  </si>
  <si>
    <t>GRN will done (Short, Damage, Excess)</t>
  </si>
  <si>
    <t>Staging to quarantine area</t>
  </si>
  <si>
    <t>Damage material identification/segration &amp; move to quarantine area</t>
  </si>
  <si>
    <t>Staging to Putaway</t>
  </si>
  <si>
    <t>Material Putaway to Ground+HDR</t>
  </si>
  <si>
    <t>Picking</t>
  </si>
  <si>
    <t>Order processing</t>
  </si>
  <si>
    <t>Order received from client</t>
  </si>
  <si>
    <t>Imperial Auto</t>
  </si>
  <si>
    <t>Picklist generation</t>
  </si>
  <si>
    <t>Download picklist &amp; Picker allocation</t>
  </si>
  <si>
    <t>Picking processing</t>
  </si>
  <si>
    <t>Picking the Boxes &amp; Pallets form the location by MHE</t>
  </si>
  <si>
    <t>Picking to staging area</t>
  </si>
  <si>
    <t>Transfer Picked materail to staging area</t>
  </si>
  <si>
    <t>Picking verification</t>
  </si>
  <si>
    <t>Picked material verify by supervisor</t>
  </si>
  <si>
    <t>Documention</t>
  </si>
  <si>
    <t>LR, Invoice, E-way bill document generation</t>
  </si>
  <si>
    <t>Outbound</t>
  </si>
  <si>
    <t>Dock allocation</t>
  </si>
  <si>
    <t>Vehicle reporting  &amp; dock allocation</t>
  </si>
  <si>
    <t>loading material</t>
  </si>
  <si>
    <t>Loading of boxes &amp; Pallets</t>
  </si>
  <si>
    <t>LR, Invoice, E-way bill document handover to trasporter</t>
  </si>
  <si>
    <t>Other Activity</t>
  </si>
  <si>
    <t>Common activity</t>
  </si>
  <si>
    <t>MIS reports</t>
  </si>
  <si>
    <t>HouseKeeping</t>
  </si>
  <si>
    <t>Maintaining of 5S / basichousekeeping</t>
  </si>
  <si>
    <t>Inventory</t>
  </si>
  <si>
    <t>Perpetual Inventory and cycle count twise a year</t>
  </si>
  <si>
    <t>Security</t>
  </si>
  <si>
    <t>Safety and Security of Material, Building and Personal</t>
  </si>
  <si>
    <t>Faridabad</t>
  </si>
  <si>
    <t>Y1- 2025</t>
  </si>
  <si>
    <t>Design Inputs - Per Day Snapshot</t>
  </si>
  <si>
    <t>Source</t>
  </si>
  <si>
    <t>UOM</t>
  </si>
  <si>
    <t>Location</t>
  </si>
  <si>
    <t>General Data</t>
  </si>
  <si>
    <t>Days Working in a Month</t>
  </si>
  <si>
    <t>Assumption</t>
  </si>
  <si>
    <t>Days</t>
  </si>
  <si>
    <t>No. Of Shifts</t>
  </si>
  <si>
    <t>Shifts</t>
  </si>
  <si>
    <t>10 AM - 6 PM, 6PM - 2 AM</t>
  </si>
  <si>
    <t>10 - 12 or 2 AM</t>
  </si>
  <si>
    <t>Operating Hours in a shift</t>
  </si>
  <si>
    <t>Hours</t>
  </si>
  <si>
    <t>No. of SKUs handled</t>
  </si>
  <si>
    <t>Customer Input</t>
  </si>
  <si>
    <t>No.</t>
  </si>
  <si>
    <t>Night shift only unloading scope</t>
  </si>
  <si>
    <t>Volume Contribution</t>
  </si>
  <si>
    <t>%</t>
  </si>
  <si>
    <t>Milk run - 12 PM 20% pick</t>
  </si>
  <si>
    <t>YOY Storage Growth</t>
  </si>
  <si>
    <t>12PM - 7 PM - 50-70% pick</t>
  </si>
  <si>
    <t>YOY Volume Growth</t>
  </si>
  <si>
    <t>6PM -11 PM - 10% pick</t>
  </si>
  <si>
    <t>Storage Type</t>
  </si>
  <si>
    <t>HDR+Ground</t>
  </si>
  <si>
    <t>Pallet to be stored HDR</t>
  </si>
  <si>
    <t>8PM- 90% dispatch</t>
  </si>
  <si>
    <t xml:space="preserve"> 5PM - 10 PM no entry for vehicle</t>
  </si>
  <si>
    <t>Pallet to be stored Ground</t>
  </si>
  <si>
    <t>8 PM -11 PM - 10% dispatch</t>
  </si>
  <si>
    <t>Inventory to be stored (days)</t>
  </si>
  <si>
    <t>-</t>
  </si>
  <si>
    <t>Throughput % (monthly)</t>
  </si>
  <si>
    <t>Tons</t>
  </si>
  <si>
    <t>Pallets Weight</t>
  </si>
  <si>
    <t>Kg</t>
  </si>
  <si>
    <t>Staging area Plastic Pallets</t>
  </si>
  <si>
    <t>Pallet Dimension</t>
  </si>
  <si>
    <t>1200*1080*587 (LWH)</t>
  </si>
  <si>
    <t xml:space="preserve">600 Kg  </t>
  </si>
  <si>
    <t>1200*1080*1200 (LWH)</t>
  </si>
  <si>
    <t>600 Kg/ few cases - 800 Kg (wooden pallet)</t>
  </si>
  <si>
    <t>Per Pallet no. of Boxes</t>
  </si>
  <si>
    <t>Export hight 1400 mm</t>
  </si>
  <si>
    <t>Average CFT</t>
  </si>
  <si>
    <t>CFT</t>
  </si>
  <si>
    <t>Average CFT weight</t>
  </si>
  <si>
    <t>Average total CFT weight</t>
  </si>
  <si>
    <t>Monthly Inward Volume</t>
  </si>
  <si>
    <t>Cases/Pallets</t>
  </si>
  <si>
    <t>Monthly Dispatch Volume</t>
  </si>
  <si>
    <t>Type of WH Facility</t>
  </si>
  <si>
    <t>Type</t>
  </si>
  <si>
    <t>Dedicated</t>
  </si>
  <si>
    <t>Inbound Days</t>
  </si>
  <si>
    <r>
      <t xml:space="preserve">Monthly Volume </t>
    </r>
    <r>
      <rPr>
        <b/>
        <i/>
        <sz val="9"/>
        <color theme="1"/>
        <rFont val="Calibri"/>
        <family val="2"/>
        <scheme val="minor"/>
      </rPr>
      <t>CB Box</t>
    </r>
  </si>
  <si>
    <t>Cases</t>
  </si>
  <si>
    <r>
      <t xml:space="preserve">Daily Inbound </t>
    </r>
    <r>
      <rPr>
        <b/>
        <i/>
        <sz val="9"/>
        <color theme="1"/>
        <rFont val="Calibri"/>
        <family val="2"/>
        <scheme val="minor"/>
      </rPr>
      <t>CB Box</t>
    </r>
  </si>
  <si>
    <t>Per day Volume-Pallets CB Box</t>
  </si>
  <si>
    <t>Pallets</t>
  </si>
  <si>
    <r>
      <t xml:space="preserve">Monthly Volume </t>
    </r>
    <r>
      <rPr>
        <b/>
        <i/>
        <sz val="9"/>
        <color theme="1"/>
        <rFont val="Calibri"/>
        <family val="2"/>
        <scheme val="minor"/>
      </rPr>
      <t>PP Box</t>
    </r>
  </si>
  <si>
    <r>
      <t xml:space="preserve">Daily Inbound </t>
    </r>
    <r>
      <rPr>
        <b/>
        <i/>
        <sz val="9"/>
        <color theme="1"/>
        <rFont val="Calibri"/>
        <family val="2"/>
        <scheme val="minor"/>
      </rPr>
      <t>PP Box</t>
    </r>
  </si>
  <si>
    <t>Per day Volume-Pallets PP Box</t>
  </si>
  <si>
    <r>
      <t xml:space="preserve">Monthly Volume </t>
    </r>
    <r>
      <rPr>
        <b/>
        <i/>
        <sz val="9"/>
        <color theme="1"/>
        <rFont val="Calibri"/>
        <family val="2"/>
        <scheme val="minor"/>
      </rPr>
      <t>Wooden Box</t>
    </r>
  </si>
  <si>
    <r>
      <t xml:space="preserve">Daily Inbound </t>
    </r>
    <r>
      <rPr>
        <b/>
        <i/>
        <sz val="9"/>
        <color theme="1"/>
        <rFont val="Calibri"/>
        <family val="2"/>
        <scheme val="minor"/>
      </rPr>
      <t>Woodn Box</t>
    </r>
  </si>
  <si>
    <t>Total Daily average receiving Pallets</t>
  </si>
  <si>
    <t>40 FT container Dimension (Usable space)</t>
  </si>
  <si>
    <t>No. of Cases per Vehicle</t>
  </si>
  <si>
    <t>Vehicle Inbound per day (All Type)</t>
  </si>
  <si>
    <t>10 - 22 FT, 4 - Pickup</t>
  </si>
  <si>
    <t>Mtr</t>
  </si>
  <si>
    <t>Avg no. of Invoices/GRN per day</t>
  </si>
  <si>
    <t>90 % 1 invoice</t>
  </si>
  <si>
    <t>MM</t>
  </si>
  <si>
    <t>Unloading TAT (Hours) per vehicle- All Type</t>
  </si>
  <si>
    <t>Hrs</t>
  </si>
  <si>
    <t>1 Pallet - 20 Box</t>
  </si>
  <si>
    <t>Pallet size</t>
  </si>
  <si>
    <t>No. of I/b Docks</t>
  </si>
  <si>
    <t>I/B Staging Area(Sq.Ft)</t>
  </si>
  <si>
    <t>Sq.Ft</t>
  </si>
  <si>
    <t>Pallet in vehicle</t>
  </si>
  <si>
    <t>Storage</t>
  </si>
  <si>
    <t>Inventory -Pallet (1200*1080*1200)</t>
  </si>
  <si>
    <t>DOH (Indicative)</t>
  </si>
  <si>
    <t>Pallet Positions - Required</t>
  </si>
  <si>
    <t>Pallet Positions - Bins</t>
  </si>
  <si>
    <t>Pallet Positions - Boxes</t>
  </si>
  <si>
    <t>Block Storage Area (Ground)</t>
  </si>
  <si>
    <t>Total Storage Area</t>
  </si>
  <si>
    <t>Cycle count Frequency per year (Wall to Wall)</t>
  </si>
  <si>
    <t>Outbound Days</t>
  </si>
  <si>
    <r>
      <t xml:space="preserve">Per day Volume-Pallets </t>
    </r>
    <r>
      <rPr>
        <b/>
        <i/>
        <sz val="9"/>
        <color theme="1"/>
        <rFont val="Calibri"/>
        <family val="2"/>
        <scheme val="minor"/>
      </rPr>
      <t>CB Box</t>
    </r>
  </si>
  <si>
    <r>
      <t xml:space="preserve">Per day Volume-Pallets </t>
    </r>
    <r>
      <rPr>
        <b/>
        <i/>
        <sz val="9"/>
        <color theme="1"/>
        <rFont val="Calibri"/>
        <family val="2"/>
        <scheme val="minor"/>
      </rPr>
      <t>PP Box</t>
    </r>
  </si>
  <si>
    <t>Average Orders per Day</t>
  </si>
  <si>
    <t>Monthly 1000 Invoice</t>
  </si>
  <si>
    <t>Average Lines per Day</t>
  </si>
  <si>
    <t>Vehicle outbound per day (All Type)</t>
  </si>
  <si>
    <t>Vehicle</t>
  </si>
  <si>
    <t>Loading TAT (Hours) per vehicle- All Vehicle</t>
  </si>
  <si>
    <t>No. of O/b Docks</t>
  </si>
  <si>
    <t>O/B Staging Area(Sq.Ft)</t>
  </si>
  <si>
    <t>Total Minimum Docs Required</t>
  </si>
  <si>
    <t>Total Pallet Required</t>
  </si>
  <si>
    <t>Returns %</t>
  </si>
  <si>
    <t>Manpower Summary</t>
  </si>
  <si>
    <t>1st Shift</t>
  </si>
  <si>
    <t>2nd Shift</t>
  </si>
  <si>
    <t>CTC</t>
  </si>
  <si>
    <t>Y1</t>
  </si>
  <si>
    <t xml:space="preserve">Resource </t>
  </si>
  <si>
    <t>Imperial</t>
  </si>
  <si>
    <t>Absentism</t>
  </si>
  <si>
    <t>Total</t>
  </si>
  <si>
    <t>Year 1</t>
  </si>
  <si>
    <t>Total Cost</t>
  </si>
  <si>
    <t>Operations Incharge</t>
  </si>
  <si>
    <t>Executive level</t>
  </si>
  <si>
    <t>Assistant Manager</t>
  </si>
  <si>
    <t>Safety Incharge</t>
  </si>
  <si>
    <t>Supervisor</t>
  </si>
  <si>
    <t>Inventory Exc.</t>
  </si>
  <si>
    <t>DEO</t>
  </si>
  <si>
    <t>Absentism Inc</t>
  </si>
  <si>
    <t>RT Operator</t>
  </si>
  <si>
    <t>FLT Operator</t>
  </si>
  <si>
    <t>Semi Skilled</t>
  </si>
  <si>
    <t>UnSkilled</t>
  </si>
  <si>
    <t>For 8 Hrs</t>
  </si>
  <si>
    <t>Housekeeping</t>
  </si>
  <si>
    <t xml:space="preserve">Total </t>
  </si>
  <si>
    <t>WAREHOUSE RUNNING COST</t>
  </si>
  <si>
    <t>Particulars</t>
  </si>
  <si>
    <t>Unit</t>
  </si>
  <si>
    <t>Unit Cost</t>
  </si>
  <si>
    <t>Qty/Nos.</t>
  </si>
  <si>
    <t>Electricity inclusive of Generator Fuel</t>
  </si>
  <si>
    <t>sq.ft.</t>
  </si>
  <si>
    <t>Water</t>
  </si>
  <si>
    <t>Staff</t>
  </si>
  <si>
    <t>Staff welfare</t>
  </si>
  <si>
    <t>Nos.</t>
  </si>
  <si>
    <t>Conveyance</t>
  </si>
  <si>
    <t>Late Night Compensation/ Conveyance</t>
  </si>
  <si>
    <t>At Actual</t>
  </si>
  <si>
    <t>PPE</t>
  </si>
  <si>
    <t>Safety Jacket, Helmets</t>
  </si>
  <si>
    <t>Drinking Water</t>
  </si>
  <si>
    <t>Stationary</t>
  </si>
  <si>
    <t>Temp Controlled Room Opex(25 Deg C)</t>
  </si>
  <si>
    <t>Units</t>
  </si>
  <si>
    <t xml:space="preserve">A4 Stationery + Printing </t>
  </si>
  <si>
    <t>MS Office + Antivirus</t>
  </si>
  <si>
    <t>Pallet A (1200x1080)</t>
  </si>
  <si>
    <t>Office Consumables</t>
  </si>
  <si>
    <t>Lumpsum</t>
  </si>
  <si>
    <t xml:space="preserve">Printer on hire </t>
  </si>
  <si>
    <t>Lumsum</t>
  </si>
  <si>
    <t>Printer on hire (Small)</t>
  </si>
  <si>
    <t>Dispatch Label  (100 mm x 150 mm)</t>
  </si>
  <si>
    <t>Customer Scope</t>
  </si>
  <si>
    <t>Label</t>
  </si>
  <si>
    <t>HU Label + Printer</t>
  </si>
  <si>
    <t>AMC</t>
  </si>
  <si>
    <t>Mobile</t>
  </si>
  <si>
    <t>Asset Maintenance</t>
  </si>
  <si>
    <t>Asset Insurance</t>
  </si>
  <si>
    <t>Reach Truck (1.6 Tonn Capacity &amp; 11 m Reach Height)</t>
  </si>
  <si>
    <t>Additional Battery for 2nd Shift</t>
  </si>
  <si>
    <t>BOPT (1 Ton Capacity)</t>
  </si>
  <si>
    <t>Forklift ( 2 Ton Capacity)</t>
  </si>
  <si>
    <t>Licences Cost</t>
  </si>
  <si>
    <t>Swiping machine</t>
  </si>
  <si>
    <t>Need to check</t>
  </si>
  <si>
    <t>Need to add in capex</t>
  </si>
  <si>
    <t>DG + Servo on Rent 30 KV</t>
  </si>
  <si>
    <t>Internet Connectivity (6 + 6 MBPS) - Lease Line</t>
  </si>
  <si>
    <t>WMS Opex &amp; Maintainence</t>
  </si>
  <si>
    <t xml:space="preserve">Pest Control &amp; Housekeeping consumables </t>
  </si>
  <si>
    <t>TOTAL COST OF UTILITIES AND CONSUMABLES</t>
  </si>
  <si>
    <t>Y2</t>
  </si>
  <si>
    <t>Y3</t>
  </si>
  <si>
    <t>Y4</t>
  </si>
  <si>
    <t>Y5</t>
  </si>
  <si>
    <t>Asset Usage Charge Yr 1</t>
  </si>
  <si>
    <t>Year 2</t>
  </si>
  <si>
    <t>Year 3</t>
  </si>
  <si>
    <t>Year 4</t>
  </si>
  <si>
    <t>Year 5</t>
  </si>
  <si>
    <t>Capex</t>
  </si>
  <si>
    <t>Amortization Value</t>
  </si>
  <si>
    <t>Inflation</t>
  </si>
  <si>
    <t>Interest</t>
  </si>
  <si>
    <t>Qty (Additional Qty)</t>
  </si>
  <si>
    <t>Unit Rate</t>
  </si>
  <si>
    <t>Investment Value</t>
  </si>
  <si>
    <t>CHECK POINTS</t>
  </si>
  <si>
    <t>Maintenance Per annum</t>
  </si>
  <si>
    <t>Insurance Per annum</t>
  </si>
  <si>
    <t>C1</t>
  </si>
  <si>
    <t>C2</t>
  </si>
  <si>
    <t>C3</t>
  </si>
  <si>
    <t>C4</t>
  </si>
  <si>
    <t>C5</t>
  </si>
  <si>
    <t>Annual All inclusive Cost</t>
  </si>
  <si>
    <t>WH Space</t>
  </si>
  <si>
    <t>Monthly All inclusive Cost</t>
  </si>
  <si>
    <t>TF1</t>
  </si>
  <si>
    <t>TF2</t>
  </si>
  <si>
    <t>TF3</t>
  </si>
  <si>
    <t>TF4</t>
  </si>
  <si>
    <t>Sum(C1:C2)</t>
  </si>
  <si>
    <t>Sum(C1:C4)</t>
  </si>
  <si>
    <t>lḥ</t>
  </si>
  <si>
    <t>Capex Type</t>
  </si>
  <si>
    <t>Item Description</t>
  </si>
  <si>
    <t>Capex Code</t>
  </si>
  <si>
    <t>Assets can be leased</t>
  </si>
  <si>
    <t>Re investemnt</t>
  </si>
  <si>
    <t>Contract LifeUseful life</t>
  </si>
  <si>
    <t>Actual 
Useful life</t>
  </si>
  <si>
    <t>UoM</t>
  </si>
  <si>
    <t>Rate</t>
  </si>
  <si>
    <t>Rate 
Source</t>
  </si>
  <si>
    <t>Yr 1</t>
  </si>
  <si>
    <t>Yr 2</t>
  </si>
  <si>
    <t>Yr 3</t>
  </si>
  <si>
    <t>Yr 4</t>
  </si>
  <si>
    <t>Yr 5</t>
  </si>
  <si>
    <t>Total Project Capex</t>
  </si>
  <si>
    <t>Asset Usage Charge
Yr 1</t>
  </si>
  <si>
    <t>Amortization
Value</t>
  </si>
  <si>
    <t>Maintenance
Per annum</t>
  </si>
  <si>
    <t>Insurance
Per annum</t>
  </si>
  <si>
    <t>Asset Value - Start of Year 2</t>
  </si>
  <si>
    <t>Asset Usage Charge
Yr 2</t>
  </si>
  <si>
    <t>Asset Value - End of Year 2</t>
  </si>
  <si>
    <t>Asset Usage Charge
Yr 3</t>
  </si>
  <si>
    <t>Asset Value - End of Year 3</t>
  </si>
  <si>
    <t>Asset Usage Charge
Yr 4</t>
  </si>
  <si>
    <t>Asset Value - End of Year 4</t>
  </si>
  <si>
    <t>Asset Usage Charge
Yr 5</t>
  </si>
  <si>
    <t>Residual Value
End of Contract</t>
  </si>
  <si>
    <t>Total Amortization Recovered</t>
  </si>
  <si>
    <t>Total Interest Recovered</t>
  </si>
  <si>
    <t>Total Maintenance per Annum Recovered</t>
  </si>
  <si>
    <t>Total Insurance per Annum Recovered</t>
  </si>
  <si>
    <t>Total Asset Charge to Customer</t>
  </si>
  <si>
    <t>Total Cost to Customer</t>
  </si>
  <si>
    <t>Total as per year wise asset usage charge</t>
  </si>
  <si>
    <t>Difference</t>
  </si>
  <si>
    <t>Balance
Asset Value as per Amortization</t>
  </si>
  <si>
    <t>Difference with Residual value</t>
  </si>
  <si>
    <t>Value end of 5th year</t>
  </si>
  <si>
    <t>Infra</t>
  </si>
  <si>
    <t>Heavy Duty Racking (1200*1080) 1 Ton G+6</t>
  </si>
  <si>
    <t>Yes</t>
  </si>
  <si>
    <t>Nos</t>
  </si>
  <si>
    <t>Fixed Cost</t>
  </si>
  <si>
    <t>Heavy Duty Racking 1000KG with decking</t>
  </si>
  <si>
    <t>Long Span Shelving with partition Mezzanine G+3 (L 2700 mm, D 600mm &amp; 4 shelves per rack 2 meter rack height and 200Kg UDL) with Lighting - Per location</t>
  </si>
  <si>
    <t>Cantilever Rack</t>
  </si>
  <si>
    <t xml:space="preserve">Slotted angle rack </t>
  </si>
  <si>
    <t>Racks for Spares</t>
  </si>
  <si>
    <t xml:space="preserve">LSS Lightening </t>
  </si>
  <si>
    <t>No</t>
  </si>
  <si>
    <t>IT</t>
  </si>
  <si>
    <t>Desktop</t>
  </si>
  <si>
    <t>Laptop</t>
  </si>
  <si>
    <t>Projectors</t>
  </si>
  <si>
    <t>TAS Machine</t>
  </si>
  <si>
    <t>Wired Scanners</t>
  </si>
  <si>
    <t>HHT</t>
  </si>
  <si>
    <t>HU Printer</t>
  </si>
  <si>
    <t>Firewall</t>
  </si>
  <si>
    <t xml:space="preserve">Switch - CISCO SG350 28 ports 2 gigabit </t>
  </si>
  <si>
    <t>Access point Antenna</t>
  </si>
  <si>
    <t>Data Cabling</t>
  </si>
  <si>
    <t>Sqft</t>
  </si>
  <si>
    <t>Wall Mount Fan - 24 Inch</t>
  </si>
  <si>
    <t>Security  Chairs - Not plastic</t>
  </si>
  <si>
    <t>Visitor Chairs - Not plastic</t>
  </si>
  <si>
    <t>1 KVA UPS with batteries 90 min</t>
  </si>
  <si>
    <t>3 KVA UPS with batteries 90 min/3 KVA Inverter with battery (200 Ah)</t>
  </si>
  <si>
    <t>6 KVA UPS with batteries 90 min</t>
  </si>
  <si>
    <t>10 KVA UPS with batteries 90 min</t>
  </si>
  <si>
    <t>20 KVA UPS with batteries 90 min</t>
  </si>
  <si>
    <t>Work Station (Table + Chair)</t>
  </si>
  <si>
    <t>Stabilizer</t>
  </si>
  <si>
    <t>Storage cage - Cycle count</t>
  </si>
  <si>
    <t>Lockers for employees</t>
  </si>
  <si>
    <t>Step ladder</t>
  </si>
  <si>
    <t>WMS Software</t>
  </si>
  <si>
    <t>Variable Cost</t>
  </si>
  <si>
    <t>Plastic Crates for Storage</t>
  </si>
  <si>
    <t>Wooden Pallet - Pine wood (1000x1200 mm)</t>
  </si>
  <si>
    <t>Wooden Pallet - Jungle Wood (1000x1200 mm)</t>
  </si>
  <si>
    <t>CRATE50</t>
  </si>
  <si>
    <t>Industrial dustbins ( 10 Ltr)</t>
  </si>
  <si>
    <t>CCTV Solutions</t>
  </si>
  <si>
    <t>AC - 1.5 tons</t>
  </si>
  <si>
    <t>Emergency Lights - Small</t>
  </si>
  <si>
    <t>MPLS Line - One time charges</t>
  </si>
  <si>
    <t>Signage &amp; Bay Marking</t>
  </si>
  <si>
    <t>Water Dispnser</t>
  </si>
  <si>
    <t>Kitting Tables Steel L-3.5m &amp; B-2m</t>
  </si>
  <si>
    <t>Scanning Table ( Light+ Internet connection)</t>
  </si>
  <si>
    <t>Dg set - 15 KVA with Platform &amp; Installation</t>
  </si>
  <si>
    <t>Dg set - 30 KVA with Platform &amp; Installation</t>
  </si>
  <si>
    <t>Dg set - 40 KVA with Platform &amp; Installation</t>
  </si>
  <si>
    <t>Dg set - 50 KVA with Platform &amp; Installation</t>
  </si>
  <si>
    <t>Dg set - 62 KVA KVA with Platform &amp; Installation</t>
  </si>
  <si>
    <t>Dg set - 125 KVA KVA with Platform &amp; Installation</t>
  </si>
  <si>
    <t>Fire Extinguisher - 6 KG</t>
  </si>
  <si>
    <t>Manual handheld portable strap tensioner &amp; sealer</t>
  </si>
  <si>
    <t>Steel cage for Picking of Cases</t>
  </si>
  <si>
    <t>Dock Leveler</t>
  </si>
  <si>
    <t>Office interior, carpentery work &amp; Electrification</t>
  </si>
  <si>
    <t>Server Room</t>
  </si>
  <si>
    <t xml:space="preserve">Conference room </t>
  </si>
  <si>
    <t xml:space="preserve">MHE </t>
  </si>
  <si>
    <t>MHE Setup Area</t>
  </si>
  <si>
    <t>Almirah</t>
  </si>
  <si>
    <t>Insecticide Room</t>
  </si>
  <si>
    <t>Lock &amp; Key Room</t>
  </si>
  <si>
    <t>Warehouse Electrification Cost</t>
  </si>
  <si>
    <t>Hand Pallet Truck - 2.5 ton</t>
  </si>
  <si>
    <t>Picking Trolley</t>
  </si>
  <si>
    <t>Sorting Trolley</t>
  </si>
  <si>
    <t>Reach Truck as per Design</t>
  </si>
  <si>
    <t>Weighing Machine 2 Ton</t>
  </si>
  <si>
    <t>Weighing Machine 5 Ton</t>
  </si>
  <si>
    <t>Manual sweeper machine</t>
  </si>
  <si>
    <t>Semi Auto Sweeper Machine</t>
  </si>
  <si>
    <t>Fully Auto Sweeper Machine</t>
  </si>
  <si>
    <t>Emergency Exit Door</t>
  </si>
  <si>
    <t>White Board</t>
  </si>
  <si>
    <t>Height gauge</t>
  </si>
  <si>
    <t>Surface Plate</t>
  </si>
  <si>
    <t>Canteen table (10 person)</t>
  </si>
  <si>
    <t>Others</t>
  </si>
  <si>
    <t>Un-Accounted Capex</t>
  </si>
  <si>
    <t>Swiping Machine</t>
  </si>
  <si>
    <t>Implementation Cost</t>
  </si>
  <si>
    <t>With Lease</t>
  </si>
  <si>
    <t>S</t>
  </si>
  <si>
    <t>Yearly</t>
  </si>
  <si>
    <t>Monthly</t>
  </si>
  <si>
    <t>Common</t>
  </si>
  <si>
    <t>Without Lease</t>
  </si>
  <si>
    <t>(Diff should be implementation cost only)</t>
  </si>
  <si>
    <t>Overall</t>
  </si>
  <si>
    <t>Indicative Monthly Cost Summary</t>
  </si>
  <si>
    <t xml:space="preserve">Warehouse Rental </t>
  </si>
  <si>
    <t>Capex for office area Imperial</t>
  </si>
  <si>
    <t>Manpower Costs</t>
  </si>
  <si>
    <t>Sub Total</t>
  </si>
  <si>
    <t>Opex Cost</t>
  </si>
  <si>
    <t>Cost of capital</t>
  </si>
  <si>
    <t>Capex Amortization</t>
  </si>
  <si>
    <t>Total Monthly Operating Cost</t>
  </si>
  <si>
    <t>Overheads</t>
  </si>
  <si>
    <t>Management Fees</t>
  </si>
  <si>
    <t>Effective working Hours/ Shift</t>
  </si>
  <si>
    <t>Occupancy</t>
  </si>
  <si>
    <t>Productive Hr/Shift</t>
  </si>
  <si>
    <t>Area</t>
  </si>
  <si>
    <t>Process Description</t>
  </si>
  <si>
    <t>Productivity (Per day)</t>
  </si>
  <si>
    <t>Productivity (Per Hr)</t>
  </si>
  <si>
    <t>Role</t>
  </si>
  <si>
    <t>MHE</t>
  </si>
  <si>
    <t xml:space="preserve">Daily Volume </t>
  </si>
  <si>
    <t>1st Shift Volume</t>
  </si>
  <si>
    <t>2nd Shift Volume</t>
  </si>
  <si>
    <t>2 Shift</t>
  </si>
  <si>
    <t>HR Executive</t>
  </si>
  <si>
    <t>MIS &amp; Inventory management</t>
  </si>
  <si>
    <t>Inventory Controller</t>
  </si>
  <si>
    <t xml:space="preserve">Security </t>
  </si>
  <si>
    <t>Security - 2nd Shift</t>
  </si>
  <si>
    <t>Security - Vigilance (Night)</t>
  </si>
  <si>
    <t>Security - Dock</t>
  </si>
  <si>
    <t>Supervision</t>
  </si>
  <si>
    <t>Invoices</t>
  </si>
  <si>
    <t>Check the seal / Vehicle condition/ document collection/ dock monitor</t>
  </si>
  <si>
    <t>Empty Pallets Movement unloading area</t>
  </si>
  <si>
    <t>Unloading the Cases/Pallets</t>
  </si>
  <si>
    <t>HPT</t>
  </si>
  <si>
    <t>Visual Verification of Cases/Pallets</t>
  </si>
  <si>
    <t>Scanning of the Boxes/Pallets</t>
  </si>
  <si>
    <t>BOPT</t>
  </si>
  <si>
    <t>Staging to storage</t>
  </si>
  <si>
    <t>Material Putaway to HDR</t>
  </si>
  <si>
    <t>RT</t>
  </si>
  <si>
    <t>Lines</t>
  </si>
  <si>
    <t>Picking the Boxes &amp; Pallets from the location</t>
  </si>
  <si>
    <t>Outward</t>
  </si>
  <si>
    <t>Loading of boxes</t>
  </si>
  <si>
    <t>Loading of export Pallets</t>
  </si>
  <si>
    <t>FLT</t>
  </si>
  <si>
    <t xml:space="preserve">Cycle Count </t>
  </si>
  <si>
    <t>Locations</t>
  </si>
  <si>
    <t>1st shift</t>
  </si>
  <si>
    <t>2nd shift</t>
  </si>
  <si>
    <t>Security - Supervisor</t>
  </si>
  <si>
    <t>Grand Total</t>
  </si>
  <si>
    <t>Other Resources</t>
  </si>
  <si>
    <t>Description</t>
  </si>
  <si>
    <t>Label Printer</t>
  </si>
  <si>
    <t>Wired Scanner</t>
  </si>
  <si>
    <t>Printer</t>
  </si>
  <si>
    <t>Engg Trolley</t>
  </si>
  <si>
    <t>Toe Truck</t>
  </si>
  <si>
    <t>Weighing Scale</t>
  </si>
  <si>
    <t>Cage Trolley</t>
  </si>
  <si>
    <t>Box Strapping Machine</t>
  </si>
  <si>
    <t>HP Scanjet Enterprise Flow 7500 Flatbed Scanner</t>
  </si>
  <si>
    <t>RT with Picking cage</t>
  </si>
  <si>
    <t>Office</t>
  </si>
  <si>
    <t>Staff To Sit in Office</t>
  </si>
  <si>
    <t>Area / Staff</t>
  </si>
  <si>
    <t>Total Area</t>
  </si>
  <si>
    <t>Document Storage</t>
  </si>
  <si>
    <t>Server room</t>
  </si>
  <si>
    <t>Meeting room</t>
  </si>
  <si>
    <t>MHE Area</t>
  </si>
  <si>
    <t>Total Area - Office</t>
  </si>
  <si>
    <t>Heavy Duty Racking (1200*1080) 1 Ton G+5</t>
  </si>
  <si>
    <t>Base Carpet Area</t>
  </si>
  <si>
    <t>Additional Area</t>
  </si>
  <si>
    <t>Other Area - 2</t>
  </si>
  <si>
    <t>Other Area - 3</t>
  </si>
  <si>
    <t>Total Carpet Area</t>
  </si>
  <si>
    <t>Total Builtup Area</t>
  </si>
  <si>
    <t>Planned Builtup Area</t>
  </si>
  <si>
    <t>Base Rent</t>
  </si>
  <si>
    <t>Monthly Base Rental</t>
  </si>
  <si>
    <t>Security Deposit</t>
  </si>
  <si>
    <t>Interest on SD</t>
  </si>
  <si>
    <t>Registration cost</t>
  </si>
  <si>
    <t>Total Monthly Rental</t>
  </si>
  <si>
    <t>Boxes</t>
  </si>
  <si>
    <t>Invoice</t>
  </si>
  <si>
    <t>Inbound Contribution</t>
  </si>
  <si>
    <t>Inward pallets</t>
  </si>
  <si>
    <t>10 AM -12 PM</t>
  </si>
  <si>
    <t>Inbound days</t>
  </si>
  <si>
    <t>12 PM - 6 PM</t>
  </si>
  <si>
    <t>CB Box monthly Inward</t>
  </si>
  <si>
    <t>6 PM - 11 PM</t>
  </si>
  <si>
    <t>CB Box Daily</t>
  </si>
  <si>
    <t>CB Box daily Pallets</t>
  </si>
  <si>
    <t>PP Box monthly Inward</t>
  </si>
  <si>
    <t>Outbound Contribution</t>
  </si>
  <si>
    <t>PP Box Daily</t>
  </si>
  <si>
    <t>PP Box daily Pallets</t>
  </si>
  <si>
    <t>Wooden Box monthly Inward</t>
  </si>
  <si>
    <t>Wooden Box Daily</t>
  </si>
  <si>
    <t>Outward pallets</t>
  </si>
  <si>
    <t>Daily</t>
  </si>
  <si>
    <t>Avg. box weight</t>
  </si>
  <si>
    <t>Total box dispatch daily</t>
  </si>
  <si>
    <t>CB Box monthly Outward</t>
  </si>
  <si>
    <t>PP Box monthly Outward</t>
  </si>
  <si>
    <t>Wooden Box monthly Outward</t>
  </si>
  <si>
    <t>North</t>
  </si>
  <si>
    <t>Builtup Ratio</t>
  </si>
  <si>
    <t>YOY Rent Escalation</t>
  </si>
  <si>
    <t>months</t>
  </si>
  <si>
    <t>Clear Height</t>
  </si>
  <si>
    <t>m</t>
  </si>
  <si>
    <t>ft</t>
  </si>
  <si>
    <t>Column Loss</t>
  </si>
  <si>
    <t>Contract Period</t>
  </si>
  <si>
    <t>Years</t>
  </si>
  <si>
    <t>Define Racking Dimensions</t>
  </si>
  <si>
    <t>Height Check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</si>
  <si>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</si>
  <si>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</si>
  <si>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</si>
  <si>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</si>
  <si>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</si>
  <si>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</si>
  <si>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</si>
  <si>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</si>
  <si>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</si>
  <si>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</si>
  <si>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</si>
  <si>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</si>
  <si>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</si>
  <si>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</si>
  <si>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</t>
  </si>
  <si>
    <t>C</t>
  </si>
  <si>
    <t>D</t>
  </si>
  <si>
    <t>Pallet Racking</t>
  </si>
  <si>
    <t>Shelving</t>
  </si>
  <si>
    <t>Racking Type</t>
  </si>
  <si>
    <t>Pallet Ground</t>
  </si>
  <si>
    <t>Block stack</t>
  </si>
  <si>
    <t>Slotted Angle Racks</t>
  </si>
  <si>
    <t>Clearance Height</t>
  </si>
  <si>
    <t>Storage Height (m) - w/o pallet</t>
  </si>
  <si>
    <t>Beam Height</t>
  </si>
  <si>
    <t>MHE Used</t>
  </si>
  <si>
    <t>Trolley</t>
  </si>
  <si>
    <t>Ceiling Clearance</t>
  </si>
  <si>
    <t>Aisle width (m)</t>
  </si>
  <si>
    <t>MHE Length</t>
  </si>
  <si>
    <t>Clear bay width (m)</t>
  </si>
  <si>
    <t>Pallet Length</t>
  </si>
  <si>
    <t>Upright width (m)</t>
  </si>
  <si>
    <t>Pallets/ Bins/face (plt)</t>
  </si>
  <si>
    <t>No.of Pallet in 1 Location</t>
  </si>
  <si>
    <t>Upright depth (m)</t>
  </si>
  <si>
    <t>Pallet Depth</t>
  </si>
  <si>
    <t>Pallet overhang (m)</t>
  </si>
  <si>
    <t>Multi-deep pallet spacing (m)</t>
  </si>
  <si>
    <t>Spacing between rack (m)</t>
  </si>
  <si>
    <t>Storage depth (plts)</t>
  </si>
  <si>
    <t>Max possible levels</t>
  </si>
  <si>
    <t>No. of pallet high (plts)</t>
  </si>
  <si>
    <t>Cross Aisle Allowance</t>
  </si>
  <si>
    <t>Space Standard (Sq. Ft.)</t>
  </si>
  <si>
    <t>DO NOT EDIT THIS LINE &gt;&gt;&gt;</t>
  </si>
  <si>
    <t/>
  </si>
  <si>
    <t>Pallet Sq.ft</t>
  </si>
  <si>
    <t>Pallet Position</t>
  </si>
  <si>
    <t>Storage Area</t>
  </si>
  <si>
    <t>Staging Area</t>
  </si>
  <si>
    <t>office area</t>
  </si>
  <si>
    <t>MHE area</t>
  </si>
  <si>
    <t>Washroom area</t>
  </si>
  <si>
    <t>Canteen area</t>
  </si>
  <si>
    <t>Other area</t>
  </si>
  <si>
    <t>Total carpet area</t>
  </si>
  <si>
    <t>Calculate area</t>
  </si>
  <si>
    <t>E</t>
  </si>
  <si>
    <t>Running meter</t>
  </si>
  <si>
    <t>Pallet</t>
  </si>
  <si>
    <t>Shelving Rack</t>
  </si>
  <si>
    <t>Slotted Angle Rack</t>
  </si>
  <si>
    <t>Steel Cage Area</t>
  </si>
  <si>
    <t>Storage Qnty Required - Yr 1</t>
  </si>
  <si>
    <t>Sides</t>
  </si>
  <si>
    <t>Storage Qnty Required - Yr 2</t>
  </si>
  <si>
    <t>Buffer</t>
  </si>
  <si>
    <t>Height in ft</t>
  </si>
  <si>
    <t>Storage Qnty Required - Yr 3</t>
  </si>
  <si>
    <t>Running Sqft</t>
  </si>
  <si>
    <t>Storage Qnty Required - Yr 4</t>
  </si>
  <si>
    <t>Roof</t>
  </si>
  <si>
    <t>Storage Qnty Required - Yr 5</t>
  </si>
  <si>
    <t>sqft</t>
  </si>
  <si>
    <t>Honeycombing allowance</t>
  </si>
  <si>
    <t>Rate/running Sqft</t>
  </si>
  <si>
    <t>General utilisation</t>
  </si>
  <si>
    <t>Actual Qnty Required - Yr 1</t>
  </si>
  <si>
    <t>opening door</t>
  </si>
  <si>
    <t>Actual Qnty Required - Yr 2</t>
  </si>
  <si>
    <t>Actual Qnty Required - Yr 3</t>
  </si>
  <si>
    <t>Rate/Sqft</t>
  </si>
  <si>
    <t>Actual Qnty Required - Yr 4</t>
  </si>
  <si>
    <t>Actual Qnty Required - Yr 5</t>
  </si>
  <si>
    <t>Total Storage Area (Sq. Ft.)</t>
  </si>
  <si>
    <t>Warehouse Area Summary</t>
  </si>
  <si>
    <t>Inbound Staging Area</t>
  </si>
  <si>
    <t>Dispatch Staging Area</t>
  </si>
  <si>
    <t>Office / Canteen  &amp; other areas</t>
  </si>
  <si>
    <t>Washroom Area</t>
  </si>
  <si>
    <t>Walkway Area</t>
  </si>
  <si>
    <t>Other Area</t>
  </si>
  <si>
    <t>Carpet Area to consider</t>
  </si>
  <si>
    <t>Option - 3</t>
  </si>
  <si>
    <t>Rent Working</t>
  </si>
  <si>
    <t>YoY Growth</t>
  </si>
  <si>
    <t>LL Quoted Rental</t>
  </si>
  <si>
    <t>LL Quoted for Mezzanine</t>
  </si>
  <si>
    <t>Total Months</t>
  </si>
  <si>
    <t>Rent Free Period</t>
  </si>
  <si>
    <t>Effective Rental Month</t>
  </si>
  <si>
    <t>Net Built-up Area</t>
  </si>
  <si>
    <t>Net Mezzanine Area - Built-Up</t>
  </si>
  <si>
    <t>Net Built-up cost</t>
  </si>
  <si>
    <t>Net Mezzanine Area - Built-Up cost</t>
  </si>
  <si>
    <t>Total Rental Cost</t>
  </si>
  <si>
    <t>Effective Rental/Month</t>
  </si>
  <si>
    <t>Registration Fee YOY</t>
  </si>
  <si>
    <t>Paid by TVS</t>
  </si>
  <si>
    <t>Paid by Landlord</t>
  </si>
  <si>
    <t>1 CFT = 7.5 Kg</t>
  </si>
  <si>
    <t>mm</t>
  </si>
  <si>
    <t>Pallet Dimension mm</t>
  </si>
  <si>
    <t>Row Labels</t>
  </si>
  <si>
    <t>Average</t>
  </si>
  <si>
    <t>New Average</t>
  </si>
  <si>
    <t>75 Percentile</t>
  </si>
  <si>
    <t>Contri %</t>
  </si>
  <si>
    <t>No of Day</t>
  </si>
  <si>
    <t>Daily Box</t>
  </si>
  <si>
    <t>Avg. Box weight kg</t>
  </si>
  <si>
    <t>CFT Weight</t>
  </si>
  <si>
    <t>Total Box weight Kg</t>
  </si>
  <si>
    <t>Avg. Pallet weight kg)</t>
  </si>
  <si>
    <t>Pallets Daily</t>
  </si>
  <si>
    <t>L</t>
  </si>
  <si>
    <t>W</t>
  </si>
  <si>
    <t>H</t>
  </si>
  <si>
    <t>Box Stacking hight</t>
  </si>
  <si>
    <t>CFT Pallet Weight</t>
  </si>
  <si>
    <t>Hight FT</t>
  </si>
  <si>
    <t>Inventory on Pallet</t>
  </si>
  <si>
    <t>Total Boxes</t>
  </si>
  <si>
    <t>Total pallets</t>
  </si>
  <si>
    <t>Stored Pallets</t>
  </si>
  <si>
    <t>5 Ply Corrugated Box (size- 457x380x330 mm)-OD, (Type-1 ,B.S -14 Kg/cm2)</t>
  </si>
  <si>
    <t>Sum of Inventory on Pallet</t>
  </si>
  <si>
    <t>Sum of Total pallets</t>
  </si>
  <si>
    <t>18X15X13( 3 KRAFT PAPER 180 GSM 22 BF, 2 SEMI KRAFT PAPER 125 GSM 18 BF) Corrugated Box</t>
  </si>
  <si>
    <t>5 Ply Corrugated Box (size- 940x355x320 mm)-OD, (Type-1 ,B.S -14 Kg/cm2)</t>
  </si>
  <si>
    <t>37X14X12.5 ( 3 KRAFT PAPER 180 GSM 22 BF, 2 SEMI KRAFT PAPER 125 GSM 18 BF) Corrugated Box</t>
  </si>
  <si>
    <t>5 Ply Corrugated Box (size- 508x305x205 mm)-OD, (Type-1 ,B.S -14 Kg/cm2)</t>
  </si>
  <si>
    <t>CORRUGATED BOX (36 X 12 X 15 )" 5 PLY</t>
  </si>
  <si>
    <t>24X15X10 ( 3 KRAFT PAPER 180 GSM 22 BF, 2 SEMI KRAFT PAPER 125 GSM 18 BF) Corrugated Box</t>
  </si>
  <si>
    <t>5 Ply Corrugated Box (size- 410x240x160 mm)-OD, (Type-1 ,B.S -14 Kg/cm2)</t>
  </si>
  <si>
    <t>Daily Pallets</t>
  </si>
  <si>
    <t>20.5X16X11.5 BOX (TOP 300GSM)</t>
  </si>
  <si>
    <t>Sum of Pallets Daily2</t>
  </si>
  <si>
    <t>3 ply, inner selflocking CB box size : 105 x 105 x 170 mm -(OD) Paper combination ( 250 VK ,22 BF X 140 VK,22BF X 250 VK ,22 BF) , B.S : 11 Kg/cm2.</t>
  </si>
  <si>
    <t>5 Ply Corrugated Box (size- 670x410x320 mm)-OD, (Type-1 ,B.S -14 Kg/cm2)</t>
  </si>
  <si>
    <t>670X410X320 7 PLY 300 GM CB BOX</t>
  </si>
  <si>
    <t>CORRUGATED BOXES 560X370X160,5PLY,25BF</t>
  </si>
  <si>
    <t>5 Ply Corrugated Box (size- 787x381x254 mm)-OD, (Type-1 ,B.S -14 Kg/cm2)</t>
  </si>
  <si>
    <t>CB Box  410 x 240 x 160 mm , B.S-14 (5 Ply , Type-1)</t>
  </si>
  <si>
    <t>WHITE BOX FOR DORMAN 80X72X120  PARTNO.- 904-325</t>
  </si>
  <si>
    <t>BOX SIZE 20X12X8 ( BURSTING STRENGTH -14 )</t>
  </si>
  <si>
    <t>C.B. BOXES   22.1/2 X 13 X 7"  5PLY</t>
  </si>
  <si>
    <t>WHITE BOX FOR DORMAN 220 X 130 X 58 mm  PART NO.-904-968/969/971/972</t>
  </si>
  <si>
    <t>5 PLY UNIVERSAL CORRUGATED BOX (760X370X180mm)</t>
  </si>
  <si>
    <t>31X15X10 ( 3 KRAFT PAPER 180 GSM 22 BF, 2 SEMI KRAFT PAPER 125 GSM 18 BF) Corrugated Box</t>
  </si>
  <si>
    <t>WHITE BOX FOR DORMAN 110x90x130  PART NO.-904-128/904-129</t>
  </si>
  <si>
    <t>Corrugated Box 5 Ply   45" x 13" x 12"</t>
  </si>
  <si>
    <t>5 Ply Corrugated Box (size- 940x355x205 mm)-OD, (Type-1 ,B.S -14 Kg/cm2)</t>
  </si>
  <si>
    <t>5PLY BOX  14"X14"6"</t>
  </si>
  <si>
    <t>5 Ply Corrugated Box (size- 760x370x180 mm)-OD, (Type-1 ,B.S -14 Kg/cm2)-automatic corrugated board</t>
  </si>
  <si>
    <t>5 Ply corrugated separator (size- 745x500x7 mm), (B.S -12 Kg/cm2)-automatic corrugated board</t>
  </si>
  <si>
    <t>C.B.BOX 24 X15X 10 ( 7 PLY )</t>
  </si>
  <si>
    <t>CB Box 520 x 240 x 160 mm , B.S-14 (5 Ply , Type-1)</t>
  </si>
  <si>
    <t>510X380X205 MM 5 PLY C. BOX</t>
  </si>
  <si>
    <t>5 PLY CORRUGATION SEPARATOR SHEET (745x500x7mm)</t>
  </si>
  <si>
    <t>CB Box 650 x 370 x 320 mm , B.S-17 (5 Ply , Type-2)</t>
  </si>
  <si>
    <t>C.B. BOXES   36 X 9 X 5"  7 PLY (719 Gm.)</t>
  </si>
  <si>
    <t>C.B.BOX22X19X9.5"  5 PLY</t>
  </si>
  <si>
    <t>Corrugated Box (5Ply HSC(B.S&gt;14)&amp; 3Ply lid) Size-413*362*286mm(O.D)</t>
  </si>
  <si>
    <t>30X18X8 ( 3 KRAFT PAPER 180 GSM 22 BF, 2 SEMI KRAFT PAPER 125 GSM 18 BF) Corrugated Box</t>
  </si>
  <si>
    <t>20X17X9.5( 3 KRAFT PAPER 180 GSM 22 BF, 2 SEMI KRAFT PAPER 125 GSM 18 BF) Corrugated Box</t>
  </si>
  <si>
    <t>20X15X8 ( 3 KRAFT PAPER 180 GSM 22 BF, 2 SEMI KRAFT PAPER 125 GSM 18 BF) Corrugated Box</t>
  </si>
  <si>
    <t>5 Ply Corrugated Box (size- 725x700x335 mm)-OD, (Type-2 ,B.S -17 Kg/cm2)</t>
  </si>
  <si>
    <t>5 Ply Corrugated Box (size- 508x430x320 mm)-OD, (Type-1 ,B.S -14 Kg/cm2)</t>
  </si>
  <si>
    <t>5 Ply Corrugated Box (size- 520x240x160 mm)-OD, (Type-1 ,B.S -14 Kg/cm2)</t>
  </si>
  <si>
    <t>5 Ply Corrugated Box (size- 650x370x320 mm)-OD, (Type-2 ,B.S -17 Kg/cm2)</t>
  </si>
  <si>
    <t>5 Ply Corrugated Box (size- 508x305x255 mm)-OD, (Type-1 ,B.S -14 Kg/cm2)</t>
  </si>
  <si>
    <t>Corrugated Box Size  400 X 400 X 150</t>
  </si>
  <si>
    <t>5 Ply Corrugated Box (size- 1090x470x240 mm)-OD, (Type-1 ,B.S -14 Kg/cm2)</t>
  </si>
  <si>
    <t>Corrugated Box 3 Ply Size- 18"*15"</t>
  </si>
  <si>
    <t>5 Ply Corrugated Box (size- 508x430x240 mm)-OD, (Type-1 ,B.S -14 Kg/cm2)</t>
  </si>
  <si>
    <t>5 Ply Corrugated Box (size- 560x370x180 mm)-OD, (Type-1 ,B.S -14 Kg/cm2)-automatic corrugated board</t>
  </si>
  <si>
    <t>43X18.5X9.5 ( 3 KRAFT PAPER 180 GSM 22 BF, 2 SEMI KRAFT PAPER 125 GSM 18 BF) Corrugated Box</t>
  </si>
  <si>
    <t>CB Box  660 x 380 x 160 mm , B.S-14 (5 Ply , Type-1)</t>
  </si>
  <si>
    <t>CORRUGATED BOXES 410X235X160,5PLY,25BF</t>
  </si>
  <si>
    <t>3 ply, inner selflocking CB box size : 205 x 105 x 140 mm -(OD) Paper combination ( 250 VK ,22 BF X 140 VK,22BF X 250 VK ,22 BF) , B.S : 11 Kg/cm2.</t>
  </si>
  <si>
    <t>3 ply, outer selflocking CB box size : 230 x 225 x 180 mm -(OD) Paper combination ( 250 VK ,22 BF X 140 VK,22BF X 250 VK ,22 BF) , B.S : 11 Kg/cm2.</t>
  </si>
  <si>
    <t>CORRUGATED BOXES  35X16X6,5-PLY,300GM</t>
  </si>
  <si>
    <t>5 Ply corrugated separator  (size- 555x500x7 mm), (B.S -12 Kg/cm2)-automatic corrugated board</t>
  </si>
  <si>
    <t>560X410X160 5PLY 300GM CB BOX</t>
  </si>
  <si>
    <t>5 PLY CORRUGATION SEPARATOR SHEET (555x500x7mm)</t>
  </si>
  <si>
    <t>11X15X10 ( 3 KRAFT PAPER 180 GSM 22 BF, 2 SEMI KRAFT PAPER 125 GSM 18 BF) Corrugated Box</t>
  </si>
  <si>
    <t>5 Ply Corrugated Box (size- 762x508x305 mm)-OD, (Type-1 ,B.S -14 Kg/cm2)</t>
  </si>
  <si>
    <t>7 PLY CORRUGATED BOX ( 725 x 700 x 335 mm )</t>
  </si>
  <si>
    <t>Corrugated Box SIZE-38X20X10 BRUSTING-21(7 PLY)</t>
  </si>
  <si>
    <t>C.B. BOXES   26 X 7 X 4"  7PLY (420 Gm.)</t>
  </si>
  <si>
    <t>5 PLY UNIVERSAL CORRUGATED BOX (560x370x180mm)</t>
  </si>
  <si>
    <t>20X15X6 ( 3 KRAFT PAPER 180 GSM 22 BF, 2 SEMI KRAFT PAPER 125 GSM 18 BF) Corrugated Box</t>
  </si>
  <si>
    <t>1 Cardboard separator 5 ply size 4x3.8 in feet</t>
  </si>
  <si>
    <t>5 Ply Corrugated Box (size- 1067x330x305 mm)-OD, (Type-1 ,B.S -14 Kg/cm2)</t>
  </si>
  <si>
    <t>CORRUGATED BOX 25X14X10" 5PLY BOX</t>
  </si>
  <si>
    <t>5 Ply Corrugated Box (size- 965x508x255 mm)-OD, (Type-1 ,B.S -14 Kg/cm2)</t>
  </si>
  <si>
    <t>C.B. BOXES   17x7x4"   5 PLY (222 Gm.)</t>
  </si>
  <si>
    <t>20X12X10 ( 3 KRAFT PAPER 180 GSM 22 BF, 2 SEMI KRAFT PAPER 125 GSM 18 BF) Corrugated Box</t>
  </si>
  <si>
    <t>5 Ply Corrugated Box (size- 660x380x160 mm)-OD, (Type-1 ,B.S -14 Kg/cm2)</t>
  </si>
  <si>
    <t>5 Ply Corrugated Box (size- 940x355x320 mm)-OD, (Type-2 ,B.S -17 Kg/cm2)</t>
  </si>
  <si>
    <t>CORRUGATED BOX (52 x 9  x 5 )"  7 PLY NET WT. 1 KG.</t>
  </si>
  <si>
    <t>5 Ply Corrugated Box (size- 850x380x280 mm)-OD, (Type-2 ,B.S -17 Kg/cm2)</t>
  </si>
  <si>
    <t>24X15X8 ( 3 KRAFT PAPER 180 GSM 22 BF, 2 SEMI KRAFT PAPER 125 GSM 18 BF) Corrugated Box</t>
  </si>
  <si>
    <t>30X20X12  300  TOP 7 PLY GM CB BOX</t>
  </si>
  <si>
    <t>CORRUGATED BOX 18x15x10 ( 3 KRAFT PAPER 180 GSM 22 BF, 2 SEMI KRAFT PAPER 125 GSM 18 BF)</t>
  </si>
  <si>
    <t>5 Ply Corrugated Box (size- 508x305x305 mm)-OD, (Type-1 ,B.S -14 Kg/cm2)</t>
  </si>
  <si>
    <t>3 ply, outer selflocking CB box size : 225 x 225 x 160 mm -(OD) Paper combination ( 250 VK ,22 BF X 140 VK,22BF X 250 VK ,22 BF) , B.S : 11 Kg/cm2.</t>
  </si>
  <si>
    <t>37x14x12.5  17BS(5ply) TYPE - 2</t>
  </si>
  <si>
    <t>37X14X8 ( 3 KRAFT PAPER 180 GSM 22 BF, 2 SEMI KRAFT PAPER 125 GSM 18 BF) Corrugated Box</t>
  </si>
  <si>
    <t>Corrugated separator (16.9x16.9inchx 3ply Bursting pressure required: 14kgf  ~ 17kgf. Customer cummins export</t>
  </si>
  <si>
    <t>26X24X15 ( 3 KRAFT PAPER 180 GSM 22 BF, 2 SEMI KRAFT PAPER 125 GSM 18 BF) Corrugated Box</t>
  </si>
  <si>
    <t>CB Box  850 x 380 x 280 mm ,  B.S-17 (5 Ply , Type-2)</t>
  </si>
  <si>
    <t>20X17X12.5( 3 KRAFT PAPER 180 GSM 22 BF, 2 SEMI KRAFT PAPER 125 GSM 18 BF) Corrugated Box</t>
  </si>
  <si>
    <t>5-ply cardboard separator (size in inch 26*26)</t>
  </si>
  <si>
    <t>5 Ply Corrugated Box (size- 965x535x508 mm)-OD, (Type-2 ,B.S -17 Kg/cm2)</t>
  </si>
  <si>
    <t>15X11X7 ( 3 KRAFT PAPER 180 GSM 22 BF, 2 SEMI KRAFT PAPER 125 GSM 18 BF) Corrugated Box</t>
  </si>
  <si>
    <t>280X270X160 5 PLY 300GM CB BOX</t>
  </si>
  <si>
    <t>CB Box  280 x 240 x 160 mm , B.S-14 (5 Ply , Type-1)</t>
  </si>
  <si>
    <t>37X14X10 ( 3 KRAFT PAPER 180 GSM 22 BF, 2 SEMI KRAFT PAPER 125 GSM 18 BF) Corrugated Box</t>
  </si>
  <si>
    <t>Corrugated BOX 20 x 22 x 9 7PLY</t>
  </si>
  <si>
    <t>CORRAGATED BOX  41.5X7.5X7</t>
  </si>
  <si>
    <t>7 PLY CORRUGATED BOXS 20 x 17 x 12.5</t>
  </si>
  <si>
    <t>CB box : 560 x 370 x 190 mm (OD with lid) 5 ply HSC (B.S-14kg/cm2) &amp; 3ply lid (B.S-10-12kg/cm2)</t>
  </si>
  <si>
    <t>5 PLY CORRUGATED BOX  ( 660 x 380 x 180 mm)</t>
  </si>
  <si>
    <t>CB Box 750 x 460 x 200 mm , B.S-17 (5 Ply , Type-2)</t>
  </si>
  <si>
    <t>CORRUGATED BOX   840x520x280 (For GM)</t>
  </si>
  <si>
    <t>CORRUGATED BOX (60 X 22 X 20 )"  7 PLY</t>
  </si>
  <si>
    <t>Corrugated box (L:442*B:442*H:216mm) 5ply, Bursting pressure required: 14kgf  ~ 17kgf, Customer cummins export</t>
  </si>
  <si>
    <t>CB box : 1015 x 230 x 125 mm  (OD ) 5 ply, Type-1  , (B.S-14kg/cm2)</t>
  </si>
  <si>
    <t>CB Box:370x370x175mm 5ply (B.S-14kg/cm2)</t>
  </si>
  <si>
    <t>13X8X5 ( 3 KRAFT PAPER 180 GSM 22 BF, 2 SEMI KRAFT PAPER 125 GSM 18 BF) Corrugated Box</t>
  </si>
  <si>
    <t>20X12X8 7 PLY 300 TOP GM CB BOX</t>
  </si>
  <si>
    <t>5 Ply  Corrugated Box (size- 508x430x190 mm)-OD, (Type-1 ,B.S -14 Kg/cm2)</t>
  </si>
  <si>
    <t>C.B. BOXES   42 X 13 X 12"   7PLY</t>
  </si>
  <si>
    <t>Corrugated Box 38 X 21 X 20" , 7Ply</t>
  </si>
  <si>
    <t>5 Ply Corrugated Box (size- 1015x535x485 mm), (Type-2 ,B.S -17 Kg/cm2)</t>
  </si>
  <si>
    <t>Corrugated Box ( 20 X 15 X 10 ) " ( Export Quality )</t>
  </si>
  <si>
    <t>CB box : 390x230x150 mm( OD with lid) 5 ply HSC, BS-14Kg/cm2 &amp; 3 Ply top lid ( BS-10kg/cm2)</t>
  </si>
  <si>
    <t>5 Ply Corrugated Box (size- 750x460x200 mm)-OD, (Type-2 ,B.S -17 Kg/cm2)</t>
  </si>
  <si>
    <t>Cardboard Box 40"x24x20" - 7Ply</t>
  </si>
  <si>
    <t>5 PLY Corrugated Box 26x24x16 "</t>
  </si>
  <si>
    <t>56X10X7 ( 3 KRAFT PAPER 180 GSM 22 BF, 2 SEMI KRAFT PAPER 125 GSM 18 BF) Corrugated Box</t>
  </si>
  <si>
    <t>5 Ply Corrugated Box (size- 1525x560x508 mm)-OD, (Type-2 ,B.S -17 Kg/cm2)</t>
  </si>
  <si>
    <t>Corrugated Box  (970x1000x300mm )</t>
  </si>
  <si>
    <t>C. B. BOX  26 X 9 X 9    300 GM  5 PLY</t>
  </si>
  <si>
    <t>CORRUGATED BOX (460 x 270 x 120) 5 PLY FOR G.M 3 Ply. 180V &amp; 2 Ply., 110SC.</t>
  </si>
  <si>
    <t>CORRUGRADED BOX Ø11X45</t>
  </si>
  <si>
    <t>Card Board Box 26" x 17" x 10-1/2"</t>
  </si>
  <si>
    <t>5 Ply Corrugated Box (size- 1370x305x280 mm)-OD, (Type-2 ,B.S -17 Kg/cm2)</t>
  </si>
  <si>
    <t>5 Ply Corrugated Box (size- 560x508x230 mm)-OD, (Type-2 ,B.S -17 Kg/cm2)</t>
  </si>
  <si>
    <t>C.B.BOX 35X9X9  5PLY</t>
  </si>
  <si>
    <t>CB box : 510 x 380 x 145 mm (OD-with lid) 5 ply HSC (B.S-14kg/cm2) &amp; 3ply top lid (B.S: 10-12kg/cm2)</t>
  </si>
  <si>
    <t>CB box : 790 x 380 x 150 mm (OD-with lid) 5 ply HSC (B.S-14kg/cm2) &amp; 3ply top lid (B.S:10-12kg/cm2)</t>
  </si>
  <si>
    <t>CB box : 900 x 515 x 190 mm  (OD-with lid) 5 ply HSC (B.S-14kg/cm2) &amp; 3ply top lid (B.S-10-12kg/cm2)</t>
  </si>
  <si>
    <t>CORGURATED BOX OF 7PLY (770 * 330 * 200mm)</t>
  </si>
  <si>
    <t>Corrogated Box (650 mm X 380 mm X 160 mm) with  Broad flute quality Strentgh 20 ±1 (3 version Kraft 250 gsm/25B.f &amp; 2 semi kraft 180 gsm/25 b.f</t>
  </si>
  <si>
    <t>CB box : 570 x 340 x 150 mm (OD-with lid) 5 ply HSC (B.S-14kg/cm2) &amp; 3ply top lid (B.S:10-12kg/cm2)</t>
  </si>
  <si>
    <t>CB box : 635 x 390 x 150 mm (OD-with lid) 5 ply HSC (B.S-14kg/cm2) &amp; 3ply top lid (B.S:10-12kg/cm2)</t>
  </si>
  <si>
    <t>5 Ply Corrugated Box (size- 1880x305x280 mm)-OD, (Type-2 ,B.S -17 Kg/cm2)</t>
  </si>
  <si>
    <t>CORRUGATED BOX (11x15x10) 7 PLY. With Original Vergin Paper.</t>
  </si>
  <si>
    <t>CB Box  960 x 500 x 300 mm , B.S-17 (5 Ply , Type-2)</t>
  </si>
  <si>
    <t>CB Box :  1560 x 200 x 150 mm 5-ply Type-1 (B.S-14kg/cm2)</t>
  </si>
  <si>
    <t>5 Ply Corrugated Box (size- 1525x610x255 mm), (Type-2 ,B.S -17 Kg/cm2)</t>
  </si>
  <si>
    <t>Corrugated Box  Ply-7, H-8", W-16", L-36"</t>
  </si>
  <si>
    <t>5 Ply Corrugated Box (size- 765x455x230 mm)-OD, (Type-2 ,B.S -14 Kg/cm2)</t>
  </si>
  <si>
    <t>Corrugated Box  Ply-5, H-180mm, W-240mm, L-410mm</t>
  </si>
  <si>
    <t>5 Ply Corrugated Box (size- 960x500x300 mm)-OD, (Type-2 ,B.S -17 Kg/cm2)</t>
  </si>
  <si>
    <t>765X455X230 MM 7 PLY C. BOX</t>
  </si>
  <si>
    <t>Corrugatted Box 54x12x11 (7 PLY)</t>
  </si>
  <si>
    <t>58X21X10 ( 3 KRAFT PAPER 180 GSM 22 BF, 2 SEMI KRAFT PAPER 125 GSM 18 BF) Corrugated Box</t>
  </si>
  <si>
    <t>COURROGATED BOX 60 x 24 x 10</t>
  </si>
  <si>
    <t>CORRUGRADED BOX  Ø19X53</t>
  </si>
  <si>
    <t>Corrugated separator sheet size 1160 x 1020 mm, 5- Ply type -1 (B.S 14Kg/cm2)</t>
  </si>
  <si>
    <t>"5 ply Corrugation partition assembly ,size: 1170x1060x460mm , (B.S-14kg/cm2)"</t>
  </si>
  <si>
    <t>Item description (Box Size cardboard)</t>
  </si>
  <si>
    <t>Plant code Faridabad</t>
  </si>
  <si>
    <t>Apr2024</t>
  </si>
  <si>
    <t>Aug2024</t>
  </si>
  <si>
    <t>Dec2024</t>
  </si>
  <si>
    <t>Feb2025</t>
  </si>
  <si>
    <t>Jan2025</t>
  </si>
  <si>
    <t>Jul2024</t>
  </si>
  <si>
    <t>Jun2024</t>
  </si>
  <si>
    <t>Mar2024</t>
  </si>
  <si>
    <t>Mar2025</t>
  </si>
  <si>
    <t>May2024</t>
  </si>
  <si>
    <t>Nov2024</t>
  </si>
  <si>
    <t>Oct2024</t>
  </si>
  <si>
    <t>Sep2024</t>
  </si>
  <si>
    <t>Sum of Grand Total</t>
  </si>
  <si>
    <t>Sum of Average</t>
  </si>
  <si>
    <t>P81</t>
  </si>
  <si>
    <t>1	Cardboard separator 5 ply size 4x3.8 in feet</t>
  </si>
  <si>
    <t>P05</t>
  </si>
  <si>
    <t>P41</t>
  </si>
  <si>
    <t>P01</t>
  </si>
  <si>
    <t>P80</t>
  </si>
  <si>
    <t>P45</t>
  </si>
  <si>
    <t>P02</t>
  </si>
  <si>
    <t>P25</t>
  </si>
  <si>
    <t>P26</t>
  </si>
  <si>
    <t>P46</t>
  </si>
  <si>
    <t>P28</t>
  </si>
  <si>
    <t>P04</t>
  </si>
  <si>
    <t>P20</t>
  </si>
  <si>
    <t>P03</t>
  </si>
  <si>
    <t>P38</t>
  </si>
  <si>
    <t>Corrugated separator  (16.9x16.9inchx 3ply      Bursting pressure required: 14kgf  ~ 17kgf. Customer cummins export</t>
  </si>
  <si>
    <t>Corrugated box (L:442*B:442*H:216mm) 5ply, Bursting pressure required: 14kgf  ~ 17kgf,    Customer cummins export</t>
  </si>
  <si>
    <t>P29</t>
  </si>
  <si>
    <t>Total Pallets</t>
  </si>
  <si>
    <t>Box</t>
  </si>
  <si>
    <t>Total Stored Pallets</t>
  </si>
  <si>
    <t>Sum of Total Stored Pallets</t>
  </si>
  <si>
    <t>Plant Code</t>
  </si>
  <si>
    <t>S.No.</t>
  </si>
  <si>
    <t>Plant code</t>
  </si>
  <si>
    <t>Size of PP Box (mm)</t>
  </si>
  <si>
    <t>Mar24</t>
  </si>
  <si>
    <t>Apr24</t>
  </si>
  <si>
    <t>May24</t>
  </si>
  <si>
    <t>Jun24</t>
  </si>
  <si>
    <t>Jul24</t>
  </si>
  <si>
    <t>Aug24</t>
  </si>
  <si>
    <t>Sept24</t>
  </si>
  <si>
    <t>Oct24</t>
  </si>
  <si>
    <t>Nov24</t>
  </si>
  <si>
    <t>Dec24</t>
  </si>
  <si>
    <t>Jan25</t>
  </si>
  <si>
    <t>Feb25</t>
  </si>
  <si>
    <t>Mar25</t>
  </si>
  <si>
    <t>Sum of Total</t>
  </si>
  <si>
    <t>CNH-Noida</t>
  </si>
  <si>
    <t>P-05, P04, P20,P02,P25,P01,P03</t>
  </si>
  <si>
    <t>600X 400 X 220 
 1000X 400 X 250 
 1450 X 400 X 250</t>
  </si>
  <si>
    <t>Nasik</t>
  </si>
  <si>
    <t>P25,P01,P26,P03,P41,P02,P80,P04</t>
  </si>
  <si>
    <t>600 X 400 X 240
600 X 400 X 360
900 X 400 X 240</t>
  </si>
  <si>
    <t>Haridwar</t>
  </si>
  <si>
    <t>Mahindra (Pune)</t>
  </si>
  <si>
    <t>P-25, P02, P41,P05, P26,P29, P01, P04</t>
  </si>
  <si>
    <t xml:space="preserve">600x400x240
600x300x160
800x600x240
550X350X200
400x300x240
900x400x240
</t>
  </si>
  <si>
    <t>IAI -Sanand (SMG part)</t>
  </si>
  <si>
    <t>JCB (Jaipur)</t>
  </si>
  <si>
    <t>Close</t>
  </si>
  <si>
    <t>Mohali</t>
  </si>
  <si>
    <t>P05, P01, P04, P03, P02, P25, P28, P80</t>
  </si>
  <si>
    <t>20" X 12" X 8"</t>
  </si>
  <si>
    <t>600 X 400 X 360</t>
  </si>
  <si>
    <t>Nagpur</t>
  </si>
  <si>
    <t>Pallet MM</t>
  </si>
  <si>
    <t>Daily Boxes</t>
  </si>
  <si>
    <t>Avg. weight of box kg</t>
  </si>
  <si>
    <t>Total Box weight</t>
  </si>
  <si>
    <t>Pallet Weight</t>
  </si>
  <si>
    <t>Pallet Type</t>
  </si>
  <si>
    <t>Total PP</t>
  </si>
  <si>
    <t>Total sum</t>
  </si>
  <si>
    <t>Wight</t>
  </si>
  <si>
    <t>Iteam Descripation</t>
  </si>
  <si>
    <t>Size</t>
  </si>
  <si>
    <t>Apr 2024</t>
  </si>
  <si>
    <t>Aug 2024</t>
  </si>
  <si>
    <t>Dec 2024</t>
  </si>
  <si>
    <t>Feb 2025</t>
  </si>
  <si>
    <t>Jan 2025</t>
  </si>
  <si>
    <t>Jul 2024</t>
  </si>
  <si>
    <t>Jun 2024</t>
  </si>
  <si>
    <t>Mar 2024</t>
  </si>
  <si>
    <t>Mar 2025</t>
  </si>
  <si>
    <t>May 2024</t>
  </si>
  <si>
    <t>Nov 2024</t>
  </si>
  <si>
    <t>Oct 2024</t>
  </si>
  <si>
    <t>Sep 2024</t>
  </si>
  <si>
    <t>% of total purchase</t>
  </si>
  <si>
    <t>Monthly
Nos</t>
  </si>
  <si>
    <t>Daily
Nos</t>
  </si>
  <si>
    <t>Full pallet size (AMG)</t>
  </si>
  <si>
    <t>"Export pallet size : 1200 x 800 x 1166 mm (Eucalyptus wooden Pallet (As per ISPM 15) , 5 ply corrugated sleeve (printed) , 8 mm thk plywood top lid."</t>
  </si>
  <si>
    <t>Sum of Total Pallets</t>
  </si>
  <si>
    <t>Sum of Pallets Daily</t>
  </si>
  <si>
    <t>Sum of Daily
Nos</t>
  </si>
  <si>
    <t xml:space="preserve">Half Pallet size </t>
  </si>
  <si>
    <t>Consisting eucalyptus Pallet/Plywood 8 mm To Lid/Corrugated Edge Pak Sleeve With Ply Reinforce Size (1200 X 1080 X 587 MM)</t>
  </si>
  <si>
    <t>1200 x 1080 x 587</t>
  </si>
  <si>
    <t>wooden box</t>
  </si>
  <si>
    <t>Eucalyptus wooden pallet (size : 1200 x 1080 x 125 mm)</t>
  </si>
  <si>
    <t>Export pallet size : 760 x 760 x 610 mm(Eucalyptus wooden Pallet (As per ISPM 15) , 5 ply corrugated sleeve (printed) , 8 mm thk plywood top lid.</t>
  </si>
  <si>
    <t>Export pallet size: 1140x980x1195mm(Perimeter Eucalyptus wooden pallet as per ISPM 15) ,5 ply corrugated sleeve(printed) ,8 mm thk ply wood top lid</t>
  </si>
  <si>
    <t>Fumigated Consisting Eucalyptus Pallet/Plywood 8mm to Lid/Corrugated Edge Pak Sleeve with Ply Reinforce</t>
  </si>
  <si>
    <t>1200 x 1080 x 1200</t>
  </si>
  <si>
    <t>Hybrid Box consisting eucalyptus Pallet /plywood lid / HD sleeve (1200x800x1166 MM)</t>
  </si>
  <si>
    <t>Nailess plywood top lid (8 mm thk) with GI sheet profile (size : 1200 x 1080 mm)</t>
  </si>
  <si>
    <t>Plywood box (72x57x15 inch-ID) with wooden pallet</t>
  </si>
  <si>
    <t>Plywood box (72x57x20 inch-ID) with wooden pallet</t>
  </si>
  <si>
    <t>wooden crate size 58*42*21*3/4</t>
  </si>
  <si>
    <t>WOODEN CRATE SIZE- 62*48*21*3/4</t>
  </si>
  <si>
    <t>Wooden Crate Size 80*42*21</t>
  </si>
  <si>
    <t>WOODEN CRATE SIZE- 96*36*12*3/4</t>
  </si>
  <si>
    <t>wooden ply box size in inch 36*29*18</t>
  </si>
  <si>
    <t>wooden ply box size in inch 50*40*12*</t>
  </si>
  <si>
    <t>wooden ply box size in inch 50*40*18*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</si>
</sst>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0.00_)"/>
    <numFmt numFmtId="166" formatCode="[$-409]d/mmm/yy;@"/>
    <numFmt numFmtId="167" formatCode="0%;\(0%\)"/>
    <numFmt numFmtId="168" formatCode="General_)"/>
    <numFmt numFmtId="169" formatCode="0.000"/>
    <numFmt numFmtId="170" formatCode="_(* #,##0_);#,##0;_(* &quot;-&quot;??_);_(@_)"/>
    <numFmt numFmtId="171" formatCode="_(* #,##0_);\(#,##0\);_(* &quot;-&quot;??_);_(@_)"/>
    <numFmt numFmtId="172" formatCode="_(* #,##0_);_ \(#,##0\);_(* &quot;-&quot;??_);_(@_)"/>
    <numFmt numFmtId="173" formatCode="_(\ #,##0_);#,##0;_(* &quot;-&quot;??_);_(@_)"/>
    <numFmt numFmtId="174" formatCode="#,##0_ ;[Red]\-#,##0\ "/>
    <numFmt numFmtId="175" formatCode="_(* #,##0.00_);_(* \(#,##0.00\);_(* \-??_);_(@_)"/>
    <numFmt numFmtId="176" formatCode="#,##0.000\ ;&quot; (&quot;#,##0.000\);&quot; -&quot;#\ ;@\ "/>
    <numFmt numFmtId="177" formatCode="_-* #,##0.00_-;\-* #,##0.00_-;_-* &quot;-&quot;??_-;_-@_-"/>
    <numFmt numFmtId="178" formatCode="#,##0.0;\(#,##0.0\);_-* &quot;-&quot;??_-;_-@_-"/>
    <numFmt numFmtId="179" formatCode="0.0E+00"/>
    <numFmt numFmtId="180" formatCode="0.0%;\(0.0%\)"/>
    <numFmt numFmtId="181" formatCode="_-&quot;£&quot;* #,##0.00_-;\-&quot;£&quot;* #,##0.00_-;_-&quot;£&quot;* &quot;-&quot;??_-;_-@_-"/>
    <numFmt numFmtId="182" formatCode="&quot;£&quot;#,##0;\-&quot;£&quot;#,##0"/>
    <numFmt numFmtId="183" formatCode="_([$€-2]* #,##0.00_);_([$€-2]* \(#,##0.00\);_([$€-2]* &quot;-&quot;??_)"/>
    <numFmt numFmtId="184" formatCode="General&quot;.&quot;"/>
    <numFmt numFmtId="185" formatCode="_(* #,##0_);_(* \(#,##0\);_(* &quot;-&quot;??_);_(@_)"/>
    <numFmt numFmtId="186" formatCode="#,##0.00&quot; F&quot;_);\(#,##0.00&quot; F&quot;\)"/>
    <numFmt numFmtId="187" formatCode="0.0000%"/>
    <numFmt numFmtId="188" formatCode="#,##0;[Red]\(#,##0\)"/>
    <numFmt numFmtId="189" formatCode="_(* #,##0.0000_);_(* \(#,##0.0000\);_(* &quot;-&quot;??_);_(@_)"/>
    <numFmt numFmtId="190" formatCode="#,##0.00%;[Red]\(#,##0.00%\)"/>
    <numFmt numFmtId="191" formatCode="#####\ ##\ ##\ ###.00"/>
    <numFmt numFmtId="192" formatCode="##\ ##\ ##\ ##0_);\(##\ ##\ ##\ ##0\)"/>
    <numFmt numFmtId="193" formatCode="##\ ##\ ##\ ###.00"/>
    <numFmt numFmtId="194" formatCode="###\ ##\ ##\ ###.00_);\(###\ ##\ ##\ ###.00\)"/>
    <numFmt numFmtId="195" formatCode="0.000%"/>
    <numFmt numFmtId="196" formatCode="0_);[Red]\(0\)"/>
    <numFmt numFmtId="197" formatCode="0.0"/>
    <numFmt numFmtId="198" formatCode="&quot;S/&quot;#,##0;[Red]&quot;S/&quot;\-#,##0"/>
    <numFmt numFmtId="199" formatCode="&quot;S/&quot;#,##0.00;[Red]&quot;S/&quot;\-#,##0.00"/>
    <numFmt numFmtId="200" formatCode="&quot;S/&quot;#,##0;&quot;S/&quot;\-#,##0"/>
    <numFmt numFmtId="201" formatCode="&quot;S/&quot;#,##0.00;&quot;S/&quot;\-#,##0.00"/>
    <numFmt numFmtId="202" formatCode="#,##0\ &quot;F&quot;;[Red]\-#,##0\ &quot;F&quot;"/>
    <numFmt numFmtId="203" formatCode="#,##0.00\ &quot;F&quot;;[Red]\-#,##0.00\ &quot;F&quot;"/>
    <numFmt numFmtId="204" formatCode="&quot;\&quot;#,##0.00;[Red]&quot;\&quot;\-#,##0.00"/>
    <numFmt numFmtId="205" formatCode="_-* #,##0.00\ _F_B_-;\-* #,##0.00\ _F_B_-;_-* &quot;-&quot;??\ _F_B_-;_-@_-"/>
    <numFmt numFmtId="206" formatCode="#######0_);\(#######0\)"/>
    <numFmt numFmtId="207" formatCode="####\ ##\ ##\ ###.00"/>
    <numFmt numFmtId="208" formatCode="####\ ##.00_);\(####\ ##.00\)"/>
    <numFmt numFmtId="209" formatCode="0.0%"/>
    <numFmt numFmtId="210" formatCode="###\ ##\ ##\ ###"/>
    <numFmt numFmtId="211" formatCode="0.0;[Red]0.0"/>
    <numFmt numFmtId="212" formatCode="0;[Red]0"/>
    <numFmt numFmtId="213" formatCode="0_ "/>
    <numFmt numFmtId="214" formatCode="_(&quot;CNY&quot;* #,##0.00_);_(&quot;CNY&quot;* \(#,##0.00\);_(&quot;CNY&quot;* &quot;-&quot;??_);_(@_)"/>
    <numFmt numFmtId="215" formatCode="&quot;\&quot;#,##0;[Red]&quot;\&quot;\-#,##0"/>
    <numFmt numFmtId="216" formatCode="_ * #,##0_ ;_ * \-#,##0_ ;_ * &quot;-&quot;??_ ;_ @_ "/>
    <numFmt numFmtId="217" formatCode="_(* #,##0_);_(* \(#,##0\);_(* \-??_);_(@_)"/>
    <numFmt numFmtId="218" formatCode="&quot;Year&quot;\ #,##0"/>
    <numFmt numFmtId="219" formatCode="_ [$₹-4009]\ * #,##0_ ;_ [$₹-4009]\ * \-#,##0_ ;_ [$₹-4009]\ * &quot;-&quot;??_ ;_ @_ "/>
    <numFmt numFmtId="220" formatCode="_ [$₹-4009]\ * #,##0.00_ ;_ [$₹-4009]\ * \-#,##0.00_ ;_ [$₹-4009]\ * &quot;-&quot;??_ ;_ @_ "/>
    <numFmt numFmtId="221" formatCode="_ * #,##0_ ;_ * \-#,##0_ ;_ * \-??_ ;_ @_ "/>
    <numFmt numFmtId="222" formatCode="_(* #,##0.0_);_(* \(#,##0.0\);_(* \-??_);_(@_)"/>
    <numFmt numFmtId="223" formatCode="&quot;₹ &quot;#,##0"/>
    <numFmt numFmtId="224" formatCode="_ * #,##0.00_ ;_ * \-#,##0.00_ ;_ * \-??_ ;_ @_ "/>
    <numFmt numFmtId="225" formatCode="&quot;₹ &quot;#,##0.00;[Red]&quot;₹ -&quot;#,##0.00"/>
    <numFmt numFmtId="226" formatCode="_ * #,##0_ ;_ * \-#,##0_ ;_ * &quot;-&quot;?_ ;_ @_ "/>
    <numFmt numFmtId="227" formatCode="[$₹-4009]\ #,##0"/>
    <numFmt numFmtId="228" formatCode="0.00_);[Red]\(0.00\)"/>
    <numFmt numFmtId="229" formatCode="_(* #,##0.0_);_(* \(#,##0.0\);_(* &quot;-&quot;??_);_(@_)"/>
    <numFmt numFmtId="230" formatCode="_ * #,##0.0_ ;_ * \-#,##0.0_ ;_ * &quot;-&quot;??_ ;_ @_ "/>
    <numFmt numFmtId="231" formatCode="#,##0.0"/>
  </numFmts>
  <fonts count="15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indexed="63"/>
      <name val="Calibri"/>
      <family val="2"/>
    </font>
    <font>
      <b/>
      <sz val="14"/>
      <color indexed="63"/>
      <name val="Calibri"/>
      <family val="2"/>
    </font>
    <font>
      <sz val="14"/>
      <color indexed="63"/>
      <name val="Calibri"/>
      <family val="2"/>
    </font>
    <font>
      <b/>
      <sz val="10"/>
      <color indexed="63"/>
      <name val="Calibri"/>
      <family val="2"/>
    </font>
    <font>
      <b/>
      <sz val="10"/>
      <color indexed="8"/>
      <name val="Calibri"/>
      <family val="2"/>
      <scheme val="minor"/>
    </font>
    <font>
      <b/>
      <sz val="10"/>
      <color indexed="53"/>
      <name val="Calibri"/>
      <family val="2"/>
    </font>
    <font>
      <sz val="11"/>
      <color indexed="63"/>
      <name val="Calibri"/>
      <family val="2"/>
    </font>
    <font>
      <b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indexed="8"/>
      <name val="Calibri"/>
      <family val="2"/>
    </font>
    <font>
      <b/>
      <sz val="10"/>
      <color theme="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</font>
    <font>
      <sz val="10"/>
      <color rgb="FF002060"/>
      <name val="Arial"/>
      <family val="2"/>
    </font>
    <font>
      <sz val="10"/>
      <name val="Lucida Sans Unicode"/>
      <family val="2"/>
    </font>
    <font>
      <sz val="10"/>
      <color rgb="FF002060"/>
      <name val="Lucida Sans Unicode"/>
      <family val="2"/>
    </font>
    <font>
      <b/>
      <sz val="16"/>
      <color rgb="FF002060"/>
      <name val="Calibri"/>
      <family val="2"/>
    </font>
    <font>
      <sz val="10"/>
      <color rgb="FF002060"/>
      <name val="Calibri"/>
      <family val="2"/>
    </font>
    <font>
      <b/>
      <sz val="12"/>
      <name val="Calibri"/>
      <family val="2"/>
    </font>
    <font>
      <b/>
      <sz val="12"/>
      <color indexed="12"/>
      <name val="Calibri"/>
      <family val="2"/>
    </font>
    <font>
      <b/>
      <sz val="12"/>
      <color rgb="FF002060"/>
      <name val="Calibri"/>
      <family val="2"/>
    </font>
    <font>
      <sz val="12"/>
      <name val="Calibri"/>
      <family val="2"/>
    </font>
    <font>
      <sz val="12"/>
      <color rgb="FF002060"/>
      <name val="Calibri"/>
      <family val="2"/>
    </font>
    <font>
      <b/>
      <u/>
      <sz val="12"/>
      <name val="Calibri"/>
      <family val="2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rgb="FF002060"/>
      <name val="Arial"/>
      <family val="2"/>
    </font>
    <font>
      <sz val="12"/>
      <color theme="1"/>
      <name val="Cambria"/>
      <family val="1"/>
      <scheme val="major"/>
    </font>
    <font>
      <i/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Helv"/>
      <charset val="134"/>
    </font>
    <font>
      <sz val="10"/>
      <name val="Helv"/>
      <charset val="204"/>
    </font>
    <font>
      <sz val="10"/>
      <color indexed="8"/>
      <name val="Arial"/>
      <family val="2"/>
    </font>
    <font>
      <sz val="11"/>
      <name val="明朝"/>
      <charset val="134"/>
    </font>
    <font>
      <sz val="10"/>
      <name val="Courier"/>
      <charset val="134"/>
    </font>
    <font>
      <sz val="12"/>
      <name val="Helv"/>
      <charset val="134"/>
    </font>
    <font>
      <sz val="10"/>
      <name val="Arial"/>
      <family val="2"/>
    </font>
    <font>
      <sz val="12"/>
      <color indexed="8"/>
      <name val="宋体"/>
      <charset val="134"/>
    </font>
    <font>
      <sz val="12"/>
      <color indexed="9"/>
      <name val="宋体"/>
      <charset val="134"/>
    </font>
    <font>
      <sz val="11"/>
      <color indexed="9"/>
      <name val="Calibri"/>
      <family val="2"/>
    </font>
    <font>
      <sz val="12"/>
      <name val="Tms Rmn"/>
      <charset val="134"/>
    </font>
    <font>
      <sz val="9"/>
      <name val="Times New Roman"/>
      <family val="1"/>
    </font>
    <font>
      <sz val="10"/>
      <name val="Verdana"/>
      <family val="2"/>
    </font>
    <font>
      <b/>
      <sz val="10"/>
      <name val="Helv"/>
      <charset val="134"/>
    </font>
    <font>
      <sz val="10"/>
      <color indexed="8"/>
      <name val="Impact"/>
      <family val="2"/>
    </font>
    <font>
      <sz val="8"/>
      <name val="Times New Roman"/>
      <family val="1"/>
    </font>
    <font>
      <sz val="10"/>
      <color indexed="24"/>
      <name val="Arial"/>
      <family val="2"/>
    </font>
    <font>
      <sz val="10"/>
      <name val="Times New Roman"/>
      <family val="1"/>
    </font>
    <font>
      <sz val="10"/>
      <name val="MS Serif"/>
      <charset val="134"/>
    </font>
    <font>
      <sz val="12"/>
      <name val="Arial"/>
      <family val="2"/>
    </font>
    <font>
      <sz val="12"/>
      <name val="Gothic"/>
      <charset val="134"/>
    </font>
    <font>
      <sz val="10"/>
      <name val="MS Sans Serif"/>
      <charset val="134"/>
    </font>
    <font>
      <b/>
      <sz val="11"/>
      <color indexed="8"/>
      <name val="Calibri"/>
      <family val="2"/>
    </font>
    <font>
      <sz val="10"/>
      <color indexed="16"/>
      <name val="MS Serif"/>
      <charset val="134"/>
    </font>
    <font>
      <b/>
      <sz val="12"/>
      <name val="Times New Roman"/>
      <family val="1"/>
    </font>
    <font>
      <b/>
      <sz val="10.5"/>
      <name val="Times New Roman"/>
      <family val="1"/>
    </font>
    <font>
      <i/>
      <sz val="10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b/>
      <sz val="12"/>
      <name val="Helv"/>
      <charset val="134"/>
    </font>
    <font>
      <b/>
      <sz val="12"/>
      <name val="Arial"/>
      <family val="2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b/>
      <sz val="10"/>
      <name val="Times New Roman"/>
      <family val="1"/>
    </font>
    <font>
      <b/>
      <sz val="11"/>
      <name val="Helv"/>
      <charset val="134"/>
    </font>
    <font>
      <sz val="7"/>
      <name val="Small Fonts"/>
      <charset val="134"/>
    </font>
    <font>
      <sz val="10"/>
      <name val="Arial"/>
      <family val="2"/>
    </font>
    <font>
      <i/>
      <sz val="9"/>
      <color indexed="12"/>
      <name val="Helv"/>
      <charset val="134"/>
    </font>
    <font>
      <b/>
      <sz val="10"/>
      <color indexed="9"/>
      <name val="Arial"/>
      <family val="2"/>
    </font>
    <font>
      <sz val="10"/>
      <color indexed="8"/>
      <name val="Arial Narrow"/>
      <family val="2"/>
    </font>
    <font>
      <sz val="8"/>
      <name val="Helv"/>
      <charset val="134"/>
    </font>
    <font>
      <b/>
      <sz val="11"/>
      <name val="Arial"/>
      <family val="2"/>
    </font>
    <font>
      <sz val="11.5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1"/>
    </font>
    <font>
      <b/>
      <sz val="10"/>
      <color indexed="9"/>
      <name val="Verdana"/>
      <family val="2"/>
    </font>
    <font>
      <b/>
      <sz val="10"/>
      <name val="Verdana"/>
      <family val="2"/>
    </font>
    <font>
      <b/>
      <sz val="8"/>
      <color indexed="8"/>
      <name val="Helv"/>
      <charset val="134"/>
    </font>
    <font>
      <b/>
      <sz val="11"/>
      <name val="Times New Roman"/>
      <family val="1"/>
    </font>
    <font>
      <b/>
      <sz val="12"/>
      <color indexed="12"/>
      <name val="Arial"/>
      <family val="2"/>
    </font>
    <font>
      <sz val="12"/>
      <color indexed="13"/>
      <name val="Helv"/>
      <charset val="134"/>
    </font>
    <font>
      <sz val="10"/>
      <color indexed="19"/>
      <name val="Arial"/>
      <family val="2"/>
    </font>
    <font>
      <sz val="12"/>
      <name val="뼻뮝"/>
      <charset val="129"/>
    </font>
    <font>
      <sz val="11"/>
      <name val="돋움"/>
      <charset val="129"/>
    </font>
    <font>
      <sz val="12"/>
      <name val="바탕체"/>
      <charset val="129"/>
    </font>
    <font>
      <sz val="12"/>
      <color indexed="17"/>
      <name val="宋体"/>
      <charset val="134"/>
    </font>
    <font>
      <sz val="12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0"/>
      <name val="Geneva"/>
      <charset val="134"/>
    </font>
    <font>
      <sz val="11"/>
      <name val="ＭＳ 明朝"/>
      <charset val="128"/>
    </font>
    <font>
      <b/>
      <sz val="12"/>
      <color indexed="9"/>
      <name val="宋体"/>
      <charset val="134"/>
    </font>
    <font>
      <sz val="10"/>
      <name val="ＭＳ ゴシック"/>
      <charset val="128"/>
    </font>
    <font>
      <b/>
      <sz val="12"/>
      <color indexed="8"/>
      <name val="宋体"/>
      <charset val="134"/>
    </font>
    <font>
      <i/>
      <sz val="12"/>
      <color indexed="23"/>
      <name val="宋体"/>
      <charset val="134"/>
    </font>
    <font>
      <sz val="12"/>
      <color indexed="10"/>
      <name val="宋体"/>
      <charset val="134"/>
    </font>
    <font>
      <b/>
      <sz val="12"/>
      <color indexed="52"/>
      <name val="宋体"/>
      <charset val="134"/>
    </font>
    <font>
      <sz val="12"/>
      <color indexed="62"/>
      <name val="宋体"/>
      <charset val="134"/>
    </font>
    <font>
      <b/>
      <sz val="12"/>
      <color indexed="63"/>
      <name val="宋体"/>
      <charset val="134"/>
    </font>
    <font>
      <sz val="12"/>
      <color indexed="60"/>
      <name val="宋体"/>
      <charset val="134"/>
    </font>
    <font>
      <sz val="12"/>
      <color indexed="52"/>
      <name val="宋体"/>
      <charset val="134"/>
    </font>
    <font>
      <b/>
      <u/>
      <sz val="8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8"/>
      <color indexed="12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indexed="8"/>
      <name val="Calibri Light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"/>
      <name val="Calibri"/>
      <family val="2"/>
    </font>
  </fonts>
  <fills count="10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75432599871821"/>
        <bgColor rgb="FF1C1C1C"/>
      </patternFill>
    </fill>
    <fill>
      <patternFill patternType="solid">
        <fgColor indexed="10"/>
        <bgColor indexed="33"/>
      </patternFill>
    </fill>
    <fill>
      <patternFill patternType="solid">
        <fgColor rgb="FF92D050"/>
        <bgColor indexed="11"/>
      </patternFill>
    </fill>
    <fill>
      <patternFill patternType="solid">
        <fgColor indexed="53"/>
        <bgColor indexed="52"/>
      </patternFill>
    </fill>
    <fill>
      <patternFill patternType="solid">
        <fgColor theme="0"/>
        <bgColor indexed="60"/>
      </patternFill>
    </fill>
    <fill>
      <patternFill patternType="solid">
        <fgColor indexed="22"/>
        <bgColor indexed="55"/>
      </patternFill>
    </fill>
    <fill>
      <patternFill patternType="solid">
        <fgColor indexed="51"/>
        <bgColor indexed="60"/>
      </patternFill>
    </fill>
    <fill>
      <patternFill patternType="solid">
        <fgColor indexed="55"/>
        <bgColor indexed="22"/>
      </patternFill>
    </fill>
    <fill>
      <patternFill patternType="solid">
        <fgColor indexed="54"/>
        <bgColor indexed="30"/>
      </patternFill>
    </fill>
    <fill>
      <patternFill patternType="solid">
        <fgColor theme="0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theme="4" tint="0.79982909634693444"/>
        <bgColor indexed="37"/>
      </patternFill>
    </fill>
    <fill>
      <patternFill patternType="solid">
        <fgColor theme="0"/>
        <bgColor indexed="32"/>
      </patternFill>
    </fill>
    <fill>
      <patternFill patternType="solid">
        <fgColor rgb="FF00B050"/>
        <bgColor indexed="32"/>
      </patternFill>
    </fill>
    <fill>
      <patternFill patternType="solid">
        <fgColor theme="8" tint="0.79982909634693444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24"/>
      </patternFill>
    </fill>
    <fill>
      <patternFill patternType="solid">
        <fgColor theme="0" tint="-0.1498458815271462"/>
        <bgColor indexed="24"/>
      </patternFill>
    </fill>
    <fill>
      <patternFill patternType="solid">
        <fgColor indexed="9"/>
        <bgColor indexed="41"/>
      </patternFill>
    </fill>
    <fill>
      <patternFill patternType="solid">
        <fgColor rgb="FF92D050"/>
        <bgColor indexed="24"/>
      </patternFill>
    </fill>
    <fill>
      <patternFill patternType="solid">
        <fgColor rgb="FF7030A0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417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8"/>
        <bgColor indexed="64"/>
      </patternFill>
    </fill>
    <fill>
      <patternFill patternType="gray0625"/>
    </fill>
    <fill>
      <patternFill patternType="mediumGray"/>
    </fill>
    <fill>
      <patternFill patternType="solid">
        <fgColor indexed="1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0"/>
      </patternFill>
    </fill>
  </fills>
  <borders count="15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indexed="8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4" tint="-0.249977111117893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915">
    <xf numFmtId="0" fontId="0" fillId="0" borderId="0"/>
    <xf numFmtId="43" fontId="145" fillId="0" borderId="0" applyFont="0" applyFill="0" applyBorder="0" applyAlignment="0" applyProtection="0"/>
    <xf numFmtId="9" fontId="145" fillId="0" borderId="0" applyFont="0" applyFill="0" applyBorder="0" applyAlignment="0" applyProtection="0"/>
    <xf numFmtId="0" fontId="62" fillId="0" borderId="0"/>
    <xf numFmtId="0" fontId="6" fillId="0" borderId="0"/>
    <xf numFmtId="0" fontId="63" fillId="0" borderId="0"/>
    <xf numFmtId="0" fontId="6" fillId="0" borderId="0" applyNumberFormat="0" applyFill="0" applyBorder="0" applyAlignment="0" applyProtection="0"/>
    <xf numFmtId="0" fontId="6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3" fillId="0" borderId="0"/>
    <xf numFmtId="0" fontId="63" fillId="0" borderId="0"/>
    <xf numFmtId="0" fontId="64" fillId="0" borderId="0"/>
    <xf numFmtId="0" fontId="63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3" fillId="0" borderId="0"/>
    <xf numFmtId="0" fontId="6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3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>
      <alignment vertical="top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6" fillId="0" borderId="0"/>
    <xf numFmtId="0" fontId="6" fillId="0" borderId="0"/>
    <xf numFmtId="0" fontId="64" fillId="0" borderId="0"/>
    <xf numFmtId="0" fontId="6" fillId="0" borderId="0" applyNumberFormat="0" applyFill="0" applyBorder="0" applyAlignment="0" applyProtection="0"/>
    <xf numFmtId="0" fontId="63" fillId="0" borderId="0"/>
    <xf numFmtId="0" fontId="66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" fillId="0" borderId="0" applyNumberFormat="0" applyFill="0" applyBorder="0" applyAlignment="0" applyProtection="0"/>
    <xf numFmtId="0" fontId="63" fillId="0" borderId="0"/>
    <xf numFmtId="0" fontId="6" fillId="0" borderId="0"/>
    <xf numFmtId="165" fontId="67" fillId="0" borderId="0"/>
    <xf numFmtId="0" fontId="6" fillId="0" borderId="0"/>
    <xf numFmtId="0" fontId="6" fillId="0" borderId="0"/>
    <xf numFmtId="165" fontId="68" fillId="0" borderId="0"/>
    <xf numFmtId="165" fontId="68" fillId="0" borderId="0"/>
    <xf numFmtId="0" fontId="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4" fillId="0" borderId="0"/>
    <xf numFmtId="0" fontId="6" fillId="0" borderId="0" applyNumberFormat="0" applyFill="0" applyBorder="0" applyAlignment="0" applyProtection="0"/>
    <xf numFmtId="0" fontId="63" fillId="0" borderId="0"/>
    <xf numFmtId="0" fontId="6" fillId="0" borderId="0" applyNumberFormat="0" applyFill="0" applyBorder="0" applyAlignment="0" applyProtection="0"/>
    <xf numFmtId="0" fontId="63" fillId="0" borderId="0"/>
    <xf numFmtId="0" fontId="6" fillId="0" borderId="0"/>
    <xf numFmtId="0" fontId="6" fillId="0" borderId="0"/>
    <xf numFmtId="0" fontId="64" fillId="0" borderId="0"/>
    <xf numFmtId="0" fontId="6" fillId="0" borderId="0" applyNumberFormat="0" applyFill="0" applyBorder="0" applyAlignment="0" applyProtection="0"/>
    <xf numFmtId="0" fontId="63" fillId="0" borderId="0"/>
    <xf numFmtId="0" fontId="6" fillId="0" borderId="0"/>
    <xf numFmtId="0" fontId="6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4" fillId="0" borderId="0"/>
    <xf numFmtId="0" fontId="69" fillId="0" borderId="0"/>
    <xf numFmtId="0" fontId="64" fillId="0" borderId="0"/>
    <xf numFmtId="0" fontId="64" fillId="0" borderId="0"/>
    <xf numFmtId="0" fontId="64" fillId="0" borderId="0"/>
    <xf numFmtId="0" fontId="69" fillId="0" borderId="0"/>
    <xf numFmtId="0" fontId="6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2" fillId="0" borderId="0" applyNumberFormat="0" applyFill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63" fillId="0" borderId="0"/>
    <xf numFmtId="0" fontId="63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5" fontId="67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3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64" fillId="0" borderId="0"/>
    <xf numFmtId="0" fontId="69" fillId="0" borderId="0"/>
    <xf numFmtId="0" fontId="64" fillId="0" borderId="0"/>
    <xf numFmtId="0" fontId="64" fillId="0" borderId="0"/>
    <xf numFmtId="0" fontId="64" fillId="0" borderId="0"/>
    <xf numFmtId="0" fontId="69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4" fillId="0" borderId="0"/>
    <xf numFmtId="0" fontId="69" fillId="0" borderId="0"/>
    <xf numFmtId="0" fontId="64" fillId="0" borderId="0"/>
    <xf numFmtId="0" fontId="64" fillId="0" borderId="0"/>
    <xf numFmtId="0" fontId="64" fillId="0" borderId="0"/>
    <xf numFmtId="0" fontId="69" fillId="0" borderId="0"/>
    <xf numFmtId="0" fontId="64" fillId="0" borderId="0"/>
    <xf numFmtId="0" fontId="69" fillId="0" borderId="0"/>
    <xf numFmtId="0" fontId="64" fillId="0" borderId="0"/>
    <xf numFmtId="0" fontId="64" fillId="0" borderId="0"/>
    <xf numFmtId="0" fontId="64" fillId="0" borderId="0"/>
    <xf numFmtId="0" fontId="69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4" fillId="0" borderId="0"/>
    <xf numFmtId="0" fontId="69" fillId="0" borderId="0"/>
    <xf numFmtId="0" fontId="64" fillId="0" borderId="0"/>
    <xf numFmtId="0" fontId="64" fillId="0" borderId="0"/>
    <xf numFmtId="0" fontId="64" fillId="0" borderId="0"/>
    <xf numFmtId="0" fontId="69" fillId="0" borderId="0"/>
    <xf numFmtId="0" fontId="6" fillId="0" borderId="0"/>
    <xf numFmtId="0" fontId="6" fillId="0" borderId="0" applyNumberFormat="0" applyFill="0" applyBorder="0" applyAlignment="0" applyProtection="0"/>
    <xf numFmtId="0" fontId="63" fillId="0" borderId="0"/>
    <xf numFmtId="0" fontId="6" fillId="0" borderId="0" applyNumberFormat="0" applyFill="0" applyBorder="0" applyAlignment="0" applyProtection="0"/>
    <xf numFmtId="166" fontId="6" fillId="0" borderId="0"/>
    <xf numFmtId="166" fontId="6" fillId="0" borderId="0"/>
    <xf numFmtId="166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>
      <alignment horizontal="right"/>
    </xf>
    <xf numFmtId="0" fontId="70" fillId="55" borderId="0" applyNumberFormat="0" applyBorder="0" applyAlignment="0" applyProtection="0">
      <alignment vertical="center"/>
    </xf>
    <xf numFmtId="0" fontId="70" fillId="56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57" borderId="0" applyNumberFormat="0" applyBorder="0" applyAlignment="0" applyProtection="0">
      <alignment vertical="center"/>
    </xf>
    <xf numFmtId="0" fontId="70" fillId="58" borderId="0" applyNumberFormat="0" applyBorder="0" applyAlignment="0" applyProtection="0">
      <alignment vertical="center"/>
    </xf>
    <xf numFmtId="0" fontId="70" fillId="59" borderId="0" applyNumberFormat="0" applyBorder="0" applyAlignment="0" applyProtection="0">
      <alignment vertical="center"/>
    </xf>
    <xf numFmtId="0" fontId="70" fillId="60" borderId="0" applyNumberFormat="0" applyBorder="0" applyAlignment="0" applyProtection="0">
      <alignment vertical="center"/>
    </xf>
    <xf numFmtId="0" fontId="70" fillId="6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57" borderId="0" applyNumberFormat="0" applyBorder="0" applyAlignment="0" applyProtection="0">
      <alignment vertical="center"/>
    </xf>
    <xf numFmtId="0" fontId="70" fillId="60" borderId="0" applyNumberFormat="0" applyBorder="0" applyAlignment="0" applyProtection="0">
      <alignment vertical="center"/>
    </xf>
    <xf numFmtId="0" fontId="70" fillId="62" borderId="0" applyNumberFormat="0" applyBorder="0" applyAlignment="0" applyProtection="0">
      <alignment vertical="center"/>
    </xf>
    <xf numFmtId="0" fontId="71" fillId="63" borderId="0" applyNumberFormat="0" applyBorder="0" applyAlignment="0" applyProtection="0">
      <alignment vertical="center"/>
    </xf>
    <xf numFmtId="0" fontId="71" fillId="61" borderId="0" applyNumberFormat="0" applyBorder="0" applyAlignment="0" applyProtection="0">
      <alignment vertical="center"/>
    </xf>
    <xf numFmtId="0" fontId="71" fillId="11" borderId="0" applyNumberFormat="0" applyBorder="0" applyAlignment="0" applyProtection="0">
      <alignment vertical="center"/>
    </xf>
    <xf numFmtId="0" fontId="71" fillId="64" borderId="0" applyNumberFormat="0" applyBorder="0" applyAlignment="0" applyProtection="0">
      <alignment vertical="center"/>
    </xf>
    <xf numFmtId="0" fontId="71" fillId="65" borderId="0" applyNumberFormat="0" applyBorder="0" applyAlignment="0" applyProtection="0">
      <alignment vertical="center"/>
    </xf>
    <xf numFmtId="0" fontId="71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72" fillId="68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72" fillId="71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72" borderId="0" applyNumberFormat="0" applyBorder="0" applyAlignment="0" applyProtection="0"/>
    <xf numFmtId="0" fontId="8" fillId="72" borderId="0" applyNumberFormat="0" applyBorder="0" applyAlignment="0" applyProtection="0"/>
    <xf numFmtId="0" fontId="72" fillId="70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72" fillId="70" borderId="0" applyNumberFormat="0" applyBorder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72" fillId="68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72" fillId="74" borderId="0" applyNumberFormat="0" applyBorder="0" applyAlignment="0" applyProtection="0"/>
    <xf numFmtId="0" fontId="73" fillId="0" borderId="0" applyNumberFormat="0" applyFill="0" applyBorder="0" applyAlignment="0" applyProtection="0"/>
    <xf numFmtId="167" fontId="6" fillId="0" borderId="0" applyFill="0" applyBorder="0" applyAlignment="0"/>
    <xf numFmtId="168" fontId="74" fillId="0" borderId="0" applyFill="0" applyBorder="0" applyAlignment="0"/>
    <xf numFmtId="169" fontId="74" fillId="0" borderId="0" applyFill="0" applyBorder="0" applyAlignment="0"/>
    <xf numFmtId="170" fontId="6" fillId="0" borderId="0" applyFill="0" applyBorder="0" applyAlignment="0"/>
    <xf numFmtId="171" fontId="6" fillId="0" borderId="0" applyFill="0" applyBorder="0" applyAlignment="0"/>
    <xf numFmtId="172" fontId="6" fillId="0" borderId="0" applyFill="0" applyBorder="0" applyAlignment="0"/>
    <xf numFmtId="173" fontId="6" fillId="0" borderId="0" applyFill="0" applyBorder="0" applyAlignment="0"/>
    <xf numFmtId="168" fontId="74" fillId="0" borderId="0" applyFill="0" applyBorder="0" applyAlignment="0"/>
    <xf numFmtId="174" fontId="75" fillId="75" borderId="8" applyBorder="0"/>
    <xf numFmtId="0" fontId="76" fillId="0" borderId="0"/>
    <xf numFmtId="0" fontId="77" fillId="76" borderId="12">
      <alignment horizontal="center" wrapText="1"/>
    </xf>
    <xf numFmtId="17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5" fontId="27" fillId="0" borderId="0" applyBorder="0" applyProtection="0"/>
    <xf numFmtId="175" fontId="27" fillId="0" borderId="0" applyBorder="0" applyProtection="0"/>
    <xf numFmtId="175" fontId="27" fillId="0" borderId="0" applyBorder="0" applyProtection="0"/>
    <xf numFmtId="43" fontId="145" fillId="0" borderId="0" applyFont="0" applyFill="0" applyBorder="0" applyAlignment="0" applyProtection="0"/>
    <xf numFmtId="164" fontId="145" fillId="0" borderId="0" applyFont="0" applyFill="0" applyBorder="0" applyAlignment="0" applyProtection="0"/>
    <xf numFmtId="164" fontId="6" fillId="0" borderId="0" applyFont="0" applyFill="0" applyBorder="0" applyAlignment="0" applyProtection="0"/>
    <xf numFmtId="175" fontId="8" fillId="0" borderId="0" applyFill="0" applyBorder="0" applyAlignment="0" applyProtection="0"/>
    <xf numFmtId="175" fontId="8" fillId="0" borderId="0" applyFill="0" applyBorder="0" applyAlignment="0" applyProtection="0"/>
    <xf numFmtId="164" fontId="145" fillId="0" borderId="0" applyFont="0" applyFill="0" applyBorder="0" applyAlignment="0" applyProtection="0"/>
    <xf numFmtId="164" fontId="145" fillId="0" borderId="0" applyFont="0" applyFill="0" applyBorder="0" applyAlignment="0" applyProtection="0"/>
    <xf numFmtId="43" fontId="8" fillId="0" borderId="0" applyFont="0" applyFill="0" applyBorder="0" applyAlignment="0" applyProtection="0"/>
    <xf numFmtId="175" fontId="27" fillId="0" borderId="0" applyBorder="0" applyProtection="0"/>
    <xf numFmtId="175" fontId="8" fillId="0" borderId="0" applyFill="0" applyBorder="0" applyAlignment="0" applyProtection="0"/>
    <xf numFmtId="164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5" fontId="27" fillId="0" borderId="0" applyBorder="0" applyProtection="0"/>
    <xf numFmtId="175" fontId="27" fillId="0" borderId="0" applyBorder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175" fontId="27" fillId="0" borderId="0" applyBorder="0" applyProtection="0"/>
    <xf numFmtId="175" fontId="27" fillId="0" borderId="0" applyBorder="0" applyProtection="0"/>
    <xf numFmtId="43" fontId="145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" fillId="0" borderId="0" applyFont="0" applyFill="0" applyBorder="0" applyAlignment="0" applyProtection="0"/>
    <xf numFmtId="177" fontId="7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145" fillId="0" borderId="0" applyFont="0" applyFill="0" applyBorder="0" applyAlignment="0" applyProtection="0"/>
    <xf numFmtId="164" fontId="145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" fontId="79" fillId="0" borderId="0" applyFont="0" applyFill="0" applyBorder="0" applyAlignment="0" applyProtection="0"/>
    <xf numFmtId="178" fontId="80" fillId="0" borderId="0"/>
    <xf numFmtId="0" fontId="68" fillId="0" borderId="0"/>
    <xf numFmtId="0" fontId="81" fillId="0" borderId="0" applyNumberFormat="0" applyAlignment="0">
      <alignment horizontal="left"/>
    </xf>
    <xf numFmtId="0" fontId="82" fillId="0" borderId="0" applyNumberFormat="0" applyFill="0" applyBorder="0" applyAlignment="0" applyProtection="0"/>
    <xf numFmtId="0" fontId="68" fillId="0" borderId="0"/>
    <xf numFmtId="168" fontId="74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8" fillId="0" borderId="0"/>
    <xf numFmtId="165" fontId="68" fillId="0" borderId="0"/>
    <xf numFmtId="0" fontId="68" fillId="0" borderId="27"/>
    <xf numFmtId="0" fontId="68" fillId="0" borderId="27"/>
    <xf numFmtId="174" fontId="75" fillId="77" borderId="0" applyBorder="0">
      <protection locked="0"/>
    </xf>
    <xf numFmtId="174" fontId="75" fillId="77" borderId="0" applyBorder="0">
      <protection locked="0"/>
    </xf>
    <xf numFmtId="15" fontId="6" fillId="0" borderId="0"/>
    <xf numFmtId="14" fontId="7" fillId="0" borderId="0" applyFill="0" applyBorder="0" applyAlignment="0"/>
    <xf numFmtId="180" fontId="6" fillId="0" borderId="0">
      <protection locked="0"/>
    </xf>
    <xf numFmtId="14" fontId="83" fillId="0" borderId="0" applyFont="0" applyFill="0" applyBorder="0" applyProtection="0">
      <alignment horizontal="left"/>
    </xf>
    <xf numFmtId="38" fontId="84" fillId="0" borderId="67">
      <alignment vertical="center"/>
    </xf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85" fillId="78" borderId="0" applyNumberFormat="0" applyBorder="0" applyAlignment="0" applyProtection="0"/>
    <xf numFmtId="0" fontId="85" fillId="79" borderId="0" applyNumberFormat="0" applyBorder="0" applyAlignment="0" applyProtection="0"/>
    <xf numFmtId="0" fontId="85" fillId="80" borderId="0" applyNumberFormat="0" applyBorder="0" applyAlignment="0" applyProtection="0"/>
    <xf numFmtId="172" fontId="6" fillId="0" borderId="0" applyFill="0" applyBorder="0" applyAlignment="0"/>
    <xf numFmtId="168" fontId="74" fillId="0" borderId="0" applyFill="0" applyBorder="0" applyAlignment="0"/>
    <xf numFmtId="172" fontId="6" fillId="0" borderId="0" applyFill="0" applyBorder="0" applyAlignment="0"/>
    <xf numFmtId="173" fontId="6" fillId="0" borderId="0" applyFill="0" applyBorder="0" applyAlignment="0"/>
    <xf numFmtId="168" fontId="74" fillId="0" borderId="0" applyFill="0" applyBorder="0" applyAlignment="0"/>
    <xf numFmtId="0" fontId="86" fillId="0" borderId="0" applyNumberFormat="0" applyAlignment="0">
      <alignment horizontal="left"/>
    </xf>
    <xf numFmtId="183" fontId="62" fillId="0" borderId="0" applyFont="0" applyFill="0" applyBorder="0" applyAlignment="0" applyProtection="0"/>
    <xf numFmtId="184" fontId="87" fillId="10" borderId="15" applyAlignment="0" applyProtection="0"/>
    <xf numFmtId="185" fontId="87" fillId="10" borderId="15" applyAlignment="0" applyProtection="0"/>
    <xf numFmtId="185" fontId="87" fillId="10" borderId="15" applyAlignment="0" applyProtection="0"/>
    <xf numFmtId="185" fontId="87" fillId="10" borderId="15" applyAlignment="0" applyProtection="0"/>
    <xf numFmtId="184" fontId="87" fillId="10" borderId="15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86" fontId="6" fillId="0" borderId="0">
      <protection locked="0"/>
    </xf>
    <xf numFmtId="0" fontId="68" fillId="0" borderId="0"/>
    <xf numFmtId="186" fontId="6" fillId="0" borderId="0">
      <protection locked="0"/>
    </xf>
    <xf numFmtId="186" fontId="6" fillId="0" borderId="0">
      <protection locked="0"/>
    </xf>
    <xf numFmtId="186" fontId="6" fillId="0" borderId="0">
      <protection locked="0"/>
    </xf>
    <xf numFmtId="186" fontId="6" fillId="0" borderId="0">
      <protection locked="0"/>
    </xf>
    <xf numFmtId="186" fontId="6" fillId="0" borderId="0">
      <protection locked="0"/>
    </xf>
    <xf numFmtId="186" fontId="6" fillId="0" borderId="0">
      <protection locked="0"/>
    </xf>
    <xf numFmtId="187" fontId="6" fillId="0" borderId="0">
      <protection locked="0"/>
    </xf>
    <xf numFmtId="0" fontId="68" fillId="0" borderId="0"/>
    <xf numFmtId="0" fontId="80" fillId="0" borderId="11" applyNumberFormat="0" applyFill="0" applyBorder="0" applyAlignment="0" applyProtection="0">
      <protection locked="0"/>
    </xf>
    <xf numFmtId="188" fontId="75" fillId="56" borderId="0" applyBorder="0"/>
    <xf numFmtId="189" fontId="90" fillId="0" borderId="0">
      <alignment horizontal="right"/>
    </xf>
    <xf numFmtId="2" fontId="6" fillId="0" borderId="0"/>
    <xf numFmtId="38" fontId="91" fillId="38" borderId="0" applyNumberFormat="0" applyBorder="0" applyAlignment="0" applyProtection="0"/>
    <xf numFmtId="0" fontId="92" fillId="0" borderId="0">
      <alignment horizontal="left"/>
    </xf>
    <xf numFmtId="0" fontId="93" fillId="0" borderId="6" applyNumberFormat="0" applyAlignment="0" applyProtection="0">
      <alignment horizontal="left" vertical="center"/>
    </xf>
    <xf numFmtId="0" fontId="93" fillId="0" borderId="15">
      <alignment horizontal="left" vertical="center"/>
    </xf>
    <xf numFmtId="190" fontId="6" fillId="0" borderId="0">
      <protection locked="0"/>
    </xf>
    <xf numFmtId="190" fontId="6" fillId="0" borderId="0"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191" fontId="6" fillId="0" borderId="0" applyFont="0" applyFill="0" applyBorder="0" applyAlignment="0" applyProtection="0"/>
    <xf numFmtId="10" fontId="91" fillId="38" borderId="8" applyNumberFormat="0" applyBorder="0" applyAlignment="0" applyProtection="0"/>
    <xf numFmtId="192" fontId="90" fillId="0" borderId="0"/>
    <xf numFmtId="169" fontId="82" fillId="0" borderId="0" applyFont="0" applyFill="0" applyBorder="0" applyAlignment="0" applyProtection="0"/>
    <xf numFmtId="193" fontId="82" fillId="0" borderId="19" applyFont="0" applyBorder="0" applyAlignment="0"/>
    <xf numFmtId="193" fontId="82" fillId="0" borderId="0" applyFont="0" applyBorder="0"/>
    <xf numFmtId="194" fontId="6" fillId="0" borderId="0"/>
    <xf numFmtId="195" fontId="82" fillId="0" borderId="0"/>
    <xf numFmtId="39" fontId="90" fillId="0" borderId="0"/>
    <xf numFmtId="196" fontId="62" fillId="0" borderId="19" applyFont="0" applyFill="0" applyBorder="0" applyAlignment="0" applyProtection="0">
      <alignment horizontal="center"/>
    </xf>
    <xf numFmtId="0" fontId="92" fillId="13" borderId="27"/>
    <xf numFmtId="0" fontId="92" fillId="13" borderId="27"/>
    <xf numFmtId="0" fontId="6" fillId="0" borderId="0">
      <alignment horizontal="right"/>
    </xf>
    <xf numFmtId="0" fontId="91" fillId="0" borderId="0" applyNumberFormat="0" applyFill="0" applyBorder="0" applyAlignment="0">
      <alignment horizontal="center"/>
    </xf>
    <xf numFmtId="0" fontId="63" fillId="0" borderId="0"/>
    <xf numFmtId="172" fontId="6" fillId="0" borderId="0" applyFill="0" applyBorder="0" applyAlignment="0"/>
    <xf numFmtId="168" fontId="74" fillId="0" borderId="0" applyFill="0" applyBorder="0" applyAlignment="0"/>
    <xf numFmtId="172" fontId="6" fillId="0" borderId="0" applyFill="0" applyBorder="0" applyAlignment="0"/>
    <xf numFmtId="173" fontId="6" fillId="0" borderId="0" applyFill="0" applyBorder="0" applyAlignment="0"/>
    <xf numFmtId="168" fontId="74" fillId="0" borderId="0" applyFill="0" applyBorder="0" applyAlignment="0"/>
    <xf numFmtId="197" fontId="96" fillId="0" borderId="68">
      <alignment horizontal="right"/>
    </xf>
    <xf numFmtId="198" fontId="6" fillId="0" borderId="0" applyFont="0" applyFill="0" applyBorder="0" applyAlignment="0" applyProtection="0"/>
    <xf numFmtId="199" fontId="6" fillId="0" borderId="0" applyFont="0" applyFill="0" applyBorder="0" applyAlignment="0" applyProtection="0"/>
    <xf numFmtId="38" fontId="84" fillId="0" borderId="0" applyFont="0" applyFill="0" applyBorder="0" applyAlignment="0" applyProtection="0"/>
    <xf numFmtId="40" fontId="84" fillId="0" borderId="0" applyFont="0" applyFill="0" applyBorder="0" applyAlignment="0" applyProtection="0"/>
    <xf numFmtId="0" fontId="97" fillId="0" borderId="14"/>
    <xf numFmtId="17" fontId="83" fillId="0" borderId="0" applyFont="0" applyFill="0" applyBorder="0" applyProtection="0">
      <alignment horizontal="center"/>
    </xf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84" fillId="0" borderId="0" applyFont="0" applyFill="0" applyBorder="0" applyAlignment="0" applyProtection="0"/>
    <xf numFmtId="203" fontId="84" fillId="0" borderId="0" applyFont="0" applyFill="0" applyBorder="0" applyAlignment="0" applyProtection="0"/>
    <xf numFmtId="174" fontId="75" fillId="81" borderId="19" applyBorder="0"/>
    <xf numFmtId="37" fontId="98" fillId="0" borderId="0"/>
    <xf numFmtId="0" fontId="6" fillId="0" borderId="0"/>
    <xf numFmtId="204" fontId="6" fillId="0" borderId="0"/>
    <xf numFmtId="0" fontId="6" fillId="0" borderId="0"/>
    <xf numFmtId="0" fontId="6" fillId="0" borderId="0"/>
    <xf numFmtId="0" fontId="145" fillId="0" borderId="0"/>
    <xf numFmtId="0" fontId="27" fillId="0" borderId="0"/>
    <xf numFmtId="0" fontId="8" fillId="0" borderId="0"/>
    <xf numFmtId="0" fontId="6" fillId="0" borderId="0"/>
    <xf numFmtId="0" fontId="8" fillId="0" borderId="0"/>
    <xf numFmtId="0" fontId="6" fillId="0" borderId="0"/>
    <xf numFmtId="166" fontId="8" fillId="0" borderId="0"/>
    <xf numFmtId="166" fontId="8" fillId="0" borderId="0"/>
    <xf numFmtId="166" fontId="8" fillId="0" borderId="0"/>
    <xf numFmtId="166" fontId="8" fillId="0" borderId="0"/>
    <xf numFmtId="166" fontId="8" fillId="0" borderId="0"/>
    <xf numFmtId="166" fontId="8" fillId="0" borderId="0"/>
    <xf numFmtId="166" fontId="8" fillId="0" borderId="0"/>
    <xf numFmtId="166" fontId="8" fillId="0" borderId="0"/>
    <xf numFmtId="166" fontId="8" fillId="0" borderId="0"/>
    <xf numFmtId="166" fontId="8" fillId="0" borderId="0"/>
    <xf numFmtId="166" fontId="8" fillId="0" borderId="0"/>
    <xf numFmtId="166" fontId="8" fillId="0" borderId="0"/>
    <xf numFmtId="0" fontId="8" fillId="0" borderId="0"/>
    <xf numFmtId="0" fontId="8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166" fontId="8" fillId="0" borderId="0"/>
    <xf numFmtId="166" fontId="8" fillId="0" borderId="0"/>
    <xf numFmtId="166" fontId="8" fillId="0" borderId="0"/>
    <xf numFmtId="0" fontId="6" fillId="0" borderId="0"/>
    <xf numFmtId="0" fontId="6" fillId="0" borderId="0"/>
    <xf numFmtId="166" fontId="6" fillId="0" borderId="0"/>
    <xf numFmtId="16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99" fillId="0" borderId="0"/>
    <xf numFmtId="166" fontId="6" fillId="0" borderId="0"/>
    <xf numFmtId="0" fontId="8" fillId="0" borderId="0"/>
    <xf numFmtId="0" fontId="6" fillId="0" borderId="0"/>
    <xf numFmtId="0" fontId="6" fillId="0" borderId="0"/>
    <xf numFmtId="166" fontId="6" fillId="0" borderId="0"/>
    <xf numFmtId="16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76" borderId="69" applyNumberFormat="0" applyFont="0" applyAlignment="0" applyProtection="0"/>
    <xf numFmtId="0" fontId="8" fillId="76" borderId="69" applyNumberFormat="0" applyFont="0" applyAlignment="0" applyProtection="0"/>
    <xf numFmtId="0" fontId="8" fillId="76" borderId="69" applyNumberFormat="0" applyFont="0" applyAlignment="0" applyProtection="0"/>
    <xf numFmtId="1" fontId="6" fillId="0" borderId="0" applyFont="0"/>
    <xf numFmtId="0" fontId="100" fillId="0" borderId="0" applyNumberFormat="0" applyAlignment="0">
      <alignment vertical="top"/>
    </xf>
    <xf numFmtId="40" fontId="7" fillId="38" borderId="0">
      <alignment horizontal="right"/>
    </xf>
    <xf numFmtId="0" fontId="101" fillId="82" borderId="0"/>
    <xf numFmtId="1" fontId="5" fillId="0" borderId="8" applyFill="0" applyProtection="0">
      <alignment horizontal="center" vertical="top" wrapText="1"/>
    </xf>
    <xf numFmtId="0" fontId="68" fillId="0" borderId="0"/>
    <xf numFmtId="171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7" fillId="0" borderId="0" applyBorder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7" fillId="0" borderId="0" applyBorder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ill="0" applyBorder="0" applyAlignment="0" applyProtection="0"/>
    <xf numFmtId="172" fontId="6" fillId="0" borderId="0" applyFill="0" applyBorder="0" applyAlignment="0"/>
    <xf numFmtId="168" fontId="74" fillId="0" borderId="0" applyFill="0" applyBorder="0" applyAlignment="0"/>
    <xf numFmtId="172" fontId="6" fillId="0" borderId="0" applyFill="0" applyBorder="0" applyAlignment="0"/>
    <xf numFmtId="173" fontId="6" fillId="0" borderId="0" applyFill="0" applyBorder="0" applyAlignment="0"/>
    <xf numFmtId="168" fontId="74" fillId="0" borderId="0" applyFill="0" applyBorder="0" applyAlignment="0"/>
    <xf numFmtId="1" fontId="6" fillId="0" borderId="19" applyNumberFormat="0" applyFill="0" applyAlignment="0" applyProtection="0">
      <alignment horizontal="center" vertical="center"/>
    </xf>
    <xf numFmtId="0" fontId="68" fillId="0" borderId="0"/>
    <xf numFmtId="14" fontId="103" fillId="0" borderId="0" applyNumberFormat="0" applyFill="0" applyBorder="0" applyAlignment="0" applyProtection="0">
      <alignment horizontal="left"/>
    </xf>
    <xf numFmtId="206" fontId="6" fillId="0" borderId="0">
      <alignment horizontal="right"/>
    </xf>
    <xf numFmtId="193" fontId="82" fillId="0" borderId="0" applyFont="0" applyFill="0" applyBorder="0" applyAlignment="0" applyProtection="0"/>
    <xf numFmtId="207" fontId="90" fillId="0" borderId="0" applyFont="0"/>
    <xf numFmtId="208" fontId="6" fillId="0" borderId="0" applyFont="0" applyFill="0" applyBorder="0" applyAlignment="0" applyProtection="0"/>
    <xf numFmtId="209" fontId="82" fillId="0" borderId="0" applyFont="0"/>
    <xf numFmtId="192" fontId="104" fillId="0" borderId="19" applyFont="0" applyBorder="0"/>
    <xf numFmtId="210" fontId="82" fillId="0" borderId="0" applyFill="0" applyBorder="0" applyAlignment="0" applyProtection="0"/>
    <xf numFmtId="0" fontId="68" fillId="0" borderId="0"/>
    <xf numFmtId="0" fontId="105" fillId="0" borderId="0" applyFont="0" applyBorder="0" applyAlignment="0"/>
    <xf numFmtId="4" fontId="106" fillId="77" borderId="70" applyNumberFormat="0" applyProtection="0">
      <alignment vertical="center"/>
    </xf>
    <xf numFmtId="4" fontId="106" fillId="77" borderId="70" applyNumberFormat="0" applyProtection="0">
      <alignment vertical="center"/>
    </xf>
    <xf numFmtId="4" fontId="107" fillId="77" borderId="70" applyNumberFormat="0" applyProtection="0">
      <alignment vertical="center"/>
    </xf>
    <xf numFmtId="4" fontId="107" fillId="77" borderId="70" applyNumberFormat="0" applyProtection="0">
      <alignment vertical="center"/>
    </xf>
    <xf numFmtId="4" fontId="106" fillId="77" borderId="70" applyNumberFormat="0" applyProtection="0">
      <alignment horizontal="left" vertical="center" indent="1"/>
    </xf>
    <xf numFmtId="4" fontId="106" fillId="77" borderId="70" applyNumberFormat="0" applyProtection="0">
      <alignment horizontal="left" vertical="center" indent="1"/>
    </xf>
    <xf numFmtId="0" fontId="106" fillId="77" borderId="70" applyNumberFormat="0" applyProtection="0">
      <alignment horizontal="left" vertical="top" indent="1"/>
    </xf>
    <xf numFmtId="0" fontId="106" fillId="77" borderId="70" applyNumberFormat="0" applyProtection="0">
      <alignment horizontal="left" vertical="top" indent="1"/>
    </xf>
    <xf numFmtId="4" fontId="106" fillId="83" borderId="0" applyNumberFormat="0" applyProtection="0">
      <alignment horizontal="left" vertical="center" indent="1"/>
    </xf>
    <xf numFmtId="4" fontId="7" fillId="56" borderId="70" applyNumberFormat="0" applyProtection="0">
      <alignment horizontal="right" vertical="center"/>
    </xf>
    <xf numFmtId="4" fontId="7" fillId="56" borderId="70" applyNumberFormat="0" applyProtection="0">
      <alignment horizontal="right" vertical="center"/>
    </xf>
    <xf numFmtId="4" fontId="7" fillId="61" borderId="70" applyNumberFormat="0" applyProtection="0">
      <alignment horizontal="right" vertical="center"/>
    </xf>
    <xf numFmtId="4" fontId="7" fillId="61" borderId="70" applyNumberFormat="0" applyProtection="0">
      <alignment horizontal="right" vertical="center"/>
    </xf>
    <xf numFmtId="4" fontId="7" fillId="84" borderId="70" applyNumberFormat="0" applyProtection="0">
      <alignment horizontal="right" vertical="center"/>
    </xf>
    <xf numFmtId="4" fontId="7" fillId="84" borderId="70" applyNumberFormat="0" applyProtection="0">
      <alignment horizontal="right" vertical="center"/>
    </xf>
    <xf numFmtId="4" fontId="7" fillId="62" borderId="70" applyNumberFormat="0" applyProtection="0">
      <alignment horizontal="right" vertical="center"/>
    </xf>
    <xf numFmtId="4" fontId="7" fillId="62" borderId="70" applyNumberFormat="0" applyProtection="0">
      <alignment horizontal="right" vertical="center"/>
    </xf>
    <xf numFmtId="4" fontId="7" fillId="66" borderId="70" applyNumberFormat="0" applyProtection="0">
      <alignment horizontal="right" vertical="center"/>
    </xf>
    <xf numFmtId="4" fontId="7" fillId="66" borderId="70" applyNumberFormat="0" applyProtection="0">
      <alignment horizontal="right" vertical="center"/>
    </xf>
    <xf numFmtId="4" fontId="7" fillId="85" borderId="70" applyNumberFormat="0" applyProtection="0">
      <alignment horizontal="right" vertical="center"/>
    </xf>
    <xf numFmtId="4" fontId="7" fillId="85" borderId="70" applyNumberFormat="0" applyProtection="0">
      <alignment horizontal="right" vertical="center"/>
    </xf>
    <xf numFmtId="4" fontId="7" fillId="86" borderId="70" applyNumberFormat="0" applyProtection="0">
      <alignment horizontal="right" vertical="center"/>
    </xf>
    <xf numFmtId="4" fontId="7" fillId="86" borderId="70" applyNumberFormat="0" applyProtection="0">
      <alignment horizontal="right" vertical="center"/>
    </xf>
    <xf numFmtId="4" fontId="7" fillId="87" borderId="70" applyNumberFormat="0" applyProtection="0">
      <alignment horizontal="right" vertical="center"/>
    </xf>
    <xf numFmtId="4" fontId="7" fillId="87" borderId="70" applyNumberFormat="0" applyProtection="0">
      <alignment horizontal="right" vertical="center"/>
    </xf>
    <xf numFmtId="4" fontId="7" fillId="11" borderId="70" applyNumberFormat="0" applyProtection="0">
      <alignment horizontal="right" vertical="center"/>
    </xf>
    <xf numFmtId="4" fontId="7" fillId="11" borderId="70" applyNumberFormat="0" applyProtection="0">
      <alignment horizontal="right" vertical="center"/>
    </xf>
    <xf numFmtId="4" fontId="106" fillId="88" borderId="71" applyNumberFormat="0" applyProtection="0">
      <alignment horizontal="left" vertical="center" indent="1"/>
    </xf>
    <xf numFmtId="4" fontId="7" fillId="75" borderId="0" applyNumberFormat="0" applyProtection="0">
      <alignment horizontal="left" vertical="center" indent="1"/>
    </xf>
    <xf numFmtId="4" fontId="108" fillId="89" borderId="0" applyNumberFormat="0" applyProtection="0">
      <alignment horizontal="left" vertical="center" indent="1"/>
    </xf>
    <xf numFmtId="4" fontId="7" fillId="83" borderId="70" applyNumberFormat="0" applyProtection="0">
      <alignment horizontal="right" vertical="center"/>
    </xf>
    <xf numFmtId="4" fontId="7" fillId="83" borderId="70" applyNumberFormat="0" applyProtection="0">
      <alignment horizontal="right" vertical="center"/>
    </xf>
    <xf numFmtId="4" fontId="7" fillId="75" borderId="0" applyNumberFormat="0" applyProtection="0">
      <alignment horizontal="left" vertical="center" indent="1"/>
    </xf>
    <xf numFmtId="4" fontId="7" fillId="83" borderId="0" applyNumberFormat="0" applyProtection="0">
      <alignment horizontal="left" vertical="center" indent="1"/>
    </xf>
    <xf numFmtId="0" fontId="6" fillId="89" borderId="70" applyNumberFormat="0" applyProtection="0">
      <alignment horizontal="left" vertical="center" indent="1"/>
    </xf>
    <xf numFmtId="0" fontId="6" fillId="89" borderId="70" applyNumberFormat="0" applyProtection="0">
      <alignment horizontal="left" vertical="center" indent="1"/>
    </xf>
    <xf numFmtId="0" fontId="6" fillId="89" borderId="70" applyNumberFormat="0" applyProtection="0">
      <alignment horizontal="left" vertical="top" indent="1"/>
    </xf>
    <xf numFmtId="0" fontId="6" fillId="89" borderId="70" applyNumberFormat="0" applyProtection="0">
      <alignment horizontal="left" vertical="top" indent="1"/>
    </xf>
    <xf numFmtId="0" fontId="6" fillId="83" borderId="70" applyNumberFormat="0" applyProtection="0">
      <alignment horizontal="left" vertical="center" indent="1"/>
    </xf>
    <xf numFmtId="0" fontId="6" fillId="83" borderId="70" applyNumberFormat="0" applyProtection="0">
      <alignment horizontal="left" vertical="center" indent="1"/>
    </xf>
    <xf numFmtId="0" fontId="6" fillId="83" borderId="70" applyNumberFormat="0" applyProtection="0">
      <alignment horizontal="left" vertical="top" indent="1"/>
    </xf>
    <xf numFmtId="0" fontId="6" fillId="83" borderId="70" applyNumberFormat="0" applyProtection="0">
      <alignment horizontal="left" vertical="top" indent="1"/>
    </xf>
    <xf numFmtId="0" fontId="6" fillId="60" borderId="70" applyNumberFormat="0" applyProtection="0">
      <alignment horizontal="left" vertical="center" indent="1"/>
    </xf>
    <xf numFmtId="0" fontId="6" fillId="60" borderId="70" applyNumberFormat="0" applyProtection="0">
      <alignment horizontal="left" vertical="center" indent="1"/>
    </xf>
    <xf numFmtId="0" fontId="6" fillId="60" borderId="70" applyNumberFormat="0" applyProtection="0">
      <alignment horizontal="left" vertical="top" indent="1"/>
    </xf>
    <xf numFmtId="0" fontId="6" fillId="60" borderId="70" applyNumberFormat="0" applyProtection="0">
      <alignment horizontal="left" vertical="top" indent="1"/>
    </xf>
    <xf numFmtId="0" fontId="6" fillId="75" borderId="70" applyNumberFormat="0" applyProtection="0">
      <alignment horizontal="left" vertical="center" indent="1"/>
    </xf>
    <xf numFmtId="0" fontId="6" fillId="75" borderId="70" applyNumberFormat="0" applyProtection="0">
      <alignment horizontal="left" vertical="center" indent="1"/>
    </xf>
    <xf numFmtId="0" fontId="6" fillId="75" borderId="70" applyNumberFormat="0" applyProtection="0">
      <alignment horizontal="left" vertical="top" indent="1"/>
    </xf>
    <xf numFmtId="0" fontId="6" fillId="75" borderId="70" applyNumberFormat="0" applyProtection="0">
      <alignment horizontal="left" vertical="top" indent="1"/>
    </xf>
    <xf numFmtId="4" fontId="7" fillId="76" borderId="70" applyNumberFormat="0" applyProtection="0">
      <alignment vertical="center"/>
    </xf>
    <xf numFmtId="4" fontId="7" fillId="76" borderId="70" applyNumberFormat="0" applyProtection="0">
      <alignment vertical="center"/>
    </xf>
    <xf numFmtId="4" fontId="109" fillId="76" borderId="70" applyNumberFormat="0" applyProtection="0">
      <alignment vertical="center"/>
    </xf>
    <xf numFmtId="4" fontId="109" fillId="76" borderId="70" applyNumberFormat="0" applyProtection="0">
      <alignment vertical="center"/>
    </xf>
    <xf numFmtId="4" fontId="7" fillId="76" borderId="70" applyNumberFormat="0" applyProtection="0">
      <alignment horizontal="left" vertical="center" indent="1"/>
    </xf>
    <xf numFmtId="4" fontId="7" fillId="76" borderId="70" applyNumberFormat="0" applyProtection="0">
      <alignment horizontal="left" vertical="center" indent="1"/>
    </xf>
    <xf numFmtId="0" fontId="7" fillId="76" borderId="70" applyNumberFormat="0" applyProtection="0">
      <alignment horizontal="left" vertical="top" indent="1"/>
    </xf>
    <xf numFmtId="0" fontId="7" fillId="76" borderId="70" applyNumberFormat="0" applyProtection="0">
      <alignment horizontal="left" vertical="top" indent="1"/>
    </xf>
    <xf numFmtId="4" fontId="7" fillId="75" borderId="70" applyNumberFormat="0" applyProtection="0">
      <alignment horizontal="right" vertical="center"/>
    </xf>
    <xf numFmtId="4" fontId="7" fillId="75" borderId="70" applyNumberFormat="0" applyProtection="0">
      <alignment horizontal="right" vertical="center"/>
    </xf>
    <xf numFmtId="4" fontId="109" fillId="75" borderId="70" applyNumberFormat="0" applyProtection="0">
      <alignment horizontal="right" vertical="center"/>
    </xf>
    <xf numFmtId="4" fontId="109" fillId="75" borderId="70" applyNumberFormat="0" applyProtection="0">
      <alignment horizontal="right" vertical="center"/>
    </xf>
    <xf numFmtId="4" fontId="7" fillId="83" borderId="70" applyNumberFormat="0" applyProtection="0">
      <alignment horizontal="left" vertical="center" indent="1"/>
    </xf>
    <xf numFmtId="0" fontId="6" fillId="55" borderId="72" applyNumberFormat="0" applyProtection="0">
      <alignment horizontal="left" vertical="center" indent="1"/>
    </xf>
    <xf numFmtId="0" fontId="6" fillId="55" borderId="72" applyNumberFormat="0" applyProtection="0">
      <alignment horizontal="left" vertical="center" indent="1"/>
    </xf>
    <xf numFmtId="4" fontId="7" fillId="83" borderId="70" applyNumberFormat="0" applyProtection="0">
      <alignment horizontal="left" vertical="center" indent="1"/>
    </xf>
    <xf numFmtId="0" fontId="7" fillId="83" borderId="70" applyNumberFormat="0" applyProtection="0">
      <alignment horizontal="left" vertical="top" indent="1"/>
    </xf>
    <xf numFmtId="0" fontId="7" fillId="83" borderId="70" applyNumberFormat="0" applyProtection="0">
      <alignment horizontal="left" vertical="top" indent="1"/>
    </xf>
    <xf numFmtId="4" fontId="110" fillId="90" borderId="0" applyNumberFormat="0" applyProtection="0">
      <alignment horizontal="left" vertical="center" indent="1"/>
    </xf>
    <xf numFmtId="4" fontId="111" fillId="75" borderId="70" applyNumberFormat="0" applyProtection="0">
      <alignment horizontal="right" vertical="center"/>
    </xf>
    <xf numFmtId="4" fontId="111" fillId="75" borderId="70" applyNumberFormat="0" applyProtection="0">
      <alignment horizontal="right" vertical="center"/>
    </xf>
    <xf numFmtId="0" fontId="112" fillId="0" borderId="0" applyNumberFormat="0" applyFill="0" applyBorder="0" applyAlignment="0" applyProtection="0"/>
    <xf numFmtId="168" fontId="68" fillId="0" borderId="0"/>
    <xf numFmtId="168" fontId="63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6" fillId="0" borderId="0"/>
    <xf numFmtId="0" fontId="6" fillId="0" borderId="0"/>
    <xf numFmtId="166" fontId="6" fillId="0" borderId="0" applyNumberFormat="0" applyFill="0" applyBorder="0" applyAlignment="0" applyProtection="0"/>
    <xf numFmtId="166" fontId="6" fillId="0" borderId="0" applyNumberFormat="0" applyFill="0" applyBorder="0" applyAlignment="0" applyProtection="0"/>
    <xf numFmtId="166" fontId="6" fillId="0" borderId="0" applyNumberFormat="0" applyFill="0" applyBorder="0" applyAlignment="0" applyProtection="0"/>
    <xf numFmtId="166" fontId="6" fillId="0" borderId="0" applyNumberFormat="0" applyFill="0" applyBorder="0" applyAlignment="0" applyProtection="0"/>
    <xf numFmtId="166" fontId="6" fillId="0" borderId="0" applyNumberFormat="0" applyFill="0" applyBorder="0" applyAlignment="0" applyProtection="0"/>
    <xf numFmtId="0" fontId="7" fillId="0" borderId="0">
      <alignment vertical="top"/>
    </xf>
    <xf numFmtId="0" fontId="97" fillId="0" borderId="0"/>
    <xf numFmtId="174" fontId="113" fillId="91" borderId="8">
      <alignment horizontal="left"/>
    </xf>
    <xf numFmtId="174" fontId="114" fillId="92" borderId="8"/>
    <xf numFmtId="40" fontId="115" fillId="0" borderId="0" applyBorder="0">
      <alignment horizontal="right"/>
    </xf>
    <xf numFmtId="0" fontId="68" fillId="0" borderId="27"/>
    <xf numFmtId="0" fontId="68" fillId="0" borderId="27"/>
    <xf numFmtId="49" fontId="7" fillId="0" borderId="0" applyFill="0" applyBorder="0" applyAlignment="0"/>
    <xf numFmtId="211" fontId="6" fillId="0" borderId="0" applyFill="0" applyBorder="0" applyAlignment="0"/>
    <xf numFmtId="212" fontId="6" fillId="0" borderId="0" applyFill="0" applyBorder="0" applyAlignment="0"/>
    <xf numFmtId="40" fontId="116" fillId="0" borderId="0"/>
    <xf numFmtId="3" fontId="117" fillId="93" borderId="15" applyNumberFormat="0" applyAlignment="0" applyProtection="0"/>
    <xf numFmtId="0" fontId="118" fillId="94" borderId="0"/>
    <xf numFmtId="1" fontId="5" fillId="0" borderId="10" applyNumberFormat="0" applyFill="0" applyProtection="0">
      <alignment horizontal="left" vertical="center"/>
    </xf>
    <xf numFmtId="186" fontId="6" fillId="0" borderId="73">
      <protection locked="0"/>
    </xf>
    <xf numFmtId="0" fontId="92" fillId="0" borderId="74"/>
    <xf numFmtId="0" fontId="92" fillId="0" borderId="27"/>
    <xf numFmtId="0" fontId="92" fillId="0" borderId="27"/>
    <xf numFmtId="1" fontId="119" fillId="0" borderId="19" applyNumberFormat="0" applyFill="0" applyAlignment="0" applyProtection="0">
      <alignment horizontal="left"/>
    </xf>
    <xf numFmtId="19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20" fillId="0" borderId="0"/>
    <xf numFmtId="177" fontId="121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22" fillId="0" borderId="0"/>
    <xf numFmtId="0" fontId="67" fillId="0" borderId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23" fillId="12" borderId="0" applyNumberFormat="0" applyBorder="0" applyAlignment="0" applyProtection="0">
      <alignment vertical="center"/>
    </xf>
    <xf numFmtId="0" fontId="124" fillId="56" borderId="0" applyNumberFormat="0" applyBorder="0" applyAlignment="0" applyProtection="0">
      <alignment vertical="center"/>
    </xf>
    <xf numFmtId="0" fontId="6" fillId="0" borderId="0"/>
    <xf numFmtId="0" fontId="70" fillId="0" borderId="0">
      <alignment vertical="center"/>
    </xf>
    <xf numFmtId="0" fontId="6" fillId="0" borderId="0"/>
    <xf numFmtId="0" fontId="6" fillId="0" borderId="0"/>
    <xf numFmtId="0" fontId="7" fillId="0" borderId="0"/>
    <xf numFmtId="0" fontId="71" fillId="95" borderId="0" applyNumberFormat="0" applyBorder="0" applyAlignment="0" applyProtection="0">
      <alignment vertical="center"/>
    </xf>
    <xf numFmtId="0" fontId="71" fillId="84" borderId="0" applyNumberFormat="0" applyBorder="0" applyAlignment="0" applyProtection="0">
      <alignment vertical="center"/>
    </xf>
    <xf numFmtId="0" fontId="71" fillId="86" borderId="0" applyNumberFormat="0" applyBorder="0" applyAlignment="0" applyProtection="0">
      <alignment vertical="center"/>
    </xf>
    <xf numFmtId="0" fontId="71" fillId="64" borderId="0" applyNumberFormat="0" applyBorder="0" applyAlignment="0" applyProtection="0">
      <alignment vertical="center"/>
    </xf>
    <xf numFmtId="0" fontId="71" fillId="65" borderId="0" applyNumberFormat="0" applyBorder="0" applyAlignment="0" applyProtection="0">
      <alignment vertical="center"/>
    </xf>
    <xf numFmtId="0" fontId="71" fillId="85" borderId="0" applyNumberFormat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6" fillId="0" borderId="75" applyNumberFormat="0" applyFill="0" applyAlignment="0" applyProtection="0">
      <alignment vertical="center"/>
    </xf>
    <xf numFmtId="0" fontId="127" fillId="0" borderId="76" applyNumberFormat="0" applyFill="0" applyAlignment="0" applyProtection="0">
      <alignment vertical="center"/>
    </xf>
    <xf numFmtId="0" fontId="128" fillId="0" borderId="77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0" borderId="0"/>
    <xf numFmtId="40" fontId="130" fillId="0" borderId="0" applyFont="0" applyFill="0" applyBorder="0" applyAlignment="0" applyProtection="0"/>
    <xf numFmtId="38" fontId="130" fillId="0" borderId="0" applyFont="0" applyFill="0" applyBorder="0" applyAlignment="0" applyProtection="0"/>
    <xf numFmtId="0" fontId="131" fillId="96" borderId="78" applyNumberFormat="0" applyAlignment="0" applyProtection="0">
      <alignment vertical="center"/>
    </xf>
    <xf numFmtId="0" fontId="132" fillId="0" borderId="0"/>
    <xf numFmtId="0" fontId="133" fillId="0" borderId="79" applyNumberFormat="0" applyFill="0" applyAlignment="0" applyProtection="0">
      <alignment vertical="center"/>
    </xf>
    <xf numFmtId="0" fontId="133" fillId="0" borderId="79" applyNumberFormat="0" applyFill="0" applyAlignment="0" applyProtection="0">
      <alignment vertical="center"/>
    </xf>
    <xf numFmtId="0" fontId="6" fillId="76" borderId="69" applyNumberFormat="0" applyFont="0" applyAlignment="0" applyProtection="0">
      <alignment vertical="center"/>
    </xf>
    <xf numFmtId="0" fontId="6" fillId="76" borderId="69" applyNumberFormat="0" applyFont="0" applyAlignment="0" applyProtection="0">
      <alignment vertical="center"/>
    </xf>
    <xf numFmtId="9" fontId="6" fillId="0" borderId="0" applyFont="0" applyFill="0" applyBorder="0" applyAlignment="0" applyProtection="0"/>
    <xf numFmtId="0" fontId="134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10" borderId="80" applyNumberFormat="0" applyAlignment="0" applyProtection="0">
      <alignment vertical="center"/>
    </xf>
    <xf numFmtId="0" fontId="136" fillId="10" borderId="80" applyNumberFormat="0" applyAlignment="0" applyProtection="0">
      <alignment vertical="center"/>
    </xf>
    <xf numFmtId="44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37" fillId="59" borderId="80" applyNumberFormat="0" applyAlignment="0" applyProtection="0">
      <alignment vertical="center"/>
    </xf>
    <xf numFmtId="0" fontId="137" fillId="59" borderId="80" applyNumberFormat="0" applyAlignment="0" applyProtection="0">
      <alignment vertical="center"/>
    </xf>
    <xf numFmtId="0" fontId="138" fillId="10" borderId="72" applyNumberFormat="0" applyAlignment="0" applyProtection="0">
      <alignment vertical="center"/>
    </xf>
    <xf numFmtId="0" fontId="138" fillId="10" borderId="72" applyNumberFormat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204" fontId="130" fillId="0" borderId="0" applyFont="0" applyFill="0" applyBorder="0" applyAlignment="0" applyProtection="0"/>
    <xf numFmtId="215" fontId="130" fillId="0" borderId="0" applyFont="0" applyFill="0" applyBorder="0" applyAlignment="0" applyProtection="0"/>
    <xf numFmtId="0" fontId="140" fillId="0" borderId="81" applyNumberFormat="0" applyFill="0" applyAlignment="0" applyProtection="0">
      <alignment vertical="center"/>
    </xf>
  </cellStyleXfs>
  <cellXfs count="80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8" fillId="0" borderId="0" xfId="623"/>
    <xf numFmtId="217" fontId="8" fillId="0" borderId="0" xfId="432" applyNumberFormat="1"/>
    <xf numFmtId="0" fontId="9" fillId="0" borderId="0" xfId="0" applyFont="1"/>
    <xf numFmtId="9" fontId="9" fillId="0" borderId="0" xfId="0" applyNumberFormat="1" applyFont="1"/>
    <xf numFmtId="0" fontId="9" fillId="0" borderId="0" xfId="0" applyFont="1" applyAlignment="1">
      <alignment horizontal="center" vertical="center"/>
    </xf>
    <xf numFmtId="0" fontId="2" fillId="0" borderId="20" xfId="626" applyFont="1" applyBorder="1" applyAlignment="1">
      <alignment horizontal="center" vertical="center"/>
    </xf>
    <xf numFmtId="0" fontId="2" fillId="0" borderId="21" xfId="626" applyFont="1" applyBorder="1" applyAlignment="1">
      <alignment vertical="center"/>
    </xf>
    <xf numFmtId="0" fontId="4" fillId="0" borderId="22" xfId="626" applyFont="1" applyBorder="1" applyAlignment="1">
      <alignment horizontal="left" vertical="center"/>
    </xf>
    <xf numFmtId="0" fontId="3" fillId="0" borderId="22" xfId="626" applyFont="1" applyBorder="1" applyAlignment="1">
      <alignment horizontal="center" vertical="center"/>
    </xf>
    <xf numFmtId="0" fontId="4" fillId="0" borderId="22" xfId="670" applyFont="1" applyBorder="1" applyAlignment="1">
      <alignment horizontal="left" vertical="center"/>
    </xf>
    <xf numFmtId="217" fontId="3" fillId="0" borderId="22" xfId="444" applyNumberFormat="1" applyFont="1" applyBorder="1" applyAlignment="1">
      <alignment horizontal="center" vertical="center"/>
    </xf>
    <xf numFmtId="217" fontId="3" fillId="0" borderId="23" xfId="444" applyNumberFormat="1" applyFont="1" applyBorder="1" applyAlignment="1">
      <alignment horizontal="center" vertical="center"/>
    </xf>
    <xf numFmtId="0" fontId="4" fillId="0" borderId="24" xfId="626" applyFont="1" applyBorder="1" applyAlignment="1">
      <alignment horizontal="left" vertical="center"/>
    </xf>
    <xf numFmtId="10" fontId="3" fillId="0" borderId="25" xfId="706" applyNumberFormat="1" applyFont="1" applyFill="1" applyBorder="1" applyAlignment="1">
      <alignment horizontal="center" vertical="center"/>
    </xf>
    <xf numFmtId="10" fontId="3" fillId="0" borderId="22" xfId="444" applyNumberFormat="1" applyFont="1" applyFill="1" applyBorder="1" applyAlignment="1">
      <alignment horizontal="center" vertical="center"/>
    </xf>
    <xf numFmtId="0" fontId="3" fillId="0" borderId="26" xfId="626" applyFont="1" applyBorder="1" applyAlignment="1">
      <alignment vertical="center"/>
    </xf>
    <xf numFmtId="9" fontId="3" fillId="0" borderId="26" xfId="444" applyNumberFormat="1" applyFont="1" applyBorder="1" applyAlignment="1">
      <alignment vertical="center"/>
    </xf>
    <xf numFmtId="220" fontId="0" fillId="0" borderId="0" xfId="0" applyNumberFormat="1" applyAlignment="1">
      <alignment vertical="center"/>
    </xf>
    <xf numFmtId="0" fontId="21" fillId="0" borderId="0" xfId="622" applyFont="1" applyAlignment="1" applyProtection="1">
      <alignment horizontal="center" vertical="center"/>
      <protection locked="0"/>
    </xf>
    <xf numFmtId="0" fontId="21" fillId="0" borderId="0" xfId="622" applyFont="1" applyAlignment="1" applyProtection="1">
      <alignment horizontal="left" vertical="center"/>
      <protection locked="0"/>
    </xf>
    <xf numFmtId="9" fontId="21" fillId="0" borderId="0" xfId="622" applyNumberFormat="1" applyFont="1" applyAlignment="1" applyProtection="1">
      <alignment horizontal="center" vertical="center"/>
      <protection locked="0"/>
    </xf>
    <xf numFmtId="3" fontId="21" fillId="0" borderId="0" xfId="622" applyNumberFormat="1" applyFont="1" applyAlignment="1" applyProtection="1">
      <alignment horizontal="center" vertical="center"/>
      <protection locked="0"/>
    </xf>
    <xf numFmtId="0" fontId="24" fillId="0" borderId="0" xfId="622" applyFont="1" applyAlignment="1" applyProtection="1">
      <alignment horizontal="center" vertical="center"/>
      <protection locked="0"/>
    </xf>
    <xf numFmtId="164" fontId="21" fillId="0" borderId="0" xfId="622" applyNumberFormat="1" applyFont="1" applyAlignment="1" applyProtection="1">
      <alignment horizontal="center" vertical="center"/>
      <protection locked="0"/>
    </xf>
    <xf numFmtId="216" fontId="24" fillId="0" borderId="0" xfId="432" applyNumberFormat="1" applyFont="1" applyAlignment="1" applyProtection="1">
      <alignment horizontal="center" vertical="center"/>
      <protection locked="0"/>
    </xf>
    <xf numFmtId="209" fontId="24" fillId="0" borderId="0" xfId="622" applyNumberFormat="1" applyFont="1" applyAlignment="1" applyProtection="1">
      <alignment horizontal="center" vertical="center"/>
      <protection locked="0"/>
    </xf>
    <xf numFmtId="0" fontId="27" fillId="0" borderId="0" xfId="622" applyProtection="1">
      <protection locked="0"/>
    </xf>
    <xf numFmtId="0" fontId="21" fillId="0" borderId="0" xfId="622" applyFont="1" applyAlignment="1" applyProtection="1">
      <alignment horizontal="center" vertical="center" wrapText="1"/>
      <protection locked="0"/>
    </xf>
    <xf numFmtId="217" fontId="27" fillId="7" borderId="0" xfId="622" applyNumberFormat="1" applyFill="1" applyProtection="1">
      <protection locked="0"/>
    </xf>
    <xf numFmtId="3" fontId="21" fillId="7" borderId="0" xfId="622" applyNumberFormat="1" applyFont="1" applyFill="1" applyAlignment="1" applyProtection="1">
      <alignment horizontal="center" vertical="center"/>
      <protection locked="0"/>
    </xf>
    <xf numFmtId="0" fontId="21" fillId="7" borderId="0" xfId="622" applyFont="1" applyFill="1" applyAlignment="1" applyProtection="1">
      <alignment horizontal="center" vertical="center"/>
      <protection locked="0"/>
    </xf>
    <xf numFmtId="0" fontId="27" fillId="7" borderId="0" xfId="622" applyFill="1" applyProtection="1">
      <protection locked="0"/>
    </xf>
    <xf numFmtId="0" fontId="21" fillId="7" borderId="0" xfId="622" applyFont="1" applyFill="1" applyAlignment="1" applyProtection="1">
      <alignment horizontal="left" vertical="center"/>
      <protection locked="0"/>
    </xf>
    <xf numFmtId="216" fontId="21" fillId="0" borderId="0" xfId="430" applyNumberFormat="1" applyFont="1" applyAlignment="1" applyProtection="1">
      <alignment horizontal="center" vertical="center"/>
      <protection locked="0"/>
    </xf>
    <xf numFmtId="216" fontId="21" fillId="0" borderId="0" xfId="622" applyNumberFormat="1" applyFont="1" applyAlignment="1" applyProtection="1">
      <alignment horizontal="center" vertical="center"/>
      <protection locked="0"/>
    </xf>
    <xf numFmtId="216" fontId="21" fillId="0" borderId="0" xfId="432" applyNumberFormat="1" applyFont="1" applyAlignment="1" applyProtection="1">
      <alignment horizontal="center" vertical="center"/>
      <protection locked="0"/>
    </xf>
    <xf numFmtId="217" fontId="21" fillId="0" borderId="0" xfId="622" applyNumberFormat="1" applyFont="1" applyAlignment="1" applyProtection="1">
      <alignment horizontal="center" vertical="center"/>
      <protection locked="0"/>
    </xf>
    <xf numFmtId="221" fontId="21" fillId="0" borderId="0" xfId="622" applyNumberFormat="1" applyFont="1" applyAlignment="1" applyProtection="1">
      <alignment horizontal="center" vertical="center"/>
      <protection locked="0"/>
    </xf>
    <xf numFmtId="1" fontId="21" fillId="0" borderId="0" xfId="622" applyNumberFormat="1" applyFont="1" applyAlignment="1" applyProtection="1">
      <alignment horizontal="center" vertical="center"/>
      <protection locked="0"/>
    </xf>
    <xf numFmtId="225" fontId="21" fillId="7" borderId="0" xfId="622" applyNumberFormat="1" applyFont="1" applyFill="1" applyAlignment="1" applyProtection="1">
      <alignment horizontal="center" vertical="center"/>
      <protection locked="0"/>
    </xf>
    <xf numFmtId="9" fontId="21" fillId="7" borderId="0" xfId="622" applyNumberFormat="1" applyFont="1" applyFill="1" applyAlignment="1" applyProtection="1">
      <alignment horizontal="center" vertical="center"/>
      <protection locked="0"/>
    </xf>
    <xf numFmtId="225" fontId="21" fillId="0" borderId="0" xfId="622" applyNumberFormat="1" applyFont="1" applyAlignment="1" applyProtection="1">
      <alignment horizontal="center" vertical="center"/>
      <protection locked="0"/>
    </xf>
    <xf numFmtId="10" fontId="21" fillId="0" borderId="0" xfId="622" applyNumberFormat="1" applyFont="1" applyAlignment="1" applyProtection="1">
      <alignment horizontal="center" vertical="center"/>
      <protection locked="0"/>
    </xf>
    <xf numFmtId="185" fontId="0" fillId="0" borderId="0" xfId="1" applyNumberFormat="1" applyFont="1" applyAlignment="1">
      <alignment horizontal="center"/>
    </xf>
    <xf numFmtId="0" fontId="28" fillId="0" borderId="0" xfId="0" applyFont="1" applyAlignment="1">
      <alignment vertical="center"/>
    </xf>
    <xf numFmtId="3" fontId="29" fillId="0" borderId="0" xfId="691" applyNumberFormat="1" applyFont="1" applyAlignment="1" applyProtection="1">
      <alignment vertical="center"/>
      <protection locked="0"/>
    </xf>
    <xf numFmtId="3" fontId="30" fillId="0" borderId="0" xfId="691" applyNumberFormat="1" applyFont="1" applyAlignment="1" applyProtection="1">
      <alignment vertical="center"/>
      <protection locked="0"/>
    </xf>
    <xf numFmtId="3" fontId="30" fillId="0" borderId="0" xfId="691" applyNumberFormat="1" applyFont="1" applyAlignment="1" applyProtection="1">
      <alignment vertical="center" wrapText="1"/>
      <protection locked="0"/>
    </xf>
    <xf numFmtId="185" fontId="2" fillId="15" borderId="0" xfId="1" applyNumberFormat="1" applyFont="1" applyFill="1" applyAlignment="1">
      <alignment horizontal="center"/>
    </xf>
    <xf numFmtId="0" fontId="32" fillId="7" borderId="0" xfId="0" applyFont="1" applyFill="1"/>
    <xf numFmtId="0" fontId="9" fillId="0" borderId="0" xfId="0" applyFont="1" applyAlignment="1">
      <alignment horizontal="center"/>
    </xf>
    <xf numFmtId="0" fontId="32" fillId="0" borderId="0" xfId="0" applyFont="1"/>
    <xf numFmtId="0" fontId="9" fillId="0" borderId="0" xfId="0" applyFont="1" applyAlignment="1">
      <alignment wrapText="1"/>
    </xf>
    <xf numFmtId="0" fontId="33" fillId="0" borderId="0" xfId="0" applyFont="1"/>
    <xf numFmtId="0" fontId="9" fillId="0" borderId="0" xfId="0" applyFont="1" applyAlignment="1">
      <alignment vertical="center" wrapText="1"/>
    </xf>
    <xf numFmtId="43" fontId="9" fillId="0" borderId="0" xfId="0" applyNumberFormat="1" applyFont="1"/>
    <xf numFmtId="0" fontId="9" fillId="0" borderId="0" xfId="0" applyFont="1" applyAlignment="1">
      <alignment horizontal="right"/>
    </xf>
    <xf numFmtId="2" fontId="9" fillId="0" borderId="0" xfId="0" applyNumberFormat="1" applyFont="1"/>
    <xf numFmtId="43" fontId="9" fillId="0" borderId="0" xfId="1" applyFont="1"/>
    <xf numFmtId="164" fontId="9" fillId="0" borderId="0" xfId="0" applyNumberFormat="1" applyFont="1"/>
    <xf numFmtId="0" fontId="35" fillId="0" borderId="0" xfId="0" applyFont="1"/>
    <xf numFmtId="164" fontId="19" fillId="0" borderId="0" xfId="0" applyNumberFormat="1" applyFont="1"/>
    <xf numFmtId="195" fontId="19" fillId="0" borderId="0" xfId="2" applyNumberFormat="1" applyFont="1" applyFill="1" applyBorder="1"/>
    <xf numFmtId="0" fontId="19" fillId="0" borderId="0" xfId="0" applyFont="1"/>
    <xf numFmtId="0" fontId="36" fillId="0" borderId="0" xfId="0" applyFont="1"/>
    <xf numFmtId="185" fontId="36" fillId="0" borderId="0" xfId="1" applyNumberFormat="1" applyFont="1" applyFill="1" applyBorder="1"/>
    <xf numFmtId="0" fontId="9" fillId="0" borderId="16" xfId="0" applyFont="1" applyBorder="1"/>
    <xf numFmtId="0" fontId="9" fillId="0" borderId="9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37" xfId="0" applyFont="1" applyBorder="1"/>
    <xf numFmtId="0" fontId="9" fillId="0" borderId="7" xfId="0" applyFont="1" applyBorder="1"/>
    <xf numFmtId="185" fontId="9" fillId="0" borderId="0" xfId="1" applyNumberFormat="1" applyFont="1"/>
    <xf numFmtId="185" fontId="9" fillId="0" borderId="0" xfId="0" applyNumberFormat="1" applyFont="1"/>
    <xf numFmtId="216" fontId="9" fillId="0" borderId="0" xfId="0" applyNumberFormat="1" applyFont="1"/>
    <xf numFmtId="226" fontId="9" fillId="0" borderId="0" xfId="0" applyNumberFormat="1" applyFont="1"/>
    <xf numFmtId="164" fontId="9" fillId="0" borderId="37" xfId="0" applyNumberFormat="1" applyFont="1" applyBorder="1"/>
    <xf numFmtId="43" fontId="32" fillId="0" borderId="0" xfId="0" applyNumberFormat="1" applyFont="1"/>
    <xf numFmtId="185" fontId="32" fillId="0" borderId="0" xfId="0" applyNumberFormat="1" applyFont="1"/>
    <xf numFmtId="9" fontId="9" fillId="0" borderId="0" xfId="2" applyFont="1"/>
    <xf numFmtId="217" fontId="9" fillId="0" borderId="0" xfId="0" applyNumberFormat="1" applyFont="1"/>
    <xf numFmtId="9" fontId="0" fillId="0" borderId="0" xfId="0" applyNumberFormat="1" applyAlignment="1">
      <alignment vertical="center"/>
    </xf>
    <xf numFmtId="0" fontId="32" fillId="0" borderId="0" xfId="0" applyFont="1" applyAlignment="1">
      <alignment vertical="center"/>
    </xf>
    <xf numFmtId="43" fontId="32" fillId="2" borderId="0" xfId="0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9" fontId="39" fillId="0" borderId="0" xfId="0" applyNumberFormat="1" applyFont="1" applyAlignment="1">
      <alignment horizontal="left" vertical="center"/>
    </xf>
    <xf numFmtId="196" fontId="0" fillId="0" borderId="0" xfId="0" applyNumberFormat="1" applyAlignment="1">
      <alignment vertical="center"/>
    </xf>
    <xf numFmtId="227" fontId="0" fillId="0" borderId="0" xfId="0" applyNumberFormat="1" applyAlignment="1">
      <alignment vertical="center"/>
    </xf>
    <xf numFmtId="166" fontId="0" fillId="0" borderId="0" xfId="660" applyFont="1" applyAlignment="1">
      <alignment horizontal="center" vertical="top" wrapText="1"/>
    </xf>
    <xf numFmtId="166" fontId="0" fillId="0" borderId="0" xfId="660" applyFont="1" applyAlignment="1">
      <alignment horizontal="center"/>
    </xf>
    <xf numFmtId="166" fontId="0" fillId="0" borderId="0" xfId="660" applyFont="1" applyAlignment="1">
      <alignment horizontal="center" wrapText="1"/>
    </xf>
    <xf numFmtId="166" fontId="4" fillId="0" borderId="0" xfId="660" applyFont="1" applyAlignment="1">
      <alignment horizontal="center" vertical="center" wrapText="1"/>
    </xf>
    <xf numFmtId="2" fontId="4" fillId="0" borderId="0" xfId="660" applyNumberFormat="1" applyFont="1" applyAlignment="1">
      <alignment horizontal="center" vertical="center"/>
    </xf>
    <xf numFmtId="166" fontId="4" fillId="0" borderId="0" xfId="660" applyFont="1" applyAlignment="1">
      <alignment horizontal="center" vertical="center"/>
    </xf>
    <xf numFmtId="0" fontId="2" fillId="15" borderId="0" xfId="0" applyFont="1" applyFill="1" applyAlignment="1">
      <alignment horizontal="center"/>
    </xf>
    <xf numFmtId="18" fontId="0" fillId="0" borderId="0" xfId="0" applyNumberFormat="1"/>
    <xf numFmtId="166" fontId="4" fillId="7" borderId="0" xfId="660" applyFont="1" applyFill="1" applyAlignment="1">
      <alignment horizontal="center" vertical="center"/>
    </xf>
    <xf numFmtId="197" fontId="0" fillId="0" borderId="38" xfId="660" applyNumberFormat="1" applyFont="1" applyBorder="1" applyAlignment="1">
      <alignment horizontal="center"/>
    </xf>
    <xf numFmtId="166" fontId="0" fillId="0" borderId="19" xfId="660" applyFont="1" applyBorder="1" applyAlignment="1">
      <alignment horizontal="center"/>
    </xf>
    <xf numFmtId="228" fontId="0" fillId="0" borderId="0" xfId="0" applyNumberFormat="1"/>
    <xf numFmtId="166" fontId="0" fillId="0" borderId="39" xfId="660" applyFont="1" applyBorder="1" applyAlignment="1">
      <alignment horizontal="center"/>
    </xf>
    <xf numFmtId="197" fontId="0" fillId="7" borderId="38" xfId="660" applyNumberFormat="1" applyFont="1" applyFill="1" applyBorder="1" applyAlignment="1">
      <alignment horizontal="center"/>
    </xf>
    <xf numFmtId="166" fontId="2" fillId="0" borderId="0" xfId="660" applyFont="1" applyAlignment="1">
      <alignment horizontal="center"/>
    </xf>
    <xf numFmtId="1" fontId="2" fillId="0" borderId="0" xfId="660" applyNumberFormat="1" applyFont="1" applyAlignment="1">
      <alignment horizontal="center" vertical="center"/>
    </xf>
    <xf numFmtId="166" fontId="3" fillId="0" borderId="0" xfId="660" applyFont="1" applyAlignment="1">
      <alignment horizontal="center"/>
    </xf>
    <xf numFmtId="1" fontId="0" fillId="0" borderId="0" xfId="660" applyNumberFormat="1" applyFont="1" applyAlignment="1">
      <alignment horizontal="center"/>
    </xf>
    <xf numFmtId="9" fontId="0" fillId="0" borderId="0" xfId="2" applyFont="1"/>
    <xf numFmtId="197" fontId="6" fillId="0" borderId="0" xfId="660" applyNumberFormat="1" applyAlignment="1">
      <alignment horizontal="center" vertical="center"/>
    </xf>
    <xf numFmtId="219" fontId="0" fillId="0" borderId="0" xfId="0" applyNumberFormat="1"/>
    <xf numFmtId="219" fontId="3" fillId="7" borderId="0" xfId="0" applyNumberFormat="1" applyFont="1" applyFill="1"/>
    <xf numFmtId="219" fontId="3" fillId="0" borderId="0" xfId="0" applyNumberFormat="1" applyFont="1"/>
    <xf numFmtId="166" fontId="0" fillId="0" borderId="0" xfId="660" applyFont="1" applyAlignment="1">
      <alignment horizontal="center" vertical="center"/>
    </xf>
    <xf numFmtId="219" fontId="0" fillId="0" borderId="0" xfId="660" applyNumberFormat="1" applyFont="1" applyAlignment="1">
      <alignment horizontal="center"/>
    </xf>
    <xf numFmtId="219" fontId="0" fillId="0" borderId="0" xfId="2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12" fillId="7" borderId="0" xfId="0" applyFont="1" applyFill="1"/>
    <xf numFmtId="0" fontId="12" fillId="0" borderId="0" xfId="0" applyFont="1" applyAlignment="1">
      <alignment wrapText="1"/>
    </xf>
    <xf numFmtId="0" fontId="12" fillId="0" borderId="0" xfId="0" applyFont="1"/>
    <xf numFmtId="0" fontId="13" fillId="44" borderId="16" xfId="0" applyFont="1" applyFill="1" applyBorder="1" applyAlignment="1">
      <alignment horizontal="center"/>
    </xf>
    <xf numFmtId="0" fontId="41" fillId="8" borderId="5" xfId="0" applyFont="1" applyFill="1" applyBorder="1" applyAlignment="1">
      <alignment horizontal="center" vertical="center" wrapText="1"/>
    </xf>
    <xf numFmtId="0" fontId="42" fillId="6" borderId="40" xfId="625" applyFont="1" applyFill="1" applyBorder="1" applyAlignment="1">
      <alignment horizontal="center" vertical="center"/>
    </xf>
    <xf numFmtId="0" fontId="13" fillId="6" borderId="37" xfId="0" applyFont="1" applyFill="1" applyBorder="1" applyAlignment="1">
      <alignment horizontal="center"/>
    </xf>
    <xf numFmtId="0" fontId="15" fillId="0" borderId="7" xfId="625" applyFont="1" applyBorder="1" applyAlignment="1">
      <alignment horizontal="center" vertical="center"/>
    </xf>
    <xf numFmtId="0" fontId="17" fillId="36" borderId="41" xfId="625" applyFont="1" applyFill="1" applyBorder="1" applyAlignment="1">
      <alignment horizontal="center" vertical="center" wrapText="1"/>
    </xf>
    <xf numFmtId="0" fontId="17" fillId="0" borderId="42" xfId="625" applyFont="1" applyBorder="1" applyAlignment="1">
      <alignment horizontal="center" vertical="center" wrapText="1"/>
    </xf>
    <xf numFmtId="0" fontId="17" fillId="0" borderId="42" xfId="625" applyFont="1" applyBorder="1" applyAlignment="1">
      <alignment horizontal="center" vertical="center"/>
    </xf>
    <xf numFmtId="0" fontId="15" fillId="0" borderId="43" xfId="625" applyFont="1" applyBorder="1" applyAlignment="1">
      <alignment horizontal="center" vertical="center"/>
    </xf>
    <xf numFmtId="0" fontId="43" fillId="36" borderId="44" xfId="625" applyFont="1" applyFill="1" applyBorder="1" applyAlignment="1">
      <alignment horizontal="center" vertical="center" wrapText="1"/>
    </xf>
    <xf numFmtId="0" fontId="44" fillId="0" borderId="36" xfId="625" applyFont="1" applyBorder="1" applyAlignment="1">
      <alignment horizontal="center" vertical="center" wrapText="1"/>
    </xf>
    <xf numFmtId="0" fontId="12" fillId="0" borderId="36" xfId="625" applyFont="1" applyBorder="1" applyAlignment="1">
      <alignment horizontal="center" vertical="center"/>
    </xf>
    <xf numFmtId="0" fontId="12" fillId="0" borderId="36" xfId="2" applyNumberFormat="1" applyFont="1" applyFill="1" applyBorder="1" applyAlignment="1">
      <alignment horizontal="center" vertical="center"/>
    </xf>
    <xf numFmtId="0" fontId="15" fillId="0" borderId="36" xfId="625" applyFont="1" applyBorder="1" applyAlignment="1">
      <alignment horizontal="center" vertical="center" wrapText="1"/>
    </xf>
    <xf numFmtId="0" fontId="15" fillId="0" borderId="45" xfId="625" applyFont="1" applyBorder="1" applyAlignment="1">
      <alignment horizontal="center" vertical="center"/>
    </xf>
    <xf numFmtId="0" fontId="12" fillId="0" borderId="36" xfId="625" applyFont="1" applyBorder="1" applyAlignment="1">
      <alignment horizontal="center" vertical="center" wrapText="1"/>
    </xf>
    <xf numFmtId="0" fontId="12" fillId="0" borderId="47" xfId="625" applyFont="1" applyBorder="1" applyAlignment="1">
      <alignment horizontal="center" vertical="center"/>
    </xf>
    <xf numFmtId="0" fontId="15" fillId="0" borderId="48" xfId="625" applyFont="1" applyBorder="1" applyAlignment="1">
      <alignment horizontal="center" vertical="center"/>
    </xf>
    <xf numFmtId="9" fontId="12" fillId="0" borderId="42" xfId="2" applyFont="1" applyFill="1" applyBorder="1" applyAlignment="1">
      <alignment horizontal="center" vertical="center"/>
    </xf>
    <xf numFmtId="0" fontId="12" fillId="0" borderId="42" xfId="625" applyFont="1" applyBorder="1" applyAlignment="1">
      <alignment horizontal="center" vertical="center" wrapText="1"/>
    </xf>
    <xf numFmtId="9" fontId="12" fillId="0" borderId="36" xfId="2" applyFont="1" applyFill="1" applyBorder="1" applyAlignment="1">
      <alignment horizontal="center" vertical="center"/>
    </xf>
    <xf numFmtId="1" fontId="12" fillId="0" borderId="36" xfId="2" applyNumberFormat="1" applyFont="1" applyFill="1" applyBorder="1" applyAlignment="1">
      <alignment horizontal="center" vertical="center"/>
    </xf>
    <xf numFmtId="1" fontId="12" fillId="0" borderId="36" xfId="625" applyNumberFormat="1" applyFont="1" applyBorder="1" applyAlignment="1">
      <alignment horizontal="center" vertical="center" wrapText="1"/>
    </xf>
    <xf numFmtId="0" fontId="12" fillId="0" borderId="49" xfId="625" applyFont="1" applyBorder="1" applyAlignment="1">
      <alignment horizontal="center" vertical="center" wrapText="1"/>
    </xf>
    <xf numFmtId="209" fontId="12" fillId="0" borderId="36" xfId="2" applyNumberFormat="1" applyFont="1" applyFill="1" applyBorder="1" applyAlignment="1">
      <alignment horizontal="center" vertical="center"/>
    </xf>
    <xf numFmtId="0" fontId="43" fillId="7" borderId="44" xfId="625" applyFont="1" applyFill="1" applyBorder="1" applyAlignment="1">
      <alignment horizontal="center" vertical="center" wrapText="1"/>
    </xf>
    <xf numFmtId="0" fontId="13" fillId="36" borderId="44" xfId="625" applyFont="1" applyFill="1" applyBorder="1" applyAlignment="1">
      <alignment horizontal="center" vertical="center" wrapText="1"/>
    </xf>
    <xf numFmtId="0" fontId="15" fillId="0" borderId="36" xfId="625" applyFont="1" applyBorder="1" applyAlignment="1">
      <alignment horizontal="center" vertical="center"/>
    </xf>
    <xf numFmtId="0" fontId="15" fillId="0" borderId="50" xfId="625" applyFont="1" applyBorder="1" applyAlignment="1">
      <alignment horizontal="center" vertical="center"/>
    </xf>
    <xf numFmtId="1" fontId="15" fillId="0" borderId="36" xfId="625" applyNumberFormat="1" applyFont="1" applyBorder="1" applyAlignment="1">
      <alignment horizontal="center" vertical="center"/>
    </xf>
    <xf numFmtId="0" fontId="15" fillId="0" borderId="51" xfId="625" applyFont="1" applyBorder="1" applyAlignment="1">
      <alignment horizontal="center" vertical="center"/>
    </xf>
    <xf numFmtId="1" fontId="15" fillId="0" borderId="49" xfId="625" applyNumberFormat="1" applyFont="1" applyBorder="1" applyAlignment="1">
      <alignment horizontal="center" vertical="center"/>
    </xf>
    <xf numFmtId="197" fontId="15" fillId="0" borderId="49" xfId="625" applyNumberFormat="1" applyFont="1" applyBorder="1" applyAlignment="1">
      <alignment horizontal="center" vertical="center"/>
    </xf>
    <xf numFmtId="0" fontId="41" fillId="36" borderId="49" xfId="0" applyFont="1" applyFill="1" applyBorder="1" applyAlignment="1">
      <alignment horizontal="center" vertical="center"/>
    </xf>
    <xf numFmtId="0" fontId="43" fillId="36" borderId="49" xfId="0" applyFont="1" applyFill="1" applyBorder="1" applyAlignment="1">
      <alignment horizontal="center" vertical="center"/>
    </xf>
    <xf numFmtId="0" fontId="15" fillId="0" borderId="49" xfId="625" applyFont="1" applyBorder="1" applyAlignment="1">
      <alignment horizontal="center" vertical="center" wrapText="1"/>
    </xf>
    <xf numFmtId="0" fontId="43" fillId="7" borderId="44" xfId="626" applyFont="1" applyFill="1" applyBorder="1" applyAlignment="1">
      <alignment horizontal="center" vertical="center" wrapText="1"/>
    </xf>
    <xf numFmtId="0" fontId="12" fillId="0" borderId="49" xfId="625" applyFont="1" applyBorder="1" applyAlignment="1">
      <alignment horizontal="center" vertical="center"/>
    </xf>
    <xf numFmtId="1" fontId="15" fillId="0" borderId="52" xfId="625" applyNumberFormat="1" applyFont="1" applyBorder="1" applyAlignment="1">
      <alignment horizontal="center" vertical="center"/>
    </xf>
    <xf numFmtId="197" fontId="15" fillId="7" borderId="49" xfId="625" applyNumberFormat="1" applyFont="1" applyFill="1" applyBorder="1" applyAlignment="1">
      <alignment horizontal="center" vertical="center"/>
    </xf>
    <xf numFmtId="1" fontId="45" fillId="7" borderId="49" xfId="625" applyNumberFormat="1" applyFont="1" applyFill="1" applyBorder="1" applyAlignment="1">
      <alignment horizontal="center" vertical="center"/>
    </xf>
    <xf numFmtId="230" fontId="12" fillId="0" borderId="49" xfId="436" applyNumberFormat="1" applyFont="1" applyFill="1" applyBorder="1" applyAlignment="1">
      <alignment horizontal="center" vertical="center" wrapText="1"/>
    </xf>
    <xf numFmtId="43" fontId="13" fillId="0" borderId="45" xfId="625" applyNumberFormat="1" applyFont="1" applyBorder="1" applyAlignment="1">
      <alignment horizontal="center" vertical="center"/>
    </xf>
    <xf numFmtId="230" fontId="13" fillId="0" borderId="49" xfId="436" applyNumberFormat="1" applyFont="1" applyBorder="1" applyAlignment="1">
      <alignment horizontal="center" vertical="center" wrapText="1"/>
    </xf>
    <xf numFmtId="43" fontId="15" fillId="0" borderId="45" xfId="625" applyNumberFormat="1" applyFont="1" applyBorder="1" applyAlignment="1">
      <alignment horizontal="center" vertical="center"/>
    </xf>
    <xf numFmtId="43" fontId="15" fillId="7" borderId="49" xfId="1" applyFont="1" applyFill="1" applyBorder="1" applyAlignment="1" applyProtection="1">
      <alignment horizontal="center" vertical="center"/>
    </xf>
    <xf numFmtId="0" fontId="44" fillId="0" borderId="49" xfId="625" applyFont="1" applyBorder="1" applyAlignment="1">
      <alignment horizontal="center" vertical="center" wrapText="1"/>
    </xf>
    <xf numFmtId="1" fontId="15" fillId="7" borderId="49" xfId="625" applyNumberFormat="1" applyFont="1" applyFill="1" applyBorder="1" applyAlignment="1">
      <alignment horizontal="center" vertical="center"/>
    </xf>
    <xf numFmtId="216" fontId="13" fillId="0" borderId="44" xfId="436" applyNumberFormat="1" applyFont="1" applyBorder="1" applyAlignment="1">
      <alignment horizontal="center" vertical="center" wrapText="1"/>
    </xf>
    <xf numFmtId="0" fontId="43" fillId="7" borderId="53" xfId="625" applyFont="1" applyFill="1" applyBorder="1" applyAlignment="1">
      <alignment horizontal="center" vertical="center" wrapText="1"/>
    </xf>
    <xf numFmtId="0" fontId="15" fillId="0" borderId="49" xfId="625" applyFont="1" applyBorder="1" applyAlignment="1">
      <alignment horizontal="center" vertical="center"/>
    </xf>
    <xf numFmtId="0" fontId="12" fillId="7" borderId="36" xfId="2" applyNumberFormat="1" applyFont="1" applyFill="1" applyBorder="1" applyAlignment="1">
      <alignment horizontal="center" vertical="center"/>
    </xf>
    <xf numFmtId="216" fontId="13" fillId="0" borderId="49" xfId="436" applyNumberFormat="1" applyFont="1" applyFill="1" applyBorder="1" applyAlignment="1">
      <alignment horizontal="center" vertical="center" wrapText="1"/>
    </xf>
    <xf numFmtId="1" fontId="12" fillId="0" borderId="49" xfId="2" applyNumberFormat="1" applyFont="1" applyFill="1" applyBorder="1" applyAlignment="1">
      <alignment horizontal="center" vertical="center"/>
    </xf>
    <xf numFmtId="216" fontId="12" fillId="0" borderId="49" xfId="436" applyNumberFormat="1" applyFont="1" applyFill="1" applyBorder="1" applyAlignment="1">
      <alignment horizontal="center" vertical="center" wrapText="1"/>
    </xf>
    <xf numFmtId="2" fontId="12" fillId="0" borderId="49" xfId="2" applyNumberFormat="1" applyFont="1" applyFill="1" applyBorder="1" applyAlignment="1">
      <alignment horizontal="center" vertical="center"/>
    </xf>
    <xf numFmtId="197" fontId="12" fillId="0" borderId="49" xfId="2" applyNumberFormat="1" applyFont="1" applyFill="1" applyBorder="1" applyAlignment="1">
      <alignment horizontal="center" vertical="center"/>
    </xf>
    <xf numFmtId="231" fontId="15" fillId="0" borderId="36" xfId="625" applyNumberFormat="1" applyFont="1" applyBorder="1" applyAlignment="1">
      <alignment horizontal="center" vertical="center"/>
    </xf>
    <xf numFmtId="216" fontId="13" fillId="0" borderId="44" xfId="436" applyNumberFormat="1" applyFont="1" applyFill="1" applyBorder="1" applyAlignment="1">
      <alignment horizontal="center" vertical="center" wrapText="1"/>
    </xf>
    <xf numFmtId="0" fontId="13" fillId="7" borderId="54" xfId="625" applyFont="1" applyFill="1" applyBorder="1" applyAlignment="1">
      <alignment horizontal="center" vertical="center" wrapText="1"/>
    </xf>
    <xf numFmtId="231" fontId="15" fillId="7" borderId="36" xfId="625" applyNumberFormat="1" applyFont="1" applyFill="1" applyBorder="1" applyAlignment="1">
      <alignment horizontal="center" vertical="center"/>
    </xf>
    <xf numFmtId="3" fontId="13" fillId="7" borderId="36" xfId="625" applyNumberFormat="1" applyFont="1" applyFill="1" applyBorder="1" applyAlignment="1">
      <alignment horizontal="center" vertical="center" wrapText="1"/>
    </xf>
    <xf numFmtId="0" fontId="12" fillId="7" borderId="36" xfId="625" applyFont="1" applyFill="1" applyBorder="1" applyAlignment="1">
      <alignment horizontal="center" vertical="center"/>
    </xf>
    <xf numFmtId="209" fontId="12" fillId="7" borderId="36" xfId="2" applyNumberFormat="1" applyFont="1" applyFill="1" applyBorder="1" applyAlignment="1">
      <alignment horizontal="center" vertical="center"/>
    </xf>
    <xf numFmtId="0" fontId="15" fillId="0" borderId="0" xfId="625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4" borderId="0" xfId="619" applyFill="1"/>
    <xf numFmtId="0" fontId="46" fillId="34" borderId="0" xfId="619" applyFont="1" applyFill="1"/>
    <xf numFmtId="0" fontId="47" fillId="34" borderId="0" xfId="619" applyFont="1" applyFill="1"/>
    <xf numFmtId="0" fontId="48" fillId="34" borderId="0" xfId="619" applyFont="1" applyFill="1"/>
    <xf numFmtId="0" fontId="49" fillId="34" borderId="0" xfId="619" applyFont="1" applyFill="1"/>
    <xf numFmtId="0" fontId="19" fillId="34" borderId="0" xfId="619" applyFont="1" applyFill="1"/>
    <xf numFmtId="0" fontId="50" fillId="34" borderId="0" xfId="619" applyFont="1" applyFill="1"/>
    <xf numFmtId="0" fontId="50" fillId="34" borderId="0" xfId="619" applyFont="1" applyFill="1" applyAlignment="1">
      <alignment horizontal="left"/>
    </xf>
    <xf numFmtId="0" fontId="51" fillId="34" borderId="0" xfId="619" applyFont="1" applyFill="1"/>
    <xf numFmtId="0" fontId="52" fillId="34" borderId="0" xfId="619" applyFont="1" applyFill="1" applyAlignment="1">
      <alignment horizontal="center" vertical="center"/>
    </xf>
    <xf numFmtId="0" fontId="19" fillId="34" borderId="0" xfId="619" applyFont="1" applyFill="1" applyProtection="1">
      <protection locked="0"/>
    </xf>
    <xf numFmtId="0" fontId="50" fillId="34" borderId="0" xfId="619" applyFont="1" applyFill="1" applyAlignment="1" applyProtection="1">
      <alignment horizontal="left"/>
      <protection locked="0"/>
    </xf>
    <xf numFmtId="0" fontId="53" fillId="38" borderId="19" xfId="619" applyFont="1" applyFill="1" applyBorder="1" applyAlignment="1" applyProtection="1">
      <alignment vertical="top" wrapText="1"/>
      <protection locked="0"/>
    </xf>
    <xf numFmtId="0" fontId="53" fillId="0" borderId="19" xfId="619" applyFont="1" applyBorder="1" applyAlignment="1" applyProtection="1">
      <alignment horizontal="left" vertical="center"/>
      <protection locked="0"/>
    </xf>
    <xf numFmtId="0" fontId="54" fillId="34" borderId="0" xfId="619" applyFont="1" applyFill="1"/>
    <xf numFmtId="0" fontId="55" fillId="34" borderId="0" xfId="619" applyFont="1" applyFill="1" applyAlignment="1" applyProtection="1">
      <alignment horizontal="left"/>
      <protection locked="0"/>
    </xf>
    <xf numFmtId="0" fontId="56" fillId="34" borderId="0" xfId="619" applyFont="1" applyFill="1"/>
    <xf numFmtId="0" fontId="19" fillId="18" borderId="0" xfId="619" applyFont="1" applyFill="1" applyProtection="1">
      <protection locked="0"/>
    </xf>
    <xf numFmtId="0" fontId="47" fillId="17" borderId="0" xfId="619" applyFont="1" applyFill="1"/>
    <xf numFmtId="0" fontId="47" fillId="53" borderId="0" xfId="619" applyFont="1" applyFill="1"/>
    <xf numFmtId="0" fontId="47" fillId="16" borderId="0" xfId="619" applyFont="1" applyFill="1"/>
    <xf numFmtId="0" fontId="57" fillId="0" borderId="0" xfId="625" applyFont="1"/>
    <xf numFmtId="0" fontId="57" fillId="0" borderId="65" xfId="625" applyFont="1" applyBorder="1"/>
    <xf numFmtId="0" fontId="16" fillId="0" borderId="0" xfId="625" applyFont="1" applyAlignment="1">
      <alignment vertical="center"/>
    </xf>
    <xf numFmtId="0" fontId="60" fillId="34" borderId="13" xfId="644" applyFont="1" applyFill="1" applyBorder="1" applyAlignment="1">
      <alignment horizontal="left" vertical="center"/>
    </xf>
    <xf numFmtId="15" fontId="61" fillId="7" borderId="0" xfId="625" applyNumberFormat="1" applyFont="1" applyFill="1"/>
    <xf numFmtId="0" fontId="57" fillId="7" borderId="0" xfId="625" applyFont="1" applyFill="1"/>
    <xf numFmtId="0" fontId="146" fillId="6" borderId="55" xfId="0" applyFont="1" applyFill="1" applyBorder="1" applyAlignment="1">
      <alignment horizontal="center" vertical="center"/>
    </xf>
    <xf numFmtId="0" fontId="146" fillId="6" borderId="56" xfId="0" applyFont="1" applyFill="1" applyBorder="1" applyAlignment="1">
      <alignment horizontal="center" vertical="center"/>
    </xf>
    <xf numFmtId="0" fontId="146" fillId="6" borderId="57" xfId="0" applyFont="1" applyFill="1" applyBorder="1" applyAlignment="1">
      <alignment horizontal="center" vertical="center"/>
    </xf>
    <xf numFmtId="0" fontId="147" fillId="0" borderId="58" xfId="0" applyFont="1" applyBorder="1" applyAlignment="1">
      <alignment horizontal="center" vertical="center"/>
    </xf>
    <xf numFmtId="0" fontId="147" fillId="0" borderId="1" xfId="0" applyFont="1" applyBorder="1" applyAlignment="1">
      <alignment horizontal="center" vertical="center"/>
    </xf>
    <xf numFmtId="0" fontId="147" fillId="0" borderId="1" xfId="0" applyFont="1" applyBorder="1" applyAlignment="1">
      <alignment horizontal="left" vertical="center"/>
    </xf>
    <xf numFmtId="0" fontId="147" fillId="0" borderId="59" xfId="0" applyFont="1" applyBorder="1" applyAlignment="1">
      <alignment horizontal="center" vertical="center"/>
    </xf>
    <xf numFmtId="0" fontId="147" fillId="7" borderId="1" xfId="0" applyFont="1" applyFill="1" applyBorder="1" applyAlignment="1">
      <alignment horizontal="left" vertical="center"/>
    </xf>
    <xf numFmtId="197" fontId="12" fillId="0" borderId="0" xfId="0" applyNumberFormat="1" applyFont="1"/>
    <xf numFmtId="166" fontId="6" fillId="0" borderId="90" xfId="660" applyBorder="1" applyAlignment="1">
      <alignment horizontal="center"/>
    </xf>
    <xf numFmtId="166" fontId="0" fillId="0" borderId="91" xfId="660" applyFont="1" applyBorder="1" applyAlignment="1">
      <alignment horizontal="left"/>
    </xf>
    <xf numFmtId="1" fontId="0" fillId="0" borderId="91" xfId="660" applyNumberFormat="1" applyFont="1" applyBorder="1" applyAlignment="1">
      <alignment horizontal="center"/>
    </xf>
    <xf numFmtId="1" fontId="0" fillId="36" borderId="91" xfId="660" applyNumberFormat="1" applyFont="1" applyFill="1" applyBorder="1" applyAlignment="1">
      <alignment horizontal="center"/>
    </xf>
    <xf numFmtId="166" fontId="0" fillId="0" borderId="91" xfId="660" applyFont="1" applyBorder="1" applyAlignment="1">
      <alignment horizontal="center"/>
    </xf>
    <xf numFmtId="166" fontId="0" fillId="0" borderId="91" xfId="660" applyFont="1" applyBorder="1" applyAlignment="1">
      <alignment horizontal="center" wrapText="1"/>
    </xf>
    <xf numFmtId="1" fontId="0" fillId="0" borderId="91" xfId="660" applyNumberFormat="1" applyFont="1" applyBorder="1" applyAlignment="1">
      <alignment horizontal="center" wrapText="1"/>
    </xf>
    <xf numFmtId="166" fontId="0" fillId="0" borderId="92" xfId="660" applyFont="1" applyBorder="1" applyAlignment="1">
      <alignment horizontal="center"/>
    </xf>
    <xf numFmtId="9" fontId="0" fillId="0" borderId="0" xfId="2" applyFont="1" applyAlignment="1">
      <alignment vertical="center"/>
    </xf>
    <xf numFmtId="1" fontId="12" fillId="0" borderId="36" xfId="1" applyNumberFormat="1" applyFont="1" applyFill="1" applyBorder="1" applyAlignment="1">
      <alignment horizontal="center" vertical="center"/>
    </xf>
    <xf numFmtId="0" fontId="0" fillId="0" borderId="0" xfId="0" pivotButton="1"/>
    <xf numFmtId="0" fontId="149" fillId="99" borderId="93" xfId="0" applyFont="1" applyFill="1" applyBorder="1"/>
    <xf numFmtId="2" fontId="0" fillId="0" borderId="0" xfId="660" applyNumberFormat="1" applyFont="1" applyAlignment="1">
      <alignment horizontal="center"/>
    </xf>
    <xf numFmtId="216" fontId="0" fillId="0" borderId="0" xfId="0" applyNumberFormat="1"/>
    <xf numFmtId="1" fontId="15" fillId="0" borderId="36" xfId="1" applyNumberFormat="1" applyFont="1" applyBorder="1" applyAlignment="1">
      <alignment horizontal="center" vertical="center"/>
    </xf>
    <xf numFmtId="0" fontId="0" fillId="0" borderId="19" xfId="0" applyBorder="1"/>
    <xf numFmtId="9" fontId="0" fillId="0" borderId="0" xfId="0" applyNumberFormat="1"/>
    <xf numFmtId="1" fontId="15" fillId="0" borderId="45" xfId="625" applyNumberFormat="1" applyFont="1" applyBorder="1" applyAlignment="1">
      <alignment horizontal="center" vertical="center"/>
    </xf>
    <xf numFmtId="185" fontId="9" fillId="4" borderId="0" xfId="1" applyNumberFormat="1" applyFont="1" applyFill="1" applyAlignment="1">
      <alignment horizontal="center"/>
    </xf>
    <xf numFmtId="185" fontId="0" fillId="0" borderId="0" xfId="1" applyNumberFormat="1" applyFont="1" applyAlignment="1">
      <alignment horizontal="center" vertical="center"/>
    </xf>
    <xf numFmtId="43" fontId="29" fillId="0" borderId="0" xfId="1" applyFont="1" applyAlignment="1" applyProtection="1">
      <alignment horizontal="center" vertical="center"/>
      <protection locked="0"/>
    </xf>
    <xf numFmtId="43" fontId="0" fillId="0" borderId="0" xfId="1" applyFont="1" applyAlignment="1">
      <alignment horizontal="center"/>
    </xf>
    <xf numFmtId="43" fontId="0" fillId="0" borderId="0" xfId="1" applyFont="1" applyAlignment="1">
      <alignment horizontal="center" vertical="center"/>
    </xf>
    <xf numFmtId="0" fontId="60" fillId="34" borderId="96" xfId="644" applyFont="1" applyFill="1" applyBorder="1" applyAlignment="1">
      <alignment horizontal="left" vertical="center"/>
    </xf>
    <xf numFmtId="0" fontId="60" fillId="34" borderId="97" xfId="644" applyFont="1" applyFill="1" applyBorder="1" applyAlignment="1">
      <alignment horizontal="left" vertical="center"/>
    </xf>
    <xf numFmtId="0" fontId="53" fillId="38" borderId="95" xfId="619" applyFont="1" applyFill="1" applyBorder="1" applyAlignment="1" applyProtection="1">
      <alignment vertical="top"/>
      <protection locked="0"/>
    </xf>
    <xf numFmtId="0" fontId="53" fillId="0" borderId="95" xfId="619" applyFont="1" applyBorder="1" applyAlignment="1" applyProtection="1">
      <alignment horizontal="left" vertical="center"/>
      <protection locked="0"/>
    </xf>
    <xf numFmtId="0" fontId="147" fillId="0" borderId="84" xfId="0" applyFont="1" applyBorder="1" applyAlignment="1">
      <alignment horizontal="center" vertical="center"/>
    </xf>
    <xf numFmtId="0" fontId="147" fillId="0" borderId="85" xfId="0" applyFont="1" applyBorder="1" applyAlignment="1">
      <alignment horizontal="center" vertical="center"/>
    </xf>
    <xf numFmtId="0" fontId="147" fillId="0" borderId="85" xfId="0" applyFont="1" applyBorder="1" applyAlignment="1">
      <alignment horizontal="left" vertical="center"/>
    </xf>
    <xf numFmtId="0" fontId="147" fillId="0" borderId="86" xfId="0" applyFont="1" applyBorder="1" applyAlignment="1">
      <alignment horizontal="center" vertical="center"/>
    </xf>
    <xf numFmtId="0" fontId="13" fillId="0" borderId="46" xfId="625" applyFont="1" applyBorder="1" applyAlignment="1">
      <alignment horizontal="center" vertical="center" wrapText="1"/>
    </xf>
    <xf numFmtId="166" fontId="0" fillId="0" borderId="108" xfId="660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229" fontId="0" fillId="50" borderId="110" xfId="444" applyNumberFormat="1" applyFont="1" applyFill="1" applyBorder="1" applyAlignment="1">
      <alignment horizontal="center" vertical="center"/>
    </xf>
    <xf numFmtId="2" fontId="0" fillId="0" borderId="0" xfId="2" applyNumberFormat="1" applyFont="1" applyAlignment="1">
      <alignment horizontal="center" vertical="center"/>
    </xf>
    <xf numFmtId="0" fontId="147" fillId="7" borderId="85" xfId="0" applyFont="1" applyFill="1" applyBorder="1" applyAlignment="1">
      <alignment horizontal="left" vertical="center"/>
    </xf>
    <xf numFmtId="0" fontId="147" fillId="0" borderId="60" xfId="0" applyFont="1" applyBorder="1" applyAlignment="1">
      <alignment horizontal="center" vertical="center"/>
    </xf>
    <xf numFmtId="0" fontId="147" fillId="0" borderId="4" xfId="0" applyFont="1" applyBorder="1" applyAlignment="1">
      <alignment horizontal="left" vertical="center"/>
    </xf>
    <xf numFmtId="0" fontId="147" fillId="7" borderId="4" xfId="0" applyFont="1" applyFill="1" applyBorder="1" applyAlignment="1">
      <alignment horizontal="left" vertical="center"/>
    </xf>
    <xf numFmtId="0" fontId="147" fillId="0" borderId="4" xfId="0" applyFont="1" applyBorder="1" applyAlignment="1">
      <alignment horizontal="center" vertical="center"/>
    </xf>
    <xf numFmtId="0" fontId="147" fillId="0" borderId="61" xfId="0" applyFont="1" applyBorder="1" applyAlignment="1">
      <alignment horizontal="center" vertical="center"/>
    </xf>
    <xf numFmtId="0" fontId="147" fillId="0" borderId="82" xfId="0" applyFont="1" applyBorder="1" applyAlignment="1">
      <alignment horizontal="center" vertical="center"/>
    </xf>
    <xf numFmtId="0" fontId="147" fillId="0" borderId="2" xfId="0" applyFont="1" applyBorder="1" applyAlignment="1">
      <alignment horizontal="center" vertical="center"/>
    </xf>
    <xf numFmtId="0" fontId="147" fillId="0" borderId="3" xfId="0" applyFont="1" applyBorder="1" applyAlignment="1">
      <alignment horizontal="left" vertical="center"/>
    </xf>
    <xf numFmtId="0" fontId="147" fillId="7" borderId="3" xfId="0" applyFont="1" applyFill="1" applyBorder="1" applyAlignment="1">
      <alignment horizontal="left" vertical="center"/>
    </xf>
    <xf numFmtId="0" fontId="147" fillId="0" borderId="3" xfId="0" applyFont="1" applyBorder="1" applyAlignment="1">
      <alignment horizontal="center" vertical="center"/>
    </xf>
    <xf numFmtId="0" fontId="147" fillId="0" borderId="83" xfId="0" applyFont="1" applyBorder="1" applyAlignment="1">
      <alignment horizontal="center" vertical="center"/>
    </xf>
    <xf numFmtId="0" fontId="147" fillId="0" borderId="87" xfId="0" applyFont="1" applyBorder="1" applyAlignment="1">
      <alignment horizontal="center" vertical="center"/>
    </xf>
    <xf numFmtId="0" fontId="147" fillId="0" borderId="88" xfId="0" applyFont="1" applyBorder="1" applyAlignment="1">
      <alignment horizontal="center" vertical="center"/>
    </xf>
    <xf numFmtId="0" fontId="147" fillId="0" borderId="88" xfId="0" applyFont="1" applyBorder="1" applyAlignment="1">
      <alignment horizontal="left" vertical="center"/>
    </xf>
    <xf numFmtId="0" fontId="147" fillId="7" borderId="88" xfId="0" applyFont="1" applyFill="1" applyBorder="1" applyAlignment="1">
      <alignment horizontal="left" vertical="center"/>
    </xf>
    <xf numFmtId="0" fontId="147" fillId="0" borderId="89" xfId="0" applyFont="1" applyBorder="1" applyAlignment="1">
      <alignment horizontal="center" vertical="center"/>
    </xf>
    <xf numFmtId="0" fontId="147" fillId="0" borderId="62" xfId="0" applyFont="1" applyBorder="1" applyAlignment="1">
      <alignment horizontal="center" vertical="center"/>
    </xf>
    <xf numFmtId="0" fontId="147" fillId="0" borderId="63" xfId="0" applyFont="1" applyBorder="1" applyAlignment="1">
      <alignment horizontal="left" vertical="center"/>
    </xf>
    <xf numFmtId="0" fontId="147" fillId="7" borderId="63" xfId="0" applyFont="1" applyFill="1" applyBorder="1" applyAlignment="1">
      <alignment horizontal="left" vertical="center"/>
    </xf>
    <xf numFmtId="0" fontId="147" fillId="0" borderId="63" xfId="0" applyFont="1" applyBorder="1" applyAlignment="1">
      <alignment horizontal="center" vertical="center"/>
    </xf>
    <xf numFmtId="0" fontId="147" fillId="0" borderId="64" xfId="0" applyFont="1" applyBorder="1" applyAlignment="1">
      <alignment horizontal="center" vertical="center"/>
    </xf>
    <xf numFmtId="0" fontId="17" fillId="0" borderId="36" xfId="625" applyFont="1" applyBorder="1" applyAlignment="1">
      <alignment horizontal="center" vertical="center" wrapText="1"/>
    </xf>
    <xf numFmtId="0" fontId="13" fillId="0" borderId="36" xfId="625" applyFont="1" applyBorder="1" applyAlignment="1">
      <alignment horizontal="center" vertical="center"/>
    </xf>
    <xf numFmtId="1" fontId="152" fillId="0" borderId="49" xfId="625" applyNumberFormat="1" applyFont="1" applyBorder="1" applyAlignment="1">
      <alignment horizontal="center" vertical="center"/>
    </xf>
    <xf numFmtId="0" fontId="41" fillId="36" borderId="44" xfId="625" applyFont="1" applyFill="1" applyBorder="1" applyAlignment="1">
      <alignment horizontal="center" vertical="center" wrapText="1"/>
    </xf>
    <xf numFmtId="1" fontId="152" fillId="0" borderId="36" xfId="625" applyNumberFormat="1" applyFont="1" applyBorder="1" applyAlignment="1">
      <alignment horizontal="center" vertical="center"/>
    </xf>
    <xf numFmtId="0" fontId="39" fillId="45" borderId="111" xfId="0" applyFont="1" applyFill="1" applyBorder="1" applyAlignment="1">
      <alignment horizontal="center" vertical="center"/>
    </xf>
    <xf numFmtId="0" fontId="11" fillId="47" borderId="112" xfId="0" applyFont="1" applyFill="1" applyBorder="1" applyAlignment="1">
      <alignment horizontal="center" vertical="center"/>
    </xf>
    <xf numFmtId="227" fontId="0" fillId="0" borderId="112" xfId="0" applyNumberFormat="1" applyBorder="1" applyAlignment="1">
      <alignment horizontal="right" vertical="center"/>
    </xf>
    <xf numFmtId="185" fontId="11" fillId="0" borderId="0" xfId="1" applyNumberFormat="1" applyFont="1" applyBorder="1" applyAlignment="1">
      <alignment horizontal="center" vertical="center"/>
    </xf>
    <xf numFmtId="1" fontId="12" fillId="0" borderId="46" xfId="2" applyNumberFormat="1" applyFont="1" applyFill="1" applyBorder="1" applyAlignment="1">
      <alignment horizontal="center" vertical="center"/>
    </xf>
    <xf numFmtId="0" fontId="2" fillId="4" borderId="0" xfId="0" applyFont="1" applyFill="1"/>
    <xf numFmtId="0" fontId="1" fillId="0" borderId="0" xfId="0" applyFont="1"/>
    <xf numFmtId="0" fontId="8" fillId="48" borderId="94" xfId="644" applyFill="1" applyBorder="1" applyAlignment="1">
      <alignment horizontal="left" vertical="center" indent="1"/>
    </xf>
    <xf numFmtId="0" fontId="8" fillId="48" borderId="98" xfId="644" applyFill="1" applyBorder="1" applyAlignment="1">
      <alignment horizontal="left" vertical="center" indent="1"/>
    </xf>
    <xf numFmtId="0" fontId="59" fillId="38" borderId="5" xfId="644" applyFont="1" applyFill="1" applyBorder="1" applyAlignment="1">
      <alignment horizontal="center" vertical="center"/>
    </xf>
    <xf numFmtId="0" fontId="59" fillId="38" borderId="6" xfId="644" applyFont="1" applyFill="1" applyBorder="1" applyAlignment="1">
      <alignment horizontal="center" vertical="center"/>
    </xf>
    <xf numFmtId="0" fontId="59" fillId="38" borderId="7" xfId="644" applyFont="1" applyFill="1" applyBorder="1" applyAlignment="1">
      <alignment horizontal="center" vertical="center"/>
    </xf>
    <xf numFmtId="0" fontId="8" fillId="48" borderId="95" xfId="644" applyFill="1" applyBorder="1" applyAlignment="1">
      <alignment horizontal="left" vertical="center" indent="1"/>
    </xf>
    <xf numFmtId="0" fontId="8" fillId="48" borderId="66" xfId="644" applyFill="1" applyBorder="1" applyAlignment="1">
      <alignment horizontal="left" vertical="center" indent="1"/>
    </xf>
    <xf numFmtId="0" fontId="53" fillId="38" borderId="19" xfId="619" applyFont="1" applyFill="1" applyBorder="1" applyAlignment="1" applyProtection="1">
      <alignment horizontal="left" vertical="top"/>
      <protection locked="0"/>
    </xf>
    <xf numFmtId="0" fontId="53" fillId="38" borderId="95" xfId="619" applyFont="1" applyFill="1" applyBorder="1" applyAlignment="1" applyProtection="1">
      <alignment horizontal="left" vertical="top"/>
      <protection locked="0"/>
    </xf>
    <xf numFmtId="0" fontId="53" fillId="38" borderId="19" xfId="619" applyFont="1" applyFill="1" applyBorder="1" applyAlignment="1" applyProtection="1">
      <alignment horizontal="left" vertical="top" wrapText="1"/>
      <protection locked="0"/>
    </xf>
    <xf numFmtId="0" fontId="53" fillId="38" borderId="95" xfId="619" applyFont="1" applyFill="1" applyBorder="1" applyAlignment="1" applyProtection="1">
      <alignment horizontal="left" vertical="top" wrapText="1"/>
      <protection locked="0"/>
    </xf>
    <xf numFmtId="0" fontId="53" fillId="0" borderId="19" xfId="619" applyFont="1" applyBorder="1" applyAlignment="1" applyProtection="1">
      <alignment horizontal="center" vertical="center"/>
      <protection locked="0"/>
    </xf>
    <xf numFmtId="0" fontId="53" fillId="0" borderId="95" xfId="619" applyFont="1" applyBorder="1" applyAlignment="1" applyProtection="1">
      <alignment horizontal="center" vertical="center"/>
      <protection locked="0"/>
    </xf>
    <xf numFmtId="0" fontId="39" fillId="45" borderId="111" xfId="0" applyFont="1" applyFill="1" applyBorder="1" applyAlignment="1">
      <alignment horizontal="center" vertical="center"/>
    </xf>
    <xf numFmtId="0" fontId="26" fillId="0" borderId="102" xfId="622" applyFont="1" applyBorder="1" applyAlignment="1" applyProtection="1">
      <alignment horizontal="center" vertical="center"/>
      <protection locked="0"/>
    </xf>
    <xf numFmtId="0" fontId="22" fillId="16" borderId="0" xfId="622" applyFont="1" applyFill="1" applyAlignment="1" applyProtection="1">
      <alignment horizontal="center" vertical="center"/>
      <protection locked="0"/>
    </xf>
    <xf numFmtId="0" fontId="23" fillId="16" borderId="0" xfId="622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58" fillId="54" borderId="113" xfId="625" applyFont="1" applyFill="1" applyBorder="1" applyAlignment="1">
      <alignment horizontal="center" vertical="center"/>
    </xf>
    <xf numFmtId="0" fontId="8" fillId="48" borderId="111" xfId="644" applyFill="1" applyBorder="1" applyAlignment="1">
      <alignment horizontal="left" vertical="center" indent="1"/>
    </xf>
    <xf numFmtId="0" fontId="8" fillId="48" borderId="109" xfId="644" applyFill="1" applyBorder="1" applyAlignment="1">
      <alignment horizontal="left" vertical="center" indent="1"/>
    </xf>
    <xf numFmtId="0" fontId="53" fillId="38" borderId="111" xfId="619" applyFont="1" applyFill="1" applyBorder="1" applyAlignment="1" applyProtection="1">
      <alignment horizontal="left" vertical="center"/>
      <protection locked="0"/>
    </xf>
    <xf numFmtId="0" fontId="53" fillId="38" borderId="107" xfId="619" applyFont="1" applyFill="1" applyBorder="1" applyAlignment="1" applyProtection="1">
      <alignment vertical="top" wrapText="1"/>
      <protection locked="0"/>
    </xf>
    <xf numFmtId="0" fontId="53" fillId="38" borderId="107" xfId="619" applyFont="1" applyFill="1" applyBorder="1" applyAlignment="1" applyProtection="1">
      <alignment horizontal="left" vertical="top" wrapText="1"/>
      <protection locked="0"/>
    </xf>
    <xf numFmtId="0" fontId="53" fillId="0" borderId="107" xfId="619" applyFont="1" applyBorder="1" applyAlignment="1" applyProtection="1">
      <alignment horizontal="left" vertical="center"/>
      <protection locked="0"/>
    </xf>
    <xf numFmtId="3" fontId="53" fillId="38" borderId="111" xfId="619" applyNumberFormat="1" applyFont="1" applyFill="1" applyBorder="1" applyAlignment="1" applyProtection="1">
      <alignment horizontal="left" vertical="center"/>
      <protection locked="0"/>
    </xf>
    <xf numFmtId="14" fontId="53" fillId="38" borderId="111" xfId="619" applyNumberFormat="1" applyFont="1" applyFill="1" applyBorder="1" applyAlignment="1" applyProtection="1">
      <alignment horizontal="left" vertical="center"/>
      <protection locked="0"/>
    </xf>
    <xf numFmtId="0" fontId="53" fillId="0" borderId="107" xfId="619" applyFont="1" applyBorder="1" applyAlignment="1" applyProtection="1">
      <alignment horizontal="center" vertical="center"/>
      <protection locked="0"/>
    </xf>
    <xf numFmtId="0" fontId="13" fillId="3" borderId="37" xfId="0" applyFont="1" applyFill="1" applyBorder="1" applyAlignment="1">
      <alignment horizontal="center"/>
    </xf>
    <xf numFmtId="0" fontId="42" fillId="6" borderId="10" xfId="625" applyFont="1" applyFill="1" applyBorder="1" applyAlignment="1">
      <alignment horizontal="center" vertical="center" wrapText="1"/>
    </xf>
    <xf numFmtId="169" fontId="12" fillId="0" borderId="36" xfId="2" applyNumberFormat="1" applyFont="1" applyFill="1" applyBorder="1" applyAlignment="1">
      <alignment horizontal="center" vertical="center"/>
    </xf>
    <xf numFmtId="1" fontId="44" fillId="4" borderId="49" xfId="2" applyNumberFormat="1" applyFont="1" applyFill="1" applyBorder="1" applyAlignment="1">
      <alignment horizontal="center" vertical="center"/>
    </xf>
    <xf numFmtId="0" fontId="39" fillId="46" borderId="111" xfId="0" applyFont="1" applyFill="1" applyBorder="1" applyAlignment="1">
      <alignment horizontal="left" vertical="center"/>
    </xf>
    <xf numFmtId="43" fontId="39" fillId="46" borderId="111" xfId="1" applyFont="1" applyFill="1" applyBorder="1" applyAlignment="1">
      <alignment horizontal="center" vertical="center"/>
    </xf>
    <xf numFmtId="0" fontId="11" fillId="47" borderId="111" xfId="0" applyFont="1" applyFill="1" applyBorder="1" applyAlignment="1">
      <alignment horizontal="center" vertical="center"/>
    </xf>
    <xf numFmtId="0" fontId="11" fillId="0" borderId="111" xfId="0" applyFont="1" applyBorder="1" applyAlignment="1">
      <alignment horizontal="left" vertical="center"/>
    </xf>
    <xf numFmtId="185" fontId="11" fillId="0" borderId="111" xfId="1" applyNumberFormat="1" applyFont="1" applyBorder="1" applyAlignment="1">
      <alignment horizontal="center" vertical="center"/>
    </xf>
    <xf numFmtId="227" fontId="11" fillId="0" borderId="111" xfId="0" applyNumberFormat="1" applyFont="1" applyBorder="1" applyAlignment="1">
      <alignment horizontal="center" vertical="center"/>
    </xf>
    <xf numFmtId="166" fontId="0" fillId="0" borderId="111" xfId="660" applyFont="1" applyBorder="1" applyAlignment="1">
      <alignment horizontal="left"/>
    </xf>
    <xf numFmtId="166" fontId="0" fillId="0" borderId="111" xfId="660" applyFont="1" applyBorder="1" applyAlignment="1">
      <alignment horizontal="left" vertical="center"/>
    </xf>
    <xf numFmtId="229" fontId="11" fillId="0" borderId="111" xfId="1" applyNumberFormat="1" applyFont="1" applyBorder="1" applyAlignment="1">
      <alignment horizontal="center" vertical="center"/>
    </xf>
    <xf numFmtId="166" fontId="1" fillId="0" borderId="111" xfId="660" applyFont="1" applyBorder="1" applyAlignment="1">
      <alignment horizontal="left" vertical="center"/>
    </xf>
    <xf numFmtId="0" fontId="39" fillId="45" borderId="111" xfId="0" applyFont="1" applyFill="1" applyBorder="1" applyAlignment="1">
      <alignment horizontal="left" vertical="center"/>
    </xf>
    <xf numFmtId="185" fontId="39" fillId="45" borderId="111" xfId="1" applyNumberFormat="1" applyFont="1" applyFill="1" applyBorder="1" applyAlignment="1">
      <alignment horizontal="center" vertical="center"/>
    </xf>
    <xf numFmtId="227" fontId="39" fillId="45" borderId="111" xfId="0" applyNumberFormat="1" applyFont="1" applyFill="1" applyBorder="1" applyAlignment="1">
      <alignment horizontal="center" vertical="center"/>
    </xf>
    <xf numFmtId="227" fontId="2" fillId="37" borderId="111" xfId="0" applyNumberFormat="1" applyFont="1" applyFill="1" applyBorder="1" applyAlignment="1">
      <alignment horizontal="right" vertical="center"/>
    </xf>
    <xf numFmtId="43" fontId="2" fillId="0" borderId="107" xfId="1" applyFont="1" applyBorder="1" applyAlignment="1">
      <alignment horizontal="center"/>
    </xf>
    <xf numFmtId="3" fontId="31" fillId="35" borderId="111" xfId="691" applyNumberFormat="1" applyFont="1" applyFill="1" applyBorder="1" applyAlignment="1" applyProtection="1">
      <alignment horizontal="center" vertical="center" wrapText="1"/>
      <protection locked="0"/>
    </xf>
    <xf numFmtId="43" fontId="31" fillId="35" borderId="111" xfId="1" applyFont="1" applyFill="1" applyBorder="1" applyAlignment="1" applyProtection="1">
      <alignment horizontal="center" vertical="center" wrapText="1"/>
      <protection locked="0"/>
    </xf>
    <xf numFmtId="185" fontId="31" fillId="33" borderId="111" xfId="1" applyNumberFormat="1" applyFont="1" applyFill="1" applyBorder="1" applyAlignment="1" applyProtection="1">
      <alignment horizontal="center" vertical="center" wrapText="1"/>
      <protection locked="0"/>
    </xf>
    <xf numFmtId="185" fontId="31" fillId="35" borderId="111" xfId="1" applyNumberFormat="1" applyFont="1" applyFill="1" applyBorder="1" applyAlignment="1" applyProtection="1">
      <alignment horizontal="center" vertical="center" wrapText="1"/>
      <protection locked="0"/>
    </xf>
    <xf numFmtId="3" fontId="10" fillId="0" borderId="111" xfId="691" applyNumberFormat="1" applyFont="1" applyBorder="1" applyAlignment="1" applyProtection="1">
      <alignment vertical="center" wrapText="1"/>
      <protection locked="0"/>
    </xf>
    <xf numFmtId="43" fontId="10" fillId="0" borderId="111" xfId="1" applyFont="1" applyFill="1" applyBorder="1" applyAlignment="1" applyProtection="1">
      <alignment horizontal="center" vertical="center" wrapText="1"/>
      <protection locked="0"/>
    </xf>
    <xf numFmtId="185" fontId="10" fillId="0" borderId="111" xfId="1" applyNumberFormat="1" applyFont="1" applyFill="1" applyBorder="1" applyAlignment="1" applyProtection="1">
      <alignment horizontal="center" vertical="center" wrapText="1"/>
      <protection locked="0"/>
    </xf>
    <xf numFmtId="0" fontId="32" fillId="7" borderId="111" xfId="0" applyFont="1" applyFill="1" applyBorder="1" applyAlignment="1">
      <alignment wrapText="1"/>
    </xf>
    <xf numFmtId="185" fontId="10" fillId="0" borderId="111" xfId="1" applyNumberFormat="1" applyFont="1" applyBorder="1" applyAlignment="1" applyProtection="1">
      <alignment horizontal="center" vertical="center" wrapText="1"/>
      <protection locked="0"/>
    </xf>
    <xf numFmtId="3" fontId="28" fillId="15" borderId="111" xfId="691" applyNumberFormat="1" applyFont="1" applyFill="1" applyBorder="1" applyAlignment="1" applyProtection="1">
      <alignment vertical="center"/>
      <protection locked="0"/>
    </xf>
    <xf numFmtId="3" fontId="10" fillId="15" borderId="111" xfId="691" applyNumberFormat="1" applyFont="1" applyFill="1" applyBorder="1" applyAlignment="1" applyProtection="1">
      <alignment vertical="center"/>
      <protection locked="0"/>
    </xf>
    <xf numFmtId="43" fontId="10" fillId="15" borderId="111" xfId="1" applyFont="1" applyFill="1" applyBorder="1" applyAlignment="1" applyProtection="1">
      <alignment horizontal="center" vertical="center"/>
      <protection locked="0"/>
    </xf>
    <xf numFmtId="185" fontId="10" fillId="15" borderId="111" xfId="1" applyNumberFormat="1" applyFont="1" applyFill="1" applyBorder="1" applyAlignment="1" applyProtection="1">
      <alignment horizontal="center" vertical="center" wrapText="1"/>
      <protection locked="0"/>
    </xf>
    <xf numFmtId="185" fontId="10" fillId="15" borderId="111" xfId="1" applyNumberFormat="1" applyFont="1" applyFill="1" applyBorder="1" applyAlignment="1" applyProtection="1">
      <alignment horizontal="center" vertical="center"/>
      <protection locked="0"/>
    </xf>
    <xf numFmtId="0" fontId="0" fillId="0" borderId="111" xfId="0" applyBorder="1"/>
    <xf numFmtId="185" fontId="1" fillId="0" borderId="111" xfId="0" applyNumberFormat="1" applyFont="1" applyBorder="1"/>
    <xf numFmtId="0" fontId="1" fillId="0" borderId="111" xfId="0" applyFont="1" applyBorder="1"/>
    <xf numFmtId="43" fontId="10" fillId="7" borderId="111" xfId="1" applyFont="1" applyFill="1" applyBorder="1" applyAlignment="1" applyProtection="1">
      <alignment horizontal="center" vertical="center" wrapText="1"/>
      <protection locked="0"/>
    </xf>
    <xf numFmtId="43" fontId="10" fillId="15" borderId="111" xfId="1" applyFont="1" applyFill="1" applyBorder="1" applyAlignment="1" applyProtection="1">
      <alignment horizontal="center" vertical="center" wrapText="1"/>
      <protection locked="0"/>
    </xf>
    <xf numFmtId="185" fontId="10" fillId="7" borderId="111" xfId="1" applyNumberFormat="1" applyFont="1" applyFill="1" applyBorder="1" applyAlignment="1" applyProtection="1">
      <alignment horizontal="center" vertical="center" wrapText="1"/>
      <protection locked="0"/>
    </xf>
    <xf numFmtId="43" fontId="10" fillId="4" borderId="111" xfId="1" applyFont="1" applyFill="1" applyBorder="1" applyAlignment="1" applyProtection="1">
      <alignment horizontal="center" vertical="center" wrapText="1"/>
      <protection locked="0"/>
    </xf>
    <xf numFmtId="0" fontId="10" fillId="0" borderId="111" xfId="0" applyFont="1" applyBorder="1"/>
    <xf numFmtId="0" fontId="32" fillId="0" borderId="111" xfId="0" applyFont="1" applyBorder="1"/>
    <xf numFmtId="185" fontId="10" fillId="7" borderId="111" xfId="1" applyNumberFormat="1" applyFont="1" applyFill="1" applyBorder="1" applyAlignment="1" applyProtection="1">
      <alignment horizontal="center" wrapText="1"/>
      <protection locked="0"/>
    </xf>
    <xf numFmtId="0" fontId="9" fillId="0" borderId="111" xfId="0" applyFont="1" applyBorder="1"/>
    <xf numFmtId="3" fontId="10" fillId="7" borderId="111" xfId="691" applyNumberFormat="1" applyFont="1" applyFill="1" applyBorder="1" applyAlignment="1" applyProtection="1">
      <alignment vertical="center" wrapText="1"/>
      <protection locked="0"/>
    </xf>
    <xf numFmtId="3" fontId="10" fillId="0" borderId="111" xfId="691" applyNumberFormat="1" applyFont="1" applyBorder="1" applyAlignment="1" applyProtection="1">
      <alignment vertical="center"/>
      <protection locked="0"/>
    </xf>
    <xf numFmtId="43" fontId="10" fillId="0" borderId="111" xfId="1" applyFont="1" applyFill="1" applyBorder="1" applyAlignment="1" applyProtection="1">
      <alignment horizontal="center" wrapText="1"/>
      <protection locked="0"/>
    </xf>
    <xf numFmtId="43" fontId="10" fillId="0" borderId="111" xfId="1" applyFont="1" applyBorder="1" applyAlignment="1" applyProtection="1">
      <alignment horizontal="center" vertical="center" wrapText="1"/>
      <protection locked="0"/>
    </xf>
    <xf numFmtId="3" fontId="30" fillId="0" borderId="111" xfId="691" applyNumberFormat="1" applyFont="1" applyBorder="1" applyAlignment="1" applyProtection="1">
      <alignment vertical="center"/>
      <protection locked="0"/>
    </xf>
    <xf numFmtId="3" fontId="30" fillId="0" borderId="111" xfId="691" applyNumberFormat="1" applyFont="1" applyBorder="1" applyAlignment="1" applyProtection="1">
      <alignment vertical="center" wrapText="1"/>
      <protection locked="0"/>
    </xf>
    <xf numFmtId="43" fontId="30" fillId="0" borderId="111" xfId="1" applyFont="1" applyBorder="1" applyAlignment="1" applyProtection="1">
      <alignment horizontal="center" vertical="center" wrapText="1"/>
      <protection locked="0"/>
    </xf>
    <xf numFmtId="185" fontId="30" fillId="0" borderId="111" xfId="1" applyNumberFormat="1" applyFont="1" applyBorder="1" applyAlignment="1" applyProtection="1">
      <alignment horizontal="center" vertical="center" wrapText="1"/>
      <protection locked="0"/>
    </xf>
    <xf numFmtId="0" fontId="18" fillId="0" borderId="0" xfId="622" applyFont="1" applyAlignment="1" applyProtection="1">
      <alignment horizontal="center" vertical="center"/>
      <protection locked="0"/>
    </xf>
    <xf numFmtId="0" fontId="21" fillId="0" borderId="114" xfId="622" applyFont="1" applyBorder="1" applyAlignment="1" applyProtection="1">
      <alignment horizontal="center" vertical="center"/>
      <protection locked="0"/>
    </xf>
    <xf numFmtId="0" fontId="18" fillId="0" borderId="115" xfId="622" applyFont="1" applyBorder="1" applyAlignment="1" applyProtection="1">
      <alignment horizontal="right" vertical="center" wrapText="1"/>
      <protection locked="0"/>
    </xf>
    <xf numFmtId="0" fontId="18" fillId="0" borderId="115" xfId="622" applyFont="1" applyBorder="1" applyAlignment="1" applyProtection="1">
      <alignment horizontal="center" vertical="center" wrapText="1"/>
      <protection locked="0"/>
    </xf>
    <xf numFmtId="221" fontId="18" fillId="21" borderId="114" xfId="426" applyNumberFormat="1" applyFont="1" applyFill="1" applyBorder="1" applyAlignment="1" applyProtection="1">
      <alignment horizontal="center" vertical="center"/>
      <protection locked="0"/>
    </xf>
    <xf numFmtId="0" fontId="18" fillId="0" borderId="28" xfId="622" applyFont="1" applyBorder="1" applyAlignment="1" applyProtection="1">
      <alignment horizontal="center" vertical="center"/>
      <protection locked="0"/>
    </xf>
    <xf numFmtId="0" fontId="18" fillId="0" borderId="29" xfId="622" applyFont="1" applyBorder="1" applyAlignment="1" applyProtection="1">
      <alignment horizontal="center" vertical="center"/>
      <protection locked="0"/>
    </xf>
    <xf numFmtId="0" fontId="18" fillId="0" borderId="32" xfId="622" applyFont="1" applyBorder="1" applyAlignment="1" applyProtection="1">
      <alignment horizontal="center" vertical="center"/>
      <protection locked="0"/>
    </xf>
    <xf numFmtId="0" fontId="18" fillId="0" borderId="99" xfId="622" applyFont="1" applyBorder="1" applyAlignment="1" applyProtection="1">
      <alignment horizontal="center" vertical="center"/>
      <protection locked="0"/>
    </xf>
    <xf numFmtId="0" fontId="18" fillId="0" borderId="100" xfId="622" applyFont="1" applyBorder="1" applyAlignment="1" applyProtection="1">
      <alignment horizontal="center" vertical="center"/>
      <protection locked="0"/>
    </xf>
    <xf numFmtId="216" fontId="18" fillId="0" borderId="0" xfId="430" applyNumberFormat="1" applyFont="1" applyAlignment="1" applyProtection="1">
      <alignment horizontal="center" vertical="center"/>
      <protection locked="0"/>
    </xf>
    <xf numFmtId="209" fontId="18" fillId="0" borderId="0" xfId="622" applyNumberFormat="1" applyFont="1" applyAlignment="1" applyProtection="1">
      <alignment horizontal="center" vertical="center"/>
      <protection locked="0"/>
    </xf>
    <xf numFmtId="209" fontId="18" fillId="26" borderId="0" xfId="622" applyNumberFormat="1" applyFont="1" applyFill="1" applyAlignment="1" applyProtection="1">
      <alignment horizontal="center" vertical="center"/>
      <protection locked="0"/>
    </xf>
    <xf numFmtId="216" fontId="18" fillId="0" borderId="0" xfId="432" applyNumberFormat="1" applyFont="1" applyAlignment="1" applyProtection="1">
      <alignment horizontal="center" vertical="center"/>
      <protection locked="0"/>
    </xf>
    <xf numFmtId="209" fontId="18" fillId="26" borderId="116" xfId="622" applyNumberFormat="1" applyFont="1" applyFill="1" applyBorder="1" applyAlignment="1" applyProtection="1">
      <alignment horizontal="center" vertical="center"/>
      <protection locked="0"/>
    </xf>
    <xf numFmtId="175" fontId="18" fillId="0" borderId="0" xfId="432" applyFont="1" applyBorder="1" applyAlignment="1" applyProtection="1">
      <alignment horizontal="center" vertical="center"/>
      <protection locked="0"/>
    </xf>
    <xf numFmtId="175" fontId="18" fillId="26" borderId="117" xfId="432" applyFont="1" applyFill="1" applyBorder="1" applyAlignment="1" applyProtection="1">
      <alignment horizontal="center" vertical="center"/>
      <protection locked="0"/>
    </xf>
    <xf numFmtId="209" fontId="18" fillId="26" borderId="118" xfId="622" applyNumberFormat="1" applyFont="1" applyFill="1" applyBorder="1" applyAlignment="1" applyProtection="1">
      <alignment horizontal="center" vertical="center"/>
      <protection locked="0"/>
    </xf>
    <xf numFmtId="209" fontId="18" fillId="0" borderId="11" xfId="622" applyNumberFormat="1" applyFont="1" applyBorder="1" applyAlignment="1" applyProtection="1">
      <alignment horizontal="center" vertical="center"/>
      <protection locked="0"/>
    </xf>
    <xf numFmtId="209" fontId="18" fillId="27" borderId="118" xfId="622" applyNumberFormat="1" applyFont="1" applyFill="1" applyBorder="1" applyAlignment="1" applyProtection="1">
      <alignment horizontal="center" vertical="center"/>
      <protection locked="0"/>
    </xf>
    <xf numFmtId="175" fontId="18" fillId="0" borderId="0" xfId="432" applyFont="1" applyAlignment="1" applyProtection="1">
      <alignment horizontal="center" vertical="center"/>
      <protection locked="0"/>
    </xf>
    <xf numFmtId="209" fontId="18" fillId="0" borderId="34" xfId="622" applyNumberFormat="1" applyFont="1" applyBorder="1" applyAlignment="1" applyProtection="1">
      <alignment horizontal="center" vertical="center"/>
      <protection locked="0"/>
    </xf>
    <xf numFmtId="209" fontId="18" fillId="27" borderId="117" xfId="622" applyNumberFormat="1" applyFont="1" applyFill="1" applyBorder="1" applyAlignment="1" applyProtection="1">
      <alignment horizontal="center" vertical="center"/>
      <protection locked="0"/>
    </xf>
    <xf numFmtId="0" fontId="18" fillId="0" borderId="101" xfId="622" applyFont="1" applyBorder="1" applyAlignment="1" applyProtection="1">
      <alignment horizontal="center" vertical="center"/>
      <protection locked="0"/>
    </xf>
    <xf numFmtId="0" fontId="18" fillId="0" borderId="102" xfId="622" applyFont="1" applyBorder="1" applyAlignment="1" applyProtection="1">
      <alignment horizontal="center" vertical="center"/>
      <protection locked="0"/>
    </xf>
    <xf numFmtId="0" fontId="18" fillId="0" borderId="103" xfId="622" applyFont="1" applyBorder="1" applyAlignment="1" applyProtection="1">
      <alignment horizontal="center" vertical="center"/>
      <protection locked="0"/>
    </xf>
    <xf numFmtId="0" fontId="18" fillId="0" borderId="104" xfId="622" applyFont="1" applyBorder="1" applyAlignment="1" applyProtection="1">
      <alignment horizontal="center" vertical="center"/>
      <protection locked="0"/>
    </xf>
    <xf numFmtId="0" fontId="18" fillId="0" borderId="105" xfId="622" applyFont="1" applyBorder="1" applyAlignment="1" applyProtection="1">
      <alignment horizontal="center" vertical="center"/>
      <protection locked="0"/>
    </xf>
    <xf numFmtId="0" fontId="18" fillId="0" borderId="106" xfId="622" applyFont="1" applyBorder="1" applyAlignment="1" applyProtection="1">
      <alignment horizontal="center" vertical="center"/>
      <protection locked="0"/>
    </xf>
    <xf numFmtId="0" fontId="18" fillId="0" borderId="119" xfId="622" applyFont="1" applyBorder="1" applyAlignment="1" applyProtection="1">
      <alignment horizontal="center" vertical="center"/>
      <protection locked="0"/>
    </xf>
    <xf numFmtId="217" fontId="19" fillId="29" borderId="120" xfId="471" applyNumberFormat="1" applyFont="1" applyFill="1" applyBorder="1" applyAlignment="1" applyProtection="1">
      <alignment horizontal="center" vertical="center"/>
      <protection locked="0"/>
    </xf>
    <xf numFmtId="9" fontId="18" fillId="0" borderId="14" xfId="622" applyNumberFormat="1" applyFont="1" applyBorder="1" applyAlignment="1" applyProtection="1">
      <alignment horizontal="center" vertical="center"/>
      <protection locked="0"/>
    </xf>
    <xf numFmtId="9" fontId="18" fillId="0" borderId="18" xfId="622" applyNumberFormat="1" applyFont="1" applyBorder="1" applyAlignment="1" applyProtection="1">
      <alignment horizontal="center" vertical="center"/>
      <protection locked="0"/>
    </xf>
    <xf numFmtId="9" fontId="18" fillId="0" borderId="0" xfId="622" applyNumberFormat="1" applyFont="1" applyAlignment="1" applyProtection="1">
      <alignment horizontal="center" vertical="center"/>
      <protection locked="0"/>
    </xf>
    <xf numFmtId="9" fontId="18" fillId="0" borderId="34" xfId="622" applyNumberFormat="1" applyFont="1" applyBorder="1" applyAlignment="1" applyProtection="1">
      <alignment horizontal="center" vertical="center"/>
      <protection locked="0"/>
    </xf>
    <xf numFmtId="9" fontId="18" fillId="0" borderId="35" xfId="622" applyNumberFormat="1" applyFont="1" applyBorder="1" applyAlignment="1" applyProtection="1">
      <alignment horizontal="center" vertical="center"/>
      <protection locked="0"/>
    </xf>
    <xf numFmtId="1" fontId="18" fillId="0" borderId="114" xfId="622" applyNumberFormat="1" applyFont="1" applyBorder="1" applyAlignment="1" applyProtection="1">
      <alignment horizontal="center" vertical="center"/>
      <protection locked="0"/>
    </xf>
    <xf numFmtId="0" fontId="18" fillId="0" borderId="114" xfId="622" applyFont="1" applyBorder="1" applyAlignment="1" applyProtection="1">
      <alignment horizontal="center" vertical="center"/>
      <protection locked="0"/>
    </xf>
    <xf numFmtId="221" fontId="18" fillId="0" borderId="121" xfId="426" applyNumberFormat="1" applyFont="1" applyBorder="1" applyAlignment="1" applyProtection="1">
      <alignment horizontal="center" vertical="center"/>
      <protection locked="0"/>
    </xf>
    <xf numFmtId="221" fontId="18" fillId="0" borderId="122" xfId="426" applyNumberFormat="1" applyFont="1" applyBorder="1" applyAlignment="1" applyProtection="1">
      <alignment horizontal="center" vertical="center"/>
      <protection locked="0"/>
    </xf>
    <xf numFmtId="221" fontId="18" fillId="0" borderId="30" xfId="426" applyNumberFormat="1" applyFont="1" applyBorder="1" applyAlignment="1" applyProtection="1">
      <alignment horizontal="center" vertical="center"/>
      <protection locked="0"/>
    </xf>
    <xf numFmtId="221" fontId="18" fillId="0" borderId="31" xfId="426" applyNumberFormat="1" applyFont="1" applyBorder="1" applyAlignment="1" applyProtection="1">
      <alignment horizontal="center" vertical="center"/>
      <protection locked="0"/>
    </xf>
    <xf numFmtId="221" fontId="18" fillId="0" borderId="33" xfId="426" applyNumberFormat="1" applyFont="1" applyBorder="1" applyAlignment="1" applyProtection="1">
      <alignment horizontal="center" vertical="center"/>
      <protection locked="0"/>
    </xf>
    <xf numFmtId="221" fontId="18" fillId="0" borderId="123" xfId="426" applyNumberFormat="1" applyFont="1" applyBorder="1" applyAlignment="1" applyProtection="1">
      <alignment horizontal="center" vertical="center"/>
      <protection locked="0"/>
    </xf>
    <xf numFmtId="0" fontId="18" fillId="0" borderId="121" xfId="622" applyFont="1" applyBorder="1" applyAlignment="1" applyProtection="1">
      <alignment horizontal="center" vertical="center"/>
      <protection locked="0"/>
    </xf>
    <xf numFmtId="223" fontId="18" fillId="0" borderId="121" xfId="622" applyNumberFormat="1" applyFont="1" applyBorder="1" applyAlignment="1" applyProtection="1">
      <alignment horizontal="center" vertical="center"/>
      <protection locked="0"/>
    </xf>
    <xf numFmtId="223" fontId="18" fillId="0" borderId="122" xfId="622" applyNumberFormat="1" applyFont="1" applyBorder="1" applyAlignment="1" applyProtection="1">
      <alignment horizontal="center" vertical="center"/>
      <protection locked="0"/>
    </xf>
    <xf numFmtId="223" fontId="18" fillId="0" borderId="124" xfId="622" applyNumberFormat="1" applyFont="1" applyBorder="1" applyAlignment="1" applyProtection="1">
      <alignment horizontal="center" vertical="center"/>
      <protection locked="0"/>
    </xf>
    <xf numFmtId="9" fontId="18" fillId="0" borderId="121" xfId="622" applyNumberFormat="1" applyFont="1" applyBorder="1" applyAlignment="1" applyProtection="1">
      <alignment horizontal="center" vertical="center"/>
      <protection locked="0"/>
    </xf>
    <xf numFmtId="223" fontId="18" fillId="0" borderId="125" xfId="622" applyNumberFormat="1" applyFont="1" applyBorder="1" applyAlignment="1" applyProtection="1">
      <alignment horizontal="center" vertical="center"/>
      <protection locked="0"/>
    </xf>
    <xf numFmtId="223" fontId="18" fillId="0" borderId="123" xfId="622" applyNumberFormat="1" applyFont="1" applyBorder="1" applyAlignment="1" applyProtection="1">
      <alignment horizontal="center" vertical="center"/>
      <protection locked="0"/>
    </xf>
    <xf numFmtId="216" fontId="18" fillId="21" borderId="114" xfId="426" applyNumberFormat="1" applyFont="1" applyFill="1" applyBorder="1" applyAlignment="1" applyProtection="1">
      <alignment horizontal="center" vertical="center"/>
      <protection locked="0"/>
    </xf>
    <xf numFmtId="217" fontId="18" fillId="0" borderId="121" xfId="426" applyNumberFormat="1" applyFont="1" applyBorder="1" applyAlignment="1" applyProtection="1">
      <alignment horizontal="center" vertical="center"/>
      <protection locked="0"/>
    </xf>
    <xf numFmtId="0" fontId="18" fillId="22" borderId="114" xfId="622" applyFont="1" applyFill="1" applyBorder="1" applyAlignment="1" applyProtection="1">
      <alignment horizontal="center" vertical="center" wrapText="1"/>
      <protection locked="0"/>
    </xf>
    <xf numFmtId="0" fontId="18" fillId="22" borderId="126" xfId="622" applyFont="1" applyFill="1" applyBorder="1" applyAlignment="1" applyProtection="1">
      <alignment horizontal="center" vertical="center" wrapText="1"/>
      <protection locked="0"/>
    </xf>
    <xf numFmtId="0" fontId="18" fillId="22" borderId="114" xfId="622" applyFont="1" applyFill="1" applyBorder="1" applyAlignment="1">
      <alignment horizontal="center" vertical="center" wrapText="1"/>
    </xf>
    <xf numFmtId="0" fontId="18" fillId="23" borderId="114" xfId="622" applyFont="1" applyFill="1" applyBorder="1" applyAlignment="1">
      <alignment horizontal="center" vertical="center" wrapText="1"/>
    </xf>
    <xf numFmtId="0" fontId="18" fillId="23" borderId="114" xfId="622" applyFont="1" applyFill="1" applyBorder="1" applyAlignment="1" applyProtection="1">
      <alignment horizontal="center" vertical="center" wrapText="1"/>
      <protection locked="0"/>
    </xf>
    <xf numFmtId="0" fontId="18" fillId="25" borderId="121" xfId="622" applyFont="1" applyFill="1" applyBorder="1" applyAlignment="1" applyProtection="1">
      <alignment horizontal="center" vertical="center" wrapText="1"/>
      <protection locked="0"/>
    </xf>
    <xf numFmtId="0" fontId="18" fillId="25" borderId="122" xfId="622" applyFont="1" applyFill="1" applyBorder="1" applyAlignment="1" applyProtection="1">
      <alignment horizontal="center" vertical="center" wrapText="1"/>
      <protection locked="0"/>
    </xf>
    <xf numFmtId="0" fontId="18" fillId="27" borderId="127" xfId="622" applyFont="1" applyFill="1" applyBorder="1" applyAlignment="1" applyProtection="1">
      <alignment horizontal="center" vertical="center" wrapText="1"/>
      <protection locked="0"/>
    </xf>
    <xf numFmtId="0" fontId="18" fillId="28" borderId="123" xfId="622" applyFont="1" applyFill="1" applyBorder="1" applyAlignment="1">
      <alignment horizontal="center" vertical="center" wrapText="1"/>
    </xf>
    <xf numFmtId="0" fontId="18" fillId="28" borderId="121" xfId="622" applyFont="1" applyFill="1" applyBorder="1" applyAlignment="1">
      <alignment horizontal="center" vertical="center" wrapText="1"/>
    </xf>
    <xf numFmtId="0" fontId="18" fillId="0" borderId="122" xfId="622" applyFont="1" applyBorder="1" applyAlignment="1">
      <alignment horizontal="center" vertical="center" wrapText="1"/>
    </xf>
    <xf numFmtId="0" fontId="18" fillId="30" borderId="128" xfId="622" applyFont="1" applyFill="1" applyBorder="1" applyAlignment="1">
      <alignment horizontal="center" vertical="center" wrapText="1"/>
    </xf>
    <xf numFmtId="0" fontId="18" fillId="30" borderId="114" xfId="622" applyFont="1" applyFill="1" applyBorder="1" applyAlignment="1">
      <alignment horizontal="center" vertical="center" wrapText="1"/>
    </xf>
    <xf numFmtId="9" fontId="18" fillId="30" borderId="114" xfId="622" applyNumberFormat="1" applyFont="1" applyFill="1" applyBorder="1" applyAlignment="1">
      <alignment horizontal="center" vertical="center" wrapText="1"/>
    </xf>
    <xf numFmtId="0" fontId="18" fillId="30" borderId="129" xfId="622" applyFont="1" applyFill="1" applyBorder="1" applyAlignment="1">
      <alignment horizontal="center" vertical="center" wrapText="1"/>
    </xf>
    <xf numFmtId="0" fontId="18" fillId="31" borderId="128" xfId="622" applyFont="1" applyFill="1" applyBorder="1" applyAlignment="1">
      <alignment horizontal="center" vertical="center" wrapText="1"/>
    </xf>
    <xf numFmtId="0" fontId="18" fillId="31" borderId="114" xfId="622" applyFont="1" applyFill="1" applyBorder="1" applyAlignment="1">
      <alignment horizontal="center" vertical="center" wrapText="1"/>
    </xf>
    <xf numFmtId="0" fontId="18" fillId="31" borderId="129" xfId="622" applyFont="1" applyFill="1" applyBorder="1" applyAlignment="1">
      <alignment horizontal="center" vertical="center" wrapText="1"/>
    </xf>
    <xf numFmtId="0" fontId="18" fillId="0" borderId="130" xfId="622" applyFont="1" applyBorder="1" applyAlignment="1" applyProtection="1">
      <alignment horizontal="center" vertical="center" wrapText="1"/>
      <protection locked="0"/>
    </xf>
    <xf numFmtId="0" fontId="18" fillId="0" borderId="114" xfId="622" applyFont="1" applyBorder="1" applyAlignment="1" applyProtection="1">
      <alignment horizontal="center" vertical="center" wrapText="1"/>
      <protection locked="0"/>
    </xf>
    <xf numFmtId="0" fontId="24" fillId="7" borderId="115" xfId="622" applyFont="1" applyFill="1" applyBorder="1" applyAlignment="1" applyProtection="1">
      <alignment horizontal="center" vertical="center"/>
      <protection locked="0"/>
    </xf>
    <xf numFmtId="0" fontId="24" fillId="7" borderId="127" xfId="622" applyFont="1" applyFill="1" applyBorder="1" applyAlignment="1" applyProtection="1">
      <alignment horizontal="center" vertical="center"/>
      <protection locked="0"/>
    </xf>
    <xf numFmtId="0" fontId="24" fillId="7" borderId="131" xfId="622" applyFont="1" applyFill="1" applyBorder="1" applyAlignment="1" applyProtection="1">
      <alignment horizontal="left" vertical="center"/>
      <protection locked="0"/>
    </xf>
    <xf numFmtId="0" fontId="24" fillId="7" borderId="127" xfId="622" applyFont="1" applyFill="1" applyBorder="1" applyAlignment="1" applyProtection="1">
      <alignment horizontal="left" vertical="center"/>
      <protection locked="0"/>
    </xf>
    <xf numFmtId="0" fontId="24" fillId="7" borderId="130" xfId="622" applyFont="1" applyFill="1" applyBorder="1" applyAlignment="1">
      <alignment horizontal="center" vertical="center"/>
    </xf>
    <xf numFmtId="0" fontId="24" fillId="7" borderId="114" xfId="622" applyFont="1" applyFill="1" applyBorder="1" applyAlignment="1">
      <alignment horizontal="center" vertical="center"/>
    </xf>
    <xf numFmtId="217" fontId="19" fillId="24" borderId="114" xfId="454" applyNumberFormat="1" applyFont="1" applyFill="1" applyBorder="1" applyAlignment="1" applyProtection="1">
      <alignment horizontal="center" vertical="center"/>
    </xf>
    <xf numFmtId="217" fontId="21" fillId="24" borderId="114" xfId="471" applyNumberFormat="1" applyFont="1" applyFill="1" applyBorder="1" applyAlignment="1" applyProtection="1">
      <alignment horizontal="center" vertical="center"/>
    </xf>
    <xf numFmtId="0" fontId="21" fillId="24" borderId="114" xfId="622" applyFont="1" applyFill="1" applyBorder="1" applyAlignment="1" applyProtection="1">
      <alignment horizontal="center" vertical="center"/>
      <protection locked="0"/>
    </xf>
    <xf numFmtId="217" fontId="21" fillId="24" borderId="114" xfId="471" applyNumberFormat="1" applyFont="1" applyFill="1" applyBorder="1" applyAlignment="1" applyProtection="1">
      <alignment horizontal="center" vertical="center"/>
      <protection locked="0"/>
    </xf>
    <xf numFmtId="0" fontId="21" fillId="0" borderId="114" xfId="622" applyFont="1" applyBorder="1" applyAlignment="1" applyProtection="1">
      <alignment horizontal="left" vertical="center"/>
      <protection locked="0"/>
    </xf>
    <xf numFmtId="175" fontId="19" fillId="0" borderId="114" xfId="426" applyFont="1" applyBorder="1" applyAlignment="1" applyProtection="1">
      <alignment horizontal="center" vertical="center"/>
      <protection locked="0"/>
    </xf>
    <xf numFmtId="175" fontId="19" fillId="24" borderId="114" xfId="426" applyFont="1" applyFill="1" applyBorder="1" applyAlignment="1" applyProtection="1">
      <alignment horizontal="center" vertical="center"/>
      <protection locked="0"/>
    </xf>
    <xf numFmtId="217" fontId="19" fillId="24" borderId="114" xfId="426" applyNumberFormat="1" applyFont="1" applyFill="1" applyBorder="1" applyAlignment="1" applyProtection="1">
      <alignment horizontal="center" vertical="center"/>
      <protection locked="0"/>
    </xf>
    <xf numFmtId="217" fontId="21" fillId="7" borderId="121" xfId="426" applyNumberFormat="1" applyFont="1" applyFill="1" applyBorder="1" applyAlignment="1" applyProtection="1">
      <alignment horizontal="center" vertical="center"/>
      <protection locked="0"/>
    </xf>
    <xf numFmtId="217" fontId="21" fillId="7" borderId="114" xfId="454" applyNumberFormat="1" applyFont="1" applyFill="1" applyBorder="1" applyAlignment="1" applyProtection="1">
      <alignment horizontal="center" vertical="center"/>
    </xf>
    <xf numFmtId="217" fontId="19" fillId="7" borderId="115" xfId="454" applyNumberFormat="1" applyFont="1" applyFill="1" applyBorder="1" applyAlignment="1" applyProtection="1">
      <alignment horizontal="center" vertical="center"/>
    </xf>
    <xf numFmtId="217" fontId="19" fillId="29" borderId="128" xfId="471" applyNumberFormat="1" applyFont="1" applyFill="1" applyBorder="1" applyAlignment="1" applyProtection="1">
      <alignment horizontal="center" vertical="center"/>
    </xf>
    <xf numFmtId="217" fontId="19" fillId="29" borderId="114" xfId="471" applyNumberFormat="1" applyFont="1" applyFill="1" applyBorder="1" applyAlignment="1" applyProtection="1">
      <alignment horizontal="center" vertical="center"/>
    </xf>
    <xf numFmtId="209" fontId="18" fillId="24" borderId="114" xfId="708" applyNumberFormat="1" applyFont="1" applyFill="1" applyBorder="1" applyAlignment="1" applyProtection="1">
      <alignment horizontal="center" vertical="center"/>
    </xf>
    <xf numFmtId="217" fontId="19" fillId="29" borderId="129" xfId="471" applyNumberFormat="1" applyFont="1" applyFill="1" applyBorder="1" applyAlignment="1" applyProtection="1">
      <alignment horizontal="center" vertical="center"/>
    </xf>
    <xf numFmtId="224" fontId="19" fillId="32" borderId="114" xfId="426" applyNumberFormat="1" applyFont="1" applyFill="1" applyBorder="1" applyAlignment="1" applyProtection="1">
      <alignment horizontal="center" vertical="center"/>
    </xf>
    <xf numFmtId="209" fontId="19" fillId="24" borderId="114" xfId="708" applyNumberFormat="1" applyFont="1" applyFill="1" applyBorder="1" applyAlignment="1" applyProtection="1">
      <alignment horizontal="center" vertical="center"/>
    </xf>
    <xf numFmtId="224" fontId="19" fillId="32" borderId="129" xfId="426" applyNumberFormat="1" applyFont="1" applyFill="1" applyBorder="1" applyAlignment="1" applyProtection="1">
      <alignment horizontal="center" vertical="center"/>
    </xf>
    <xf numFmtId="221" fontId="19" fillId="32" borderId="129" xfId="426" applyNumberFormat="1" applyFont="1" applyFill="1" applyBorder="1" applyAlignment="1" applyProtection="1">
      <alignment horizontal="center" vertical="center"/>
    </xf>
    <xf numFmtId="217" fontId="19" fillId="29" borderId="114" xfId="426" applyNumberFormat="1" applyFont="1" applyFill="1" applyBorder="1" applyAlignment="1" applyProtection="1">
      <alignment horizontal="center" vertical="center"/>
    </xf>
    <xf numFmtId="217" fontId="19" fillId="29" borderId="130" xfId="471" applyNumberFormat="1" applyFont="1" applyFill="1" applyBorder="1" applyAlignment="1" applyProtection="1">
      <alignment horizontal="center" vertical="center"/>
      <protection locked="0"/>
    </xf>
    <xf numFmtId="217" fontId="19" fillId="29" borderId="114" xfId="471" applyNumberFormat="1" applyFont="1" applyFill="1" applyBorder="1" applyAlignment="1" applyProtection="1">
      <alignment horizontal="center" vertical="center"/>
      <protection locked="0"/>
    </xf>
    <xf numFmtId="0" fontId="24" fillId="7" borderId="127" xfId="622" applyFont="1" applyFill="1" applyBorder="1" applyAlignment="1" applyProtection="1">
      <alignment horizontal="left" vertical="center" wrapText="1"/>
      <protection locked="0"/>
    </xf>
    <xf numFmtId="217" fontId="21" fillId="7" borderId="114" xfId="622" applyNumberFormat="1" applyFont="1" applyFill="1" applyBorder="1" applyAlignment="1" applyProtection="1">
      <alignment horizontal="left" vertical="center"/>
      <protection locked="0"/>
    </xf>
    <xf numFmtId="217" fontId="21" fillId="7" borderId="114" xfId="426" applyNumberFormat="1" applyFont="1" applyFill="1" applyBorder="1" applyAlignment="1" applyProtection="1">
      <alignment horizontal="center" vertical="center"/>
      <protection locked="0"/>
    </xf>
    <xf numFmtId="217" fontId="19" fillId="32" borderId="128" xfId="426" applyNumberFormat="1" applyFont="1" applyFill="1" applyBorder="1" applyAlignment="1" applyProtection="1">
      <alignment horizontal="center" vertical="center"/>
    </xf>
    <xf numFmtId="221" fontId="19" fillId="32" borderId="114" xfId="426" applyNumberFormat="1" applyFont="1" applyFill="1" applyBorder="1" applyAlignment="1" applyProtection="1">
      <alignment horizontal="center" vertical="center"/>
    </xf>
    <xf numFmtId="0" fontId="25" fillId="0" borderId="119" xfId="0" quotePrefix="1" applyFont="1" applyBorder="1" applyAlignment="1" applyProtection="1">
      <alignment horizontal="left" vertical="center" wrapText="1"/>
      <protection locked="0"/>
    </xf>
    <xf numFmtId="0" fontId="25" fillId="0" borderId="127" xfId="0" applyFont="1" applyBorder="1" applyAlignment="1" applyProtection="1">
      <alignment horizontal="left" vertical="center" wrapText="1"/>
      <protection locked="0"/>
    </xf>
    <xf numFmtId="0" fontId="21" fillId="7" borderId="114" xfId="622" applyFont="1" applyFill="1" applyBorder="1" applyAlignment="1" applyProtection="1">
      <alignment horizontal="left" vertical="center" wrapText="1"/>
      <protection locked="0"/>
    </xf>
    <xf numFmtId="0" fontId="21" fillId="7" borderId="114" xfId="622" applyFont="1" applyFill="1" applyBorder="1" applyAlignment="1" applyProtection="1">
      <alignment horizontal="left" vertical="center"/>
      <protection locked="0"/>
    </xf>
    <xf numFmtId="222" fontId="19" fillId="24" borderId="114" xfId="426" applyNumberFormat="1" applyFont="1" applyFill="1" applyBorder="1" applyAlignment="1" applyProtection="1">
      <alignment horizontal="center" vertical="center"/>
      <protection locked="0"/>
    </xf>
    <xf numFmtId="217" fontId="19" fillId="24" borderId="114" xfId="428" applyNumberFormat="1" applyFont="1" applyFill="1" applyBorder="1" applyAlignment="1" applyProtection="1">
      <alignment horizontal="center" vertical="center"/>
      <protection locked="0"/>
    </xf>
    <xf numFmtId="0" fontId="24" fillId="7" borderId="115" xfId="622" applyFont="1" applyFill="1" applyBorder="1" applyAlignment="1" applyProtection="1">
      <alignment horizontal="left" vertical="center"/>
      <protection locked="0"/>
    </xf>
    <xf numFmtId="222" fontId="19" fillId="0" borderId="114" xfId="426" applyNumberFormat="1" applyFont="1" applyBorder="1" applyAlignment="1" applyProtection="1">
      <alignment horizontal="center" vertical="center"/>
      <protection locked="0"/>
    </xf>
    <xf numFmtId="0" fontId="24" fillId="5" borderId="115" xfId="622" applyFont="1" applyFill="1" applyBorder="1" applyAlignment="1" applyProtection="1">
      <alignment horizontal="left" vertical="center"/>
      <protection locked="0"/>
    </xf>
    <xf numFmtId="217" fontId="19" fillId="0" borderId="114" xfId="428" applyNumberFormat="1" applyFont="1" applyBorder="1" applyAlignment="1" applyProtection="1">
      <alignment horizontal="center" vertical="center"/>
      <protection locked="0"/>
    </xf>
    <xf numFmtId="175" fontId="19" fillId="24" borderId="114" xfId="428" applyFont="1" applyFill="1" applyBorder="1" applyAlignment="1" applyProtection="1">
      <alignment horizontal="center" vertical="center"/>
      <protection locked="0"/>
    </xf>
    <xf numFmtId="217" fontId="19" fillId="0" borderId="114" xfId="426" applyNumberFormat="1" applyFont="1" applyBorder="1" applyAlignment="1" applyProtection="1">
      <alignment horizontal="center" vertical="center"/>
      <protection locked="0"/>
    </xf>
    <xf numFmtId="0" fontId="24" fillId="0" borderId="115" xfId="622" applyFont="1" applyBorder="1" applyAlignment="1" applyProtection="1">
      <alignment horizontal="left" vertical="center"/>
      <protection locked="0"/>
    </xf>
    <xf numFmtId="217" fontId="21" fillId="0" borderId="114" xfId="471" applyNumberFormat="1" applyFont="1" applyBorder="1" applyAlignment="1" applyProtection="1">
      <alignment horizontal="center" vertical="center"/>
      <protection locked="0"/>
    </xf>
    <xf numFmtId="0" fontId="24" fillId="7" borderId="114" xfId="622" applyFont="1" applyFill="1" applyBorder="1" applyAlignment="1" applyProtection="1">
      <alignment horizontal="center" vertical="center"/>
      <protection locked="0"/>
    </xf>
    <xf numFmtId="164" fontId="21" fillId="0" borderId="114" xfId="622" applyNumberFormat="1" applyFont="1" applyBorder="1" applyAlignment="1" applyProtection="1">
      <alignment horizontal="left" vertical="center"/>
      <protection locked="0"/>
    </xf>
    <xf numFmtId="185" fontId="19" fillId="24" borderId="114" xfId="426" applyNumberFormat="1" applyFont="1" applyFill="1" applyBorder="1" applyAlignment="1" applyProtection="1">
      <alignment horizontal="center" vertical="center"/>
      <protection locked="0"/>
    </xf>
    <xf numFmtId="221" fontId="19" fillId="33" borderId="114" xfId="426" applyNumberFormat="1" applyFont="1" applyFill="1" applyBorder="1" applyAlignment="1" applyProtection="1">
      <alignment horizontal="center" vertical="center"/>
    </xf>
    <xf numFmtId="0" fontId="24" fillId="7" borderId="115" xfId="622" applyFont="1" applyFill="1" applyBorder="1" applyAlignment="1" applyProtection="1">
      <alignment horizontal="left" vertical="center" wrapText="1"/>
      <protection locked="0"/>
    </xf>
    <xf numFmtId="0" fontId="24" fillId="4" borderId="115" xfId="622" applyFont="1" applyFill="1" applyBorder="1" applyAlignment="1" applyProtection="1">
      <alignment horizontal="left" vertical="center"/>
      <protection locked="0"/>
    </xf>
    <xf numFmtId="185" fontId="10" fillId="0" borderId="127" xfId="472" applyNumberFormat="1" applyFont="1" applyFill="1" applyBorder="1" applyAlignment="1" applyProtection="1">
      <alignment horizontal="center" vertical="center"/>
      <protection locked="0"/>
    </xf>
    <xf numFmtId="0" fontId="24" fillId="4" borderId="127" xfId="622" applyFont="1" applyFill="1" applyBorder="1" applyAlignment="1" applyProtection="1">
      <alignment horizontal="left" vertical="center"/>
      <protection locked="0"/>
    </xf>
    <xf numFmtId="217" fontId="21" fillId="100" borderId="114" xfId="471" applyNumberFormat="1" applyFont="1" applyFill="1" applyBorder="1" applyAlignment="1" applyProtection="1">
      <alignment horizontal="center" vertical="center"/>
      <protection locked="0"/>
    </xf>
    <xf numFmtId="0" fontId="21" fillId="0" borderId="114" xfId="622" applyFont="1" applyBorder="1" applyAlignment="1" applyProtection="1">
      <alignment horizontal="left" vertical="center" wrapText="1"/>
      <protection locked="0"/>
    </xf>
    <xf numFmtId="0" fontId="18" fillId="9" borderId="132" xfId="622" applyFont="1" applyFill="1" applyBorder="1" applyAlignment="1" applyProtection="1">
      <alignment horizontal="center" vertical="center" wrapText="1"/>
      <protection locked="0"/>
    </xf>
    <xf numFmtId="0" fontId="18" fillId="0" borderId="127" xfId="622" applyFont="1" applyBorder="1" applyAlignment="1" applyProtection="1">
      <alignment horizontal="right" vertical="center"/>
      <protection locked="0"/>
    </xf>
    <xf numFmtId="0" fontId="21" fillId="0" borderId="127" xfId="622" applyFont="1" applyBorder="1" applyAlignment="1" applyProtection="1">
      <alignment horizontal="center" vertical="center"/>
      <protection locked="0"/>
    </xf>
    <xf numFmtId="0" fontId="24" fillId="7" borderId="133" xfId="622" applyFont="1" applyFill="1" applyBorder="1" applyAlignment="1" applyProtection="1">
      <alignment horizontal="center" vertical="center"/>
      <protection locked="0"/>
    </xf>
    <xf numFmtId="216" fontId="21" fillId="0" borderId="127" xfId="430" applyNumberFormat="1" applyFont="1" applyBorder="1" applyAlignment="1" applyProtection="1">
      <alignment horizontal="center" vertical="center"/>
      <protection locked="0"/>
    </xf>
    <xf numFmtId="0" fontId="2" fillId="15" borderId="127" xfId="0" applyFont="1" applyFill="1" applyBorder="1" applyAlignment="1">
      <alignment horizontal="center" vertical="center"/>
    </xf>
    <xf numFmtId="0" fontId="2" fillId="8" borderId="133" xfId="626" applyFont="1" applyFill="1" applyBorder="1" applyAlignment="1">
      <alignment horizontal="center" vertical="center"/>
    </xf>
    <xf numFmtId="0" fontId="2" fillId="8" borderId="119" xfId="626" applyFont="1" applyFill="1" applyBorder="1" applyAlignment="1">
      <alignment horizontal="center" vertical="center"/>
    </xf>
    <xf numFmtId="0" fontId="1" fillId="6" borderId="134" xfId="0" applyFont="1" applyFill="1" applyBorder="1" applyAlignment="1">
      <alignment horizontal="center" vertical="center"/>
    </xf>
    <xf numFmtId="0" fontId="2" fillId="8" borderId="127" xfId="626" applyFont="1" applyFill="1" applyBorder="1" applyAlignment="1">
      <alignment horizontal="center" vertical="center"/>
    </xf>
    <xf numFmtId="0" fontId="1" fillId="6" borderId="127" xfId="0" applyFont="1" applyFill="1" applyBorder="1" applyAlignment="1">
      <alignment horizontal="center" vertical="center"/>
    </xf>
    <xf numFmtId="0" fontId="4" fillId="0" borderId="135" xfId="626" applyFont="1" applyBorder="1" applyAlignment="1">
      <alignment horizontal="left" vertical="center"/>
    </xf>
    <xf numFmtId="3" fontId="4" fillId="0" borderId="135" xfId="626" applyNumberFormat="1" applyFont="1" applyBorder="1" applyAlignment="1">
      <alignment horizontal="center" vertical="center"/>
    </xf>
    <xf numFmtId="219" fontId="3" fillId="0" borderId="136" xfId="436" applyNumberFormat="1" applyFont="1" applyBorder="1" applyAlignment="1">
      <alignment vertical="center"/>
    </xf>
    <xf numFmtId="0" fontId="4" fillId="0" borderId="127" xfId="626" applyFont="1" applyBorder="1" applyAlignment="1">
      <alignment horizontal="left" vertical="center"/>
    </xf>
    <xf numFmtId="217" fontId="3" fillId="0" borderId="127" xfId="444" applyNumberFormat="1" applyFont="1" applyBorder="1" applyAlignment="1">
      <alignment horizontal="center" vertical="center"/>
    </xf>
    <xf numFmtId="219" fontId="3" fillId="0" borderId="127" xfId="436" applyNumberFormat="1" applyFont="1" applyBorder="1" applyAlignment="1">
      <alignment vertical="center"/>
    </xf>
    <xf numFmtId="0" fontId="0" fillId="0" borderId="127" xfId="0" applyBorder="1" applyAlignment="1">
      <alignment vertical="center"/>
    </xf>
    <xf numFmtId="217" fontId="2" fillId="19" borderId="127" xfId="444" applyNumberFormat="1" applyFont="1" applyFill="1" applyBorder="1" applyAlignment="1">
      <alignment horizontal="center" vertical="center"/>
    </xf>
    <xf numFmtId="219" fontId="4" fillId="8" borderId="127" xfId="436" applyNumberFormat="1" applyFont="1" applyFill="1" applyBorder="1" applyAlignment="1">
      <alignment vertical="center"/>
    </xf>
    <xf numFmtId="10" fontId="3" fillId="0" borderId="127" xfId="444" applyNumberFormat="1" applyFont="1" applyFill="1" applyBorder="1" applyAlignment="1">
      <alignment horizontal="center" vertical="center"/>
    </xf>
    <xf numFmtId="220" fontId="0" fillId="0" borderId="127" xfId="0" applyNumberFormat="1" applyBorder="1" applyAlignment="1">
      <alignment vertical="center"/>
    </xf>
    <xf numFmtId="0" fontId="2" fillId="20" borderId="127" xfId="626" applyFont="1" applyFill="1" applyBorder="1" applyAlignment="1">
      <alignment horizontal="center" vertical="center"/>
    </xf>
    <xf numFmtId="219" fontId="4" fillId="8" borderId="136" xfId="436" applyNumberFormat="1" applyFont="1" applyFill="1" applyBorder="1" applyAlignment="1">
      <alignment vertical="center"/>
    </xf>
    <xf numFmtId="0" fontId="2" fillId="20" borderId="133" xfId="626" applyFont="1" applyFill="1" applyBorder="1" applyAlignment="1">
      <alignment horizontal="center" vertical="center"/>
    </xf>
    <xf numFmtId="0" fontId="2" fillId="20" borderId="119" xfId="626" applyFont="1" applyFill="1" applyBorder="1" applyAlignment="1">
      <alignment horizontal="center" vertical="center"/>
    </xf>
    <xf numFmtId="219" fontId="4" fillId="8" borderId="137" xfId="436" applyNumberFormat="1" applyFont="1" applyFill="1" applyBorder="1" applyAlignment="1">
      <alignment vertical="center"/>
    </xf>
    <xf numFmtId="166" fontId="4" fillId="0" borderId="127" xfId="660" applyFont="1" applyBorder="1" applyAlignment="1">
      <alignment horizontal="center" vertical="center" wrapText="1"/>
    </xf>
    <xf numFmtId="0" fontId="40" fillId="48" borderId="127" xfId="660" applyNumberFormat="1" applyFont="1" applyFill="1" applyBorder="1" applyAlignment="1">
      <alignment horizontal="center" vertical="center" wrapText="1"/>
    </xf>
    <xf numFmtId="9" fontId="4" fillId="48" borderId="127" xfId="660" applyNumberFormat="1" applyFont="1" applyFill="1" applyBorder="1" applyAlignment="1">
      <alignment horizontal="center" vertical="center" wrapText="1"/>
    </xf>
    <xf numFmtId="2" fontId="4" fillId="0" borderId="127" xfId="660" applyNumberFormat="1" applyFont="1" applyBorder="1" applyAlignment="1">
      <alignment horizontal="center" vertical="center"/>
    </xf>
    <xf numFmtId="0" fontId="0" fillId="6" borderId="127" xfId="0" applyFill="1" applyBorder="1" applyAlignment="1">
      <alignment horizontal="center"/>
    </xf>
    <xf numFmtId="166" fontId="2" fillId="49" borderId="138" xfId="660" applyFont="1" applyFill="1" applyBorder="1" applyAlignment="1">
      <alignment horizontal="center" vertical="top" wrapText="1"/>
    </xf>
    <xf numFmtId="1" fontId="2" fillId="49" borderId="138" xfId="660" applyNumberFormat="1" applyFont="1" applyFill="1" applyBorder="1" applyAlignment="1">
      <alignment horizontal="center" vertical="top" wrapText="1"/>
    </xf>
    <xf numFmtId="166" fontId="0" fillId="48" borderId="138" xfId="660" applyFont="1" applyFill="1" applyBorder="1" applyAlignment="1">
      <alignment horizontal="center" vertical="top" wrapText="1"/>
    </xf>
    <xf numFmtId="166" fontId="0" fillId="0" borderId="139" xfId="660" applyFont="1" applyBorder="1" applyAlignment="1">
      <alignment horizontal="center"/>
    </xf>
    <xf numFmtId="166" fontId="0" fillId="0" borderId="140" xfId="660" applyFont="1" applyBorder="1" applyAlignment="1">
      <alignment horizontal="left"/>
    </xf>
    <xf numFmtId="1" fontId="0" fillId="36" borderId="140" xfId="660" applyNumberFormat="1" applyFont="1" applyFill="1" applyBorder="1" applyAlignment="1">
      <alignment horizontal="center"/>
    </xf>
    <xf numFmtId="166" fontId="0" fillId="0" borderId="140" xfId="660" applyFont="1" applyBorder="1" applyAlignment="1">
      <alignment horizontal="center"/>
    </xf>
    <xf numFmtId="166" fontId="0" fillId="0" borderId="140" xfId="660" applyFont="1" applyBorder="1" applyAlignment="1">
      <alignment horizontal="center" wrapText="1"/>
    </xf>
    <xf numFmtId="229" fontId="0" fillId="50" borderId="140" xfId="444" applyNumberFormat="1" applyFont="1" applyFill="1" applyBorder="1" applyAlignment="1">
      <alignment horizontal="center" vertical="center"/>
    </xf>
    <xf numFmtId="166" fontId="0" fillId="0" borderId="141" xfId="660" applyFont="1" applyBorder="1" applyAlignment="1">
      <alignment horizontal="center"/>
    </xf>
    <xf numFmtId="166" fontId="0" fillId="0" borderId="142" xfId="660" applyFont="1" applyBorder="1" applyAlignment="1">
      <alignment horizontal="center"/>
    </xf>
    <xf numFmtId="166" fontId="0" fillId="0" borderId="127" xfId="660" applyFont="1" applyBorder="1" applyAlignment="1">
      <alignment horizontal="left"/>
    </xf>
    <xf numFmtId="1" fontId="0" fillId="36" borderId="127" xfId="660" applyNumberFormat="1" applyFont="1" applyFill="1" applyBorder="1" applyAlignment="1">
      <alignment horizontal="center"/>
    </xf>
    <xf numFmtId="166" fontId="0" fillId="0" borderId="127" xfId="660" applyFont="1" applyBorder="1" applyAlignment="1">
      <alignment horizontal="center"/>
    </xf>
    <xf numFmtId="166" fontId="0" fillId="0" borderId="127" xfId="660" applyFont="1" applyBorder="1" applyAlignment="1">
      <alignment horizontal="center" wrapText="1"/>
    </xf>
    <xf numFmtId="229" fontId="0" fillId="50" borderId="127" xfId="444" applyNumberFormat="1" applyFont="1" applyFill="1" applyBorder="1" applyAlignment="1">
      <alignment horizontal="center" vertical="center"/>
    </xf>
    <xf numFmtId="229" fontId="0" fillId="50" borderId="133" xfId="444" applyNumberFormat="1" applyFont="1" applyFill="1" applyBorder="1" applyAlignment="1">
      <alignment horizontal="center" vertical="center"/>
    </xf>
    <xf numFmtId="166" fontId="0" fillId="0" borderId="143" xfId="660" applyFont="1" applyBorder="1" applyAlignment="1">
      <alignment horizontal="center"/>
    </xf>
    <xf numFmtId="166" fontId="1" fillId="0" borderId="127" xfId="660" applyFont="1" applyBorder="1" applyAlignment="1">
      <alignment horizontal="center" wrapText="1"/>
    </xf>
    <xf numFmtId="1" fontId="0" fillId="0" borderId="127" xfId="660" applyNumberFormat="1" applyFont="1" applyBorder="1" applyAlignment="1">
      <alignment horizontal="center" wrapText="1"/>
    </xf>
    <xf numFmtId="166" fontId="0" fillId="0" borderId="144" xfId="660" applyFont="1" applyBorder="1" applyAlignment="1">
      <alignment horizontal="center"/>
    </xf>
    <xf numFmtId="166" fontId="0" fillId="0" borderId="145" xfId="660" applyFont="1" applyBorder="1" applyAlignment="1">
      <alignment horizontal="left"/>
    </xf>
    <xf numFmtId="1" fontId="0" fillId="36" borderId="145" xfId="660" applyNumberFormat="1" applyFont="1" applyFill="1" applyBorder="1" applyAlignment="1">
      <alignment horizontal="center"/>
    </xf>
    <xf numFmtId="166" fontId="0" fillId="0" borderId="145" xfId="660" applyFont="1" applyBorder="1" applyAlignment="1">
      <alignment horizontal="center"/>
    </xf>
    <xf numFmtId="166" fontId="0" fillId="0" borderId="145" xfId="660" applyFont="1" applyBorder="1" applyAlignment="1">
      <alignment horizontal="center" wrapText="1"/>
    </xf>
    <xf numFmtId="229" fontId="0" fillId="50" borderId="145" xfId="444" applyNumberFormat="1" applyFont="1" applyFill="1" applyBorder="1" applyAlignment="1">
      <alignment horizontal="center" vertical="center"/>
    </xf>
    <xf numFmtId="229" fontId="0" fillId="50" borderId="146" xfId="444" applyNumberFormat="1" applyFont="1" applyFill="1" applyBorder="1" applyAlignment="1">
      <alignment horizontal="center" vertical="center"/>
    </xf>
    <xf numFmtId="166" fontId="0" fillId="0" borderId="147" xfId="660" applyFont="1" applyBorder="1" applyAlignment="1">
      <alignment horizontal="center"/>
    </xf>
    <xf numFmtId="166" fontId="1" fillId="0" borderId="139" xfId="660" applyFont="1" applyBorder="1" applyAlignment="1">
      <alignment horizontal="center"/>
    </xf>
    <xf numFmtId="1" fontId="0" fillId="0" borderId="140" xfId="660" applyNumberFormat="1" applyFont="1" applyBorder="1" applyAlignment="1">
      <alignment horizontal="center" wrapText="1"/>
    </xf>
    <xf numFmtId="229" fontId="0" fillId="50" borderId="148" xfId="444" applyNumberFormat="1" applyFont="1" applyFill="1" applyBorder="1" applyAlignment="1">
      <alignment horizontal="center" vertical="center"/>
    </xf>
    <xf numFmtId="166" fontId="1" fillId="0" borderId="142" xfId="660" applyFont="1" applyBorder="1" applyAlignment="1">
      <alignment horizontal="center"/>
    </xf>
    <xf numFmtId="166" fontId="1" fillId="0" borderId="127" xfId="660" applyFont="1" applyBorder="1" applyAlignment="1">
      <alignment horizontal="center"/>
    </xf>
    <xf numFmtId="166" fontId="1" fillId="0" borderId="127" xfId="660" applyFont="1" applyBorder="1" applyAlignment="1">
      <alignment horizontal="left"/>
    </xf>
    <xf numFmtId="197" fontId="0" fillId="0" borderId="127" xfId="660" applyNumberFormat="1" applyFont="1" applyBorder="1" applyAlignment="1">
      <alignment horizontal="center" wrapText="1"/>
    </xf>
    <xf numFmtId="166" fontId="0" fillId="0" borderId="138" xfId="660" applyFont="1" applyBorder="1" applyAlignment="1">
      <alignment horizontal="left"/>
    </xf>
    <xf numFmtId="166" fontId="1" fillId="0" borderId="138" xfId="660" applyFont="1" applyBorder="1" applyAlignment="1">
      <alignment horizontal="center"/>
    </xf>
    <xf numFmtId="166" fontId="0" fillId="0" borderId="138" xfId="660" applyFont="1" applyBorder="1" applyAlignment="1">
      <alignment horizontal="center"/>
    </xf>
    <xf numFmtId="166" fontId="0" fillId="0" borderId="138" xfId="660" applyFont="1" applyBorder="1" applyAlignment="1">
      <alignment horizontal="center" wrapText="1"/>
    </xf>
    <xf numFmtId="197" fontId="0" fillId="0" borderId="138" xfId="660" applyNumberFormat="1" applyFont="1" applyBorder="1" applyAlignment="1">
      <alignment horizontal="center" wrapText="1"/>
    </xf>
    <xf numFmtId="166" fontId="0" fillId="0" borderId="149" xfId="660" applyFont="1" applyBorder="1" applyAlignment="1">
      <alignment horizontal="center"/>
    </xf>
    <xf numFmtId="166" fontId="1" fillId="0" borderId="138" xfId="660" applyFont="1" applyBorder="1" applyAlignment="1">
      <alignment horizontal="left"/>
    </xf>
    <xf numFmtId="166" fontId="1" fillId="0" borderId="138" xfId="660" applyFont="1" applyBorder="1" applyAlignment="1">
      <alignment horizontal="center" wrapText="1"/>
    </xf>
    <xf numFmtId="1" fontId="0" fillId="0" borderId="138" xfId="660" applyNumberFormat="1" applyFont="1" applyBorder="1" applyAlignment="1">
      <alignment horizontal="center" wrapText="1"/>
    </xf>
    <xf numFmtId="1" fontId="1" fillId="0" borderId="138" xfId="660" applyNumberFormat="1" applyFont="1" applyBorder="1" applyAlignment="1">
      <alignment horizontal="center" wrapText="1"/>
    </xf>
    <xf numFmtId="166" fontId="1" fillId="0" borderId="144" xfId="660" applyFont="1" applyBorder="1" applyAlignment="1">
      <alignment horizontal="center"/>
    </xf>
    <xf numFmtId="166" fontId="1" fillId="0" borderId="145" xfId="660" applyFont="1" applyBorder="1" applyAlignment="1">
      <alignment horizontal="center"/>
    </xf>
    <xf numFmtId="166" fontId="1" fillId="0" borderId="145" xfId="660" applyFont="1" applyBorder="1" applyAlignment="1">
      <alignment horizontal="center" wrapText="1"/>
    </xf>
    <xf numFmtId="1" fontId="0" fillId="0" borderId="145" xfId="660" applyNumberFormat="1" applyFont="1" applyBorder="1" applyAlignment="1">
      <alignment horizontal="center" wrapText="1"/>
    </xf>
    <xf numFmtId="166" fontId="1" fillId="0" borderId="140" xfId="660" applyFont="1" applyBorder="1" applyAlignment="1">
      <alignment horizontal="center"/>
    </xf>
    <xf numFmtId="166" fontId="2" fillId="0" borderId="127" xfId="660" applyFont="1" applyBorder="1" applyAlignment="1">
      <alignment horizontal="center" vertical="center"/>
    </xf>
    <xf numFmtId="166" fontId="2" fillId="51" borderId="127" xfId="660" applyFont="1" applyFill="1" applyBorder="1" applyAlignment="1">
      <alignment horizontal="center" vertical="center"/>
    </xf>
    <xf numFmtId="1" fontId="1" fillId="6" borderId="127" xfId="0" applyNumberFormat="1" applyFont="1" applyFill="1" applyBorder="1" applyAlignment="1">
      <alignment horizontal="center"/>
    </xf>
    <xf numFmtId="166" fontId="2" fillId="51" borderId="127" xfId="660" applyFont="1" applyFill="1" applyBorder="1" applyAlignment="1">
      <alignment horizontal="center"/>
    </xf>
    <xf numFmtId="197" fontId="2" fillId="51" borderId="127" xfId="660" applyNumberFormat="1" applyFont="1" applyFill="1" applyBorder="1" applyAlignment="1">
      <alignment horizontal="center" vertical="center"/>
    </xf>
    <xf numFmtId="166" fontId="2" fillId="52" borderId="127" xfId="660" applyFont="1" applyFill="1" applyBorder="1" applyAlignment="1">
      <alignment horizontal="center"/>
    </xf>
    <xf numFmtId="1" fontId="0" fillId="6" borderId="127" xfId="0" applyNumberFormat="1" applyFill="1" applyBorder="1" applyAlignment="1">
      <alignment horizontal="center"/>
    </xf>
    <xf numFmtId="166" fontId="6" fillId="0" borderId="127" xfId="660" applyBorder="1" applyAlignment="1">
      <alignment horizontal="center"/>
    </xf>
    <xf numFmtId="0" fontId="2" fillId="0" borderId="134" xfId="660" applyNumberFormat="1" applyFont="1" applyBorder="1" applyAlignment="1">
      <alignment horizontal="center"/>
    </xf>
    <xf numFmtId="0" fontId="2" fillId="7" borderId="134" xfId="660" applyNumberFormat="1" applyFont="1" applyFill="1" applyBorder="1" applyAlignment="1">
      <alignment horizontal="center"/>
    </xf>
    <xf numFmtId="166" fontId="0" fillId="7" borderId="127" xfId="660" applyFont="1" applyFill="1" applyBorder="1" applyAlignment="1">
      <alignment horizontal="center"/>
    </xf>
    <xf numFmtId="196" fontId="2" fillId="0" borderId="134" xfId="660" applyNumberFormat="1" applyFont="1" applyBorder="1" applyAlignment="1">
      <alignment horizontal="center"/>
    </xf>
    <xf numFmtId="0" fontId="5" fillId="7" borderId="134" xfId="660" applyNumberFormat="1" applyFont="1" applyFill="1" applyBorder="1" applyAlignment="1">
      <alignment horizontal="center"/>
    </xf>
    <xf numFmtId="0" fontId="0" fillId="0" borderId="134" xfId="660" applyNumberFormat="1" applyFont="1" applyBorder="1" applyAlignment="1">
      <alignment horizontal="center"/>
    </xf>
    <xf numFmtId="1" fontId="0" fillId="0" borderId="127" xfId="660" applyNumberFormat="1" applyFont="1" applyBorder="1" applyAlignment="1">
      <alignment horizontal="center"/>
    </xf>
    <xf numFmtId="197" fontId="2" fillId="4" borderId="127" xfId="660" applyNumberFormat="1" applyFont="1" applyFill="1" applyBorder="1" applyAlignment="1">
      <alignment horizontal="center" vertical="center"/>
    </xf>
    <xf numFmtId="0" fontId="0" fillId="0" borderId="127" xfId="660" applyNumberFormat="1" applyFont="1" applyBorder="1" applyAlignment="1">
      <alignment horizontal="center" vertical="center"/>
    </xf>
    <xf numFmtId="0" fontId="4" fillId="14" borderId="127" xfId="444" applyNumberFormat="1" applyFont="1" applyFill="1" applyBorder="1" applyAlignment="1">
      <alignment horizontal="center" vertical="center"/>
    </xf>
    <xf numFmtId="209" fontId="2" fillId="3" borderId="127" xfId="2" applyNumberFormat="1" applyFont="1" applyFill="1" applyBorder="1" applyAlignment="1">
      <alignment horizontal="center" vertical="center"/>
    </xf>
    <xf numFmtId="0" fontId="2" fillId="44" borderId="127" xfId="0" applyFont="1" applyFill="1" applyBorder="1" applyAlignment="1">
      <alignment horizontal="center" vertical="center"/>
    </xf>
    <xf numFmtId="0" fontId="32" fillId="0" borderId="127" xfId="0" applyFont="1" applyBorder="1" applyAlignment="1">
      <alignment horizontal="center" vertical="center"/>
    </xf>
    <xf numFmtId="0" fontId="9" fillId="0" borderId="127" xfId="0" applyFont="1" applyBorder="1" applyAlignment="1">
      <alignment vertical="center"/>
    </xf>
    <xf numFmtId="185" fontId="9" fillId="4" borderId="127" xfId="472" applyNumberFormat="1" applyFont="1" applyFill="1" applyBorder="1" applyAlignment="1">
      <alignment vertical="center"/>
    </xf>
    <xf numFmtId="185" fontId="9" fillId="0" borderId="127" xfId="472" applyNumberFormat="1" applyFont="1" applyBorder="1" applyAlignment="1">
      <alignment vertical="center"/>
    </xf>
    <xf numFmtId="185" fontId="9" fillId="37" borderId="127" xfId="472" applyNumberFormat="1" applyFont="1" applyFill="1" applyBorder="1" applyAlignment="1">
      <alignment vertical="center"/>
    </xf>
    <xf numFmtId="0" fontId="32" fillId="4" borderId="127" xfId="0" applyFont="1" applyFill="1" applyBorder="1" applyAlignment="1">
      <alignment vertical="center"/>
    </xf>
    <xf numFmtId="2" fontId="14" fillId="4" borderId="127" xfId="0" applyNumberFormat="1" applyFont="1" applyFill="1" applyBorder="1" applyAlignment="1">
      <alignment vertical="center"/>
    </xf>
    <xf numFmtId="0" fontId="32" fillId="0" borderId="127" xfId="0" applyFont="1" applyBorder="1" applyAlignment="1">
      <alignment vertical="center"/>
    </xf>
    <xf numFmtId="185" fontId="32" fillId="0" borderId="127" xfId="472" applyNumberFormat="1" applyFont="1" applyBorder="1" applyAlignment="1">
      <alignment vertical="center"/>
    </xf>
    <xf numFmtId="185" fontId="9" fillId="0" borderId="127" xfId="0" applyNumberFormat="1" applyFont="1" applyBorder="1" applyAlignment="1">
      <alignment vertical="center"/>
    </xf>
    <xf numFmtId="216" fontId="9" fillId="0" borderId="127" xfId="0" applyNumberFormat="1" applyFont="1" applyBorder="1" applyAlignment="1">
      <alignment vertical="center"/>
    </xf>
    <xf numFmtId="0" fontId="9" fillId="0" borderId="139" xfId="0" applyFont="1" applyBorder="1"/>
    <xf numFmtId="9" fontId="9" fillId="37" borderId="141" xfId="0" applyNumberFormat="1" applyFont="1" applyFill="1" applyBorder="1" applyAlignment="1">
      <alignment horizontal="right"/>
    </xf>
    <xf numFmtId="0" fontId="9" fillId="0" borderId="142" xfId="0" applyFont="1" applyBorder="1"/>
    <xf numFmtId="9" fontId="9" fillId="37" borderId="143" xfId="0" applyNumberFormat="1" applyFont="1" applyFill="1" applyBorder="1" applyAlignment="1">
      <alignment horizontal="right"/>
    </xf>
    <xf numFmtId="0" fontId="9" fillId="37" borderId="143" xfId="0" applyFont="1" applyFill="1" applyBorder="1" applyAlignment="1">
      <alignment horizontal="right"/>
    </xf>
    <xf numFmtId="43" fontId="9" fillId="37" borderId="143" xfId="0" applyNumberFormat="1" applyFont="1" applyFill="1" applyBorder="1" applyAlignment="1">
      <alignment horizontal="right"/>
    </xf>
    <xf numFmtId="0" fontId="9" fillId="0" borderId="144" xfId="0" applyFont="1" applyBorder="1"/>
    <xf numFmtId="0" fontId="9" fillId="37" borderId="147" xfId="0" applyFont="1" applyFill="1" applyBorder="1" applyAlignment="1">
      <alignment horizontal="right"/>
    </xf>
    <xf numFmtId="0" fontId="33" fillId="0" borderId="139" xfId="0" applyFont="1" applyBorder="1"/>
    <xf numFmtId="0" fontId="9" fillId="0" borderId="140" xfId="0" applyFont="1" applyBorder="1"/>
    <xf numFmtId="0" fontId="9" fillId="0" borderId="141" xfId="0" applyFont="1" applyBorder="1"/>
    <xf numFmtId="0" fontId="28" fillId="38" borderId="139" xfId="0" applyFont="1" applyFill="1" applyBorder="1"/>
    <xf numFmtId="0" fontId="28" fillId="38" borderId="140" xfId="0" applyFont="1" applyFill="1" applyBorder="1" applyAlignment="1">
      <alignment horizontal="center"/>
    </xf>
    <xf numFmtId="0" fontId="28" fillId="38" borderId="141" xfId="0" applyFont="1" applyFill="1" applyBorder="1" applyAlignment="1">
      <alignment horizontal="center"/>
    </xf>
    <xf numFmtId="0" fontId="34" fillId="0" borderId="142" xfId="0" applyFont="1" applyBorder="1"/>
    <xf numFmtId="0" fontId="34" fillId="0" borderId="127" xfId="0" applyFont="1" applyBorder="1" applyAlignment="1">
      <alignment horizontal="center"/>
    </xf>
    <xf numFmtId="0" fontId="34" fillId="0" borderId="143" xfId="0" applyFont="1" applyBorder="1" applyAlignment="1">
      <alignment horizontal="center"/>
    </xf>
    <xf numFmtId="0" fontId="10" fillId="38" borderId="142" xfId="0" applyFont="1" applyFill="1" applyBorder="1" applyAlignment="1">
      <alignment vertical="center"/>
    </xf>
    <xf numFmtId="0" fontId="28" fillId="37" borderId="127" xfId="0" applyFont="1" applyFill="1" applyBorder="1" applyAlignment="1">
      <alignment horizontal="center" vertical="center" wrapText="1"/>
    </xf>
    <xf numFmtId="0" fontId="28" fillId="37" borderId="143" xfId="0" applyFont="1" applyFill="1" applyBorder="1" applyAlignment="1">
      <alignment horizontal="center" vertical="center" wrapText="1"/>
    </xf>
    <xf numFmtId="0" fontId="9" fillId="0" borderId="142" xfId="0" applyFont="1" applyBorder="1" applyAlignment="1">
      <alignment vertical="center"/>
    </xf>
    <xf numFmtId="43" fontId="9" fillId="0" borderId="127" xfId="1" applyFont="1" applyBorder="1" applyAlignment="1">
      <alignment vertical="center"/>
    </xf>
    <xf numFmtId="43" fontId="9" fillId="0" borderId="143" xfId="1" applyFont="1" applyBorder="1" applyAlignment="1">
      <alignment vertical="center"/>
    </xf>
    <xf numFmtId="0" fontId="10" fillId="38" borderId="142" xfId="0" applyFont="1" applyFill="1" applyBorder="1"/>
    <xf numFmtId="0" fontId="28" fillId="37" borderId="127" xfId="0" applyFont="1" applyFill="1" applyBorder="1" applyAlignment="1">
      <alignment horizontal="center" wrapText="1"/>
    </xf>
    <xf numFmtId="0" fontId="28" fillId="37" borderId="143" xfId="0" applyFont="1" applyFill="1" applyBorder="1" applyAlignment="1">
      <alignment horizontal="center" wrapText="1"/>
    </xf>
    <xf numFmtId="0" fontId="10" fillId="0" borderId="142" xfId="0" applyFont="1" applyBorder="1"/>
    <xf numFmtId="0" fontId="10" fillId="39" borderId="127" xfId="0" applyFont="1" applyFill="1" applyBorder="1" applyAlignment="1">
      <alignment horizontal="center" wrapText="1"/>
    </xf>
    <xf numFmtId="0" fontId="10" fillId="39" borderId="143" xfId="0" applyFont="1" applyFill="1" applyBorder="1" applyAlignment="1">
      <alignment horizontal="center" wrapText="1"/>
    </xf>
    <xf numFmtId="0" fontId="9" fillId="0" borderId="144" xfId="0" applyFont="1" applyBorder="1" applyAlignment="1">
      <alignment vertical="center"/>
    </xf>
    <xf numFmtId="43" fontId="9" fillId="0" borderId="145" xfId="1" applyFont="1" applyBorder="1" applyAlignment="1">
      <alignment vertical="center"/>
    </xf>
    <xf numFmtId="43" fontId="9" fillId="0" borderId="147" xfId="1" applyFont="1" applyBorder="1" applyAlignment="1">
      <alignment vertical="center"/>
    </xf>
    <xf numFmtId="43" fontId="10" fillId="42" borderId="127" xfId="1" applyFont="1" applyFill="1" applyBorder="1"/>
    <xf numFmtId="43" fontId="10" fillId="39" borderId="127" xfId="1" applyFont="1" applyFill="1" applyBorder="1"/>
    <xf numFmtId="43" fontId="10" fillId="39" borderId="143" xfId="1" applyFont="1" applyFill="1" applyBorder="1"/>
    <xf numFmtId="185" fontId="10" fillId="39" borderId="127" xfId="1" applyNumberFormat="1" applyFont="1" applyFill="1" applyBorder="1"/>
    <xf numFmtId="185" fontId="10" fillId="39" borderId="143" xfId="1" applyNumberFormat="1" applyFont="1" applyFill="1" applyBorder="1"/>
    <xf numFmtId="185" fontId="10" fillId="39" borderId="127" xfId="1" applyNumberFormat="1" applyFont="1" applyFill="1" applyBorder="1" applyAlignment="1">
      <alignment horizontal="right"/>
    </xf>
    <xf numFmtId="185" fontId="10" fillId="39" borderId="143" xfId="1" applyNumberFormat="1" applyFont="1" applyFill="1" applyBorder="1" applyAlignment="1">
      <alignment horizontal="right"/>
    </xf>
    <xf numFmtId="185" fontId="10" fillId="40" borderId="127" xfId="1" applyNumberFormat="1" applyFont="1" applyFill="1" applyBorder="1" applyAlignment="1">
      <alignment horizontal="right"/>
    </xf>
    <xf numFmtId="9" fontId="10" fillId="39" borderId="127" xfId="2" applyFont="1" applyFill="1" applyBorder="1" applyAlignment="1">
      <alignment horizontal="right"/>
    </xf>
    <xf numFmtId="9" fontId="10" fillId="39" borderId="143" xfId="2" applyFont="1" applyFill="1" applyBorder="1" applyAlignment="1">
      <alignment horizontal="right"/>
    </xf>
    <xf numFmtId="0" fontId="28" fillId="38" borderId="142" xfId="0" applyFont="1" applyFill="1" applyBorder="1"/>
    <xf numFmtId="175" fontId="18" fillId="41" borderId="127" xfId="432" applyFont="1" applyFill="1" applyBorder="1" applyAlignment="1" applyProtection="1"/>
    <xf numFmtId="0" fontId="14" fillId="8" borderId="144" xfId="0" applyFont="1" applyFill="1" applyBorder="1"/>
    <xf numFmtId="43" fontId="14" fillId="8" borderId="145" xfId="1" applyFont="1" applyFill="1" applyBorder="1" applyAlignment="1">
      <alignment horizontal="center"/>
    </xf>
    <xf numFmtId="43" fontId="14" fillId="8" borderId="147" xfId="1" applyFont="1" applyFill="1" applyBorder="1" applyAlignment="1">
      <alignment horizontal="center"/>
    </xf>
    <xf numFmtId="0" fontId="28" fillId="0" borderId="127" xfId="0" applyFont="1" applyBorder="1" applyAlignment="1">
      <alignment horizontal="center" wrapText="1"/>
    </xf>
    <xf numFmtId="0" fontId="28" fillId="0" borderId="143" xfId="0" applyFont="1" applyBorder="1" applyAlignment="1">
      <alignment horizontal="center" wrapText="1"/>
    </xf>
    <xf numFmtId="0" fontId="28" fillId="0" borderId="143" xfId="0" applyFont="1" applyBorder="1" applyAlignment="1">
      <alignment horizontal="center" vertical="center" wrapText="1"/>
    </xf>
    <xf numFmtId="1" fontId="9" fillId="37" borderId="127" xfId="1" applyNumberFormat="1" applyFont="1" applyFill="1" applyBorder="1" applyAlignment="1">
      <alignment horizontal="center"/>
    </xf>
    <xf numFmtId="1" fontId="9" fillId="37" borderId="143" xfId="1" applyNumberFormat="1" applyFont="1" applyFill="1" applyBorder="1" applyAlignment="1">
      <alignment horizontal="center"/>
    </xf>
    <xf numFmtId="9" fontId="9" fillId="37" borderId="127" xfId="2" applyFont="1" applyFill="1" applyBorder="1" applyAlignment="1">
      <alignment horizontal="center"/>
    </xf>
    <xf numFmtId="9" fontId="9" fillId="37" borderId="143" xfId="2" applyFont="1" applyFill="1" applyBorder="1" applyAlignment="1">
      <alignment horizontal="center"/>
    </xf>
    <xf numFmtId="0" fontId="10" fillId="38" borderId="142" xfId="0" applyFont="1" applyFill="1" applyBorder="1" applyAlignment="1">
      <alignment wrapText="1"/>
    </xf>
    <xf numFmtId="1" fontId="9" fillId="0" borderId="127" xfId="1" applyNumberFormat="1" applyFont="1" applyBorder="1" applyAlignment="1">
      <alignment horizontal="center"/>
    </xf>
    <xf numFmtId="1" fontId="9" fillId="0" borderId="143" xfId="1" applyNumberFormat="1" applyFont="1" applyBorder="1" applyAlignment="1">
      <alignment horizontal="center"/>
    </xf>
    <xf numFmtId="185" fontId="9" fillId="0" borderId="145" xfId="1" applyNumberFormat="1" applyFont="1" applyBorder="1" applyAlignment="1">
      <alignment horizontal="center"/>
    </xf>
    <xf numFmtId="185" fontId="9" fillId="0" borderId="147" xfId="1" applyNumberFormat="1" applyFont="1" applyBorder="1" applyAlignment="1">
      <alignment horizontal="center"/>
    </xf>
    <xf numFmtId="0" fontId="32" fillId="0" borderId="140" xfId="0" applyFont="1" applyBorder="1" applyAlignment="1">
      <alignment horizontal="center"/>
    </xf>
    <xf numFmtId="0" fontId="32" fillId="0" borderId="141" xfId="0" applyFont="1" applyBorder="1" applyAlignment="1">
      <alignment horizontal="center"/>
    </xf>
    <xf numFmtId="185" fontId="9" fillId="0" borderId="145" xfId="0" applyNumberFormat="1" applyFont="1" applyBorder="1"/>
    <xf numFmtId="185" fontId="9" fillId="0" borderId="147" xfId="0" applyNumberFormat="1" applyFont="1" applyBorder="1"/>
    <xf numFmtId="0" fontId="18" fillId="0" borderId="139" xfId="0" applyFont="1" applyBorder="1"/>
    <xf numFmtId="0" fontId="18" fillId="0" borderId="140" xfId="0" applyFont="1" applyBorder="1" applyAlignment="1">
      <alignment horizontal="center"/>
    </xf>
    <xf numFmtId="0" fontId="18" fillId="0" borderId="141" xfId="0" applyFont="1" applyBorder="1" applyAlignment="1">
      <alignment horizontal="center"/>
    </xf>
    <xf numFmtId="0" fontId="36" fillId="0" borderId="142" xfId="0" applyFont="1" applyBorder="1"/>
    <xf numFmtId="185" fontId="19" fillId="0" borderId="127" xfId="1" applyNumberFormat="1" applyFont="1" applyFill="1" applyBorder="1"/>
    <xf numFmtId="185" fontId="19" fillId="0" borderId="143" xfId="1" applyNumberFormat="1" applyFont="1" applyFill="1" applyBorder="1"/>
    <xf numFmtId="185" fontId="19" fillId="0" borderId="127" xfId="440" applyNumberFormat="1" applyFont="1" applyFill="1" applyBorder="1"/>
    <xf numFmtId="185" fontId="19" fillId="0" borderId="143" xfId="440" applyNumberFormat="1" applyFont="1" applyFill="1" applyBorder="1"/>
    <xf numFmtId="185" fontId="36" fillId="0" borderId="127" xfId="1" applyNumberFormat="1" applyFont="1" applyFill="1" applyBorder="1"/>
    <xf numFmtId="185" fontId="36" fillId="0" borderId="143" xfId="1" applyNumberFormat="1" applyFont="1" applyFill="1" applyBorder="1"/>
    <xf numFmtId="185" fontId="36" fillId="37" borderId="127" xfId="1" applyNumberFormat="1" applyFont="1" applyFill="1" applyBorder="1"/>
    <xf numFmtId="185" fontId="36" fillId="37" borderId="143" xfId="1" applyNumberFormat="1" applyFont="1" applyFill="1" applyBorder="1"/>
    <xf numFmtId="0" fontId="36" fillId="0" borderId="144" xfId="0" applyFont="1" applyBorder="1"/>
    <xf numFmtId="185" fontId="36" fillId="0" borderId="145" xfId="1" applyNumberFormat="1" applyFont="1" applyFill="1" applyBorder="1"/>
    <xf numFmtId="185" fontId="36" fillId="0" borderId="147" xfId="1" applyNumberFormat="1" applyFont="1" applyFill="1" applyBorder="1"/>
    <xf numFmtId="0" fontId="32" fillId="0" borderId="139" xfId="0" applyFont="1" applyBorder="1" applyAlignment="1">
      <alignment horizontal="center"/>
    </xf>
    <xf numFmtId="218" fontId="32" fillId="0" borderId="140" xfId="0" applyNumberFormat="1" applyFont="1" applyBorder="1" applyAlignment="1">
      <alignment horizontal="center"/>
    </xf>
    <xf numFmtId="218" fontId="32" fillId="0" borderId="141" xfId="0" applyNumberFormat="1" applyFont="1" applyBorder="1" applyAlignment="1">
      <alignment horizontal="center"/>
    </xf>
    <xf numFmtId="185" fontId="9" fillId="0" borderId="127" xfId="1" applyNumberFormat="1" applyFont="1" applyBorder="1"/>
    <xf numFmtId="185" fontId="9" fillId="0" borderId="127" xfId="0" applyNumberFormat="1" applyFont="1" applyBorder="1"/>
    <xf numFmtId="185" fontId="9" fillId="0" borderId="143" xfId="0" applyNumberFormat="1" applyFont="1" applyBorder="1"/>
    <xf numFmtId="185" fontId="9" fillId="0" borderId="143" xfId="1" applyNumberFormat="1" applyFont="1" applyBorder="1"/>
    <xf numFmtId="185" fontId="9" fillId="37" borderId="127" xfId="1" applyNumberFormat="1" applyFont="1" applyFill="1" applyBorder="1"/>
    <xf numFmtId="185" fontId="9" fillId="37" borderId="143" xfId="1" applyNumberFormat="1" applyFont="1" applyFill="1" applyBorder="1"/>
    <xf numFmtId="2" fontId="14" fillId="17" borderId="127" xfId="0" applyNumberFormat="1" applyFont="1" applyFill="1" applyBorder="1"/>
    <xf numFmtId="2" fontId="14" fillId="17" borderId="143" xfId="0" applyNumberFormat="1" applyFont="1" applyFill="1" applyBorder="1"/>
    <xf numFmtId="0" fontId="32" fillId="0" borderId="142" xfId="0" applyFont="1" applyBorder="1" applyAlignment="1">
      <alignment vertical="center"/>
    </xf>
    <xf numFmtId="185" fontId="32" fillId="0" borderId="127" xfId="1" applyNumberFormat="1" applyFont="1" applyBorder="1"/>
    <xf numFmtId="185" fontId="32" fillId="0" borderId="143" xfId="1" applyNumberFormat="1" applyFont="1" applyBorder="1"/>
    <xf numFmtId="0" fontId="9" fillId="0" borderId="127" xfId="0" applyFont="1" applyBorder="1"/>
    <xf numFmtId="0" fontId="9" fillId="0" borderId="143" xfId="0" applyFont="1" applyBorder="1"/>
    <xf numFmtId="216" fontId="9" fillId="0" borderId="127" xfId="0" applyNumberFormat="1" applyFont="1" applyBorder="1"/>
    <xf numFmtId="0" fontId="32" fillId="0" borderId="144" xfId="0" applyFont="1" applyBorder="1" applyAlignment="1">
      <alignment vertical="center"/>
    </xf>
    <xf numFmtId="185" fontId="32" fillId="0" borderId="145" xfId="1" applyNumberFormat="1" applyFont="1" applyBorder="1"/>
    <xf numFmtId="185" fontId="32" fillId="0" borderId="147" xfId="1" applyNumberFormat="1" applyFont="1" applyBorder="1"/>
    <xf numFmtId="0" fontId="37" fillId="0" borderId="139" xfId="0" applyFont="1" applyBorder="1" applyAlignment="1">
      <alignment horizontal="center" vertical="center"/>
    </xf>
    <xf numFmtId="0" fontId="37" fillId="0" borderId="140" xfId="0" applyFont="1" applyBorder="1" applyAlignment="1">
      <alignment horizontal="center" vertical="center"/>
    </xf>
    <xf numFmtId="9" fontId="37" fillId="0" borderId="140" xfId="2" applyFont="1" applyBorder="1" applyAlignment="1">
      <alignment horizontal="center" vertical="center"/>
    </xf>
    <xf numFmtId="9" fontId="37" fillId="0" borderId="141" xfId="2" applyFont="1" applyBorder="1" applyAlignment="1">
      <alignment horizontal="center" vertical="center"/>
    </xf>
    <xf numFmtId="0" fontId="20" fillId="0" borderId="142" xfId="0" applyFont="1" applyBorder="1"/>
    <xf numFmtId="224" fontId="38" fillId="43" borderId="127" xfId="0" applyNumberFormat="1" applyFont="1" applyFill="1" applyBorder="1"/>
    <xf numFmtId="224" fontId="38" fillId="43" borderId="143" xfId="0" applyNumberFormat="1" applyFont="1" applyFill="1" applyBorder="1"/>
    <xf numFmtId="43" fontId="20" fillId="0" borderId="127" xfId="0" applyNumberFormat="1" applyFont="1" applyBorder="1"/>
    <xf numFmtId="43" fontId="20" fillId="0" borderId="143" xfId="0" applyNumberFormat="1" applyFont="1" applyBorder="1"/>
    <xf numFmtId="224" fontId="20" fillId="0" borderId="127" xfId="0" applyNumberFormat="1" applyFont="1" applyBorder="1"/>
    <xf numFmtId="224" fontId="20" fillId="0" borderId="143" xfId="0" applyNumberFormat="1" applyFont="1" applyBorder="1"/>
    <xf numFmtId="0" fontId="20" fillId="0" borderId="127" xfId="0" applyFont="1" applyBorder="1"/>
    <xf numFmtId="0" fontId="20" fillId="0" borderId="143" xfId="0" applyFont="1" applyBorder="1"/>
    <xf numFmtId="217" fontId="20" fillId="0" borderId="127" xfId="0" applyNumberFormat="1" applyFont="1" applyBorder="1"/>
    <xf numFmtId="217" fontId="20" fillId="0" borderId="143" xfId="0" applyNumberFormat="1" applyFont="1" applyBorder="1"/>
    <xf numFmtId="217" fontId="20" fillId="0" borderId="127" xfId="1" applyNumberFormat="1" applyFont="1" applyBorder="1"/>
    <xf numFmtId="217" fontId="20" fillId="0" borderId="143" xfId="1" applyNumberFormat="1" applyFont="1" applyBorder="1"/>
    <xf numFmtId="0" fontId="20" fillId="0" borderId="144" xfId="0" applyFont="1" applyBorder="1"/>
    <xf numFmtId="43" fontId="20" fillId="0" borderId="145" xfId="0" applyNumberFormat="1" applyFont="1" applyBorder="1"/>
    <xf numFmtId="43" fontId="20" fillId="0" borderId="147" xfId="0" applyNumberFormat="1" applyFont="1" applyBorder="1"/>
    <xf numFmtId="9" fontId="9" fillId="0" borderId="140" xfId="0" applyNumberFormat="1" applyFont="1" applyBorder="1"/>
    <xf numFmtId="9" fontId="9" fillId="0" borderId="141" xfId="0" applyNumberFormat="1" applyFont="1" applyBorder="1"/>
    <xf numFmtId="217" fontId="9" fillId="0" borderId="145" xfId="0" applyNumberFormat="1" applyFont="1" applyBorder="1"/>
    <xf numFmtId="217" fontId="9" fillId="0" borderId="147" xfId="0" applyNumberFormat="1" applyFont="1" applyBorder="1"/>
    <xf numFmtId="9" fontId="9" fillId="0" borderId="147" xfId="0" applyNumberFormat="1" applyFont="1" applyBorder="1"/>
    <xf numFmtId="0" fontId="0" fillId="0" borderId="127" xfId="0" applyBorder="1"/>
    <xf numFmtId="2" fontId="0" fillId="0" borderId="127" xfId="0" applyNumberFormat="1" applyBorder="1"/>
    <xf numFmtId="0" fontId="1" fillId="0" borderId="127" xfId="0" applyFont="1" applyBorder="1" applyAlignment="1">
      <alignment horizontal="center"/>
    </xf>
    <xf numFmtId="0" fontId="1" fillId="0" borderId="127" xfId="0" applyFont="1" applyBorder="1" applyAlignment="1">
      <alignment horizontal="center"/>
    </xf>
    <xf numFmtId="0" fontId="0" fillId="97" borderId="127" xfId="0" applyFill="1" applyBorder="1" applyAlignment="1">
      <alignment vertical="center"/>
    </xf>
    <xf numFmtId="0" fontId="1" fillId="97" borderId="127" xfId="0" applyFont="1" applyFill="1" applyBorder="1" applyAlignment="1">
      <alignment vertical="center"/>
    </xf>
    <xf numFmtId="0" fontId="0" fillId="97" borderId="127" xfId="0" applyFill="1" applyBorder="1" applyAlignment="1">
      <alignment vertical="center" wrapText="1"/>
    </xf>
    <xf numFmtId="0" fontId="1" fillId="97" borderId="127" xfId="0" applyFont="1" applyFill="1" applyBorder="1" applyAlignment="1">
      <alignment vertical="center" wrapText="1"/>
    </xf>
    <xf numFmtId="9" fontId="1" fillId="97" borderId="127" xfId="2" applyFont="1" applyFill="1" applyBorder="1" applyAlignment="1">
      <alignment vertical="center" wrapText="1"/>
    </xf>
    <xf numFmtId="0" fontId="1" fillId="97" borderId="0" xfId="0" applyFont="1" applyFill="1" applyAlignment="1">
      <alignment vertical="center" wrapText="1"/>
    </xf>
    <xf numFmtId="0" fontId="0" fillId="0" borderId="127" xfId="0" applyBorder="1" applyAlignment="1">
      <alignment horizontal="center" vertical="center"/>
    </xf>
    <xf numFmtId="10" fontId="0" fillId="0" borderId="127" xfId="2" applyNumberFormat="1" applyFont="1" applyBorder="1"/>
    <xf numFmtId="1" fontId="0" fillId="0" borderId="127" xfId="0" applyNumberFormat="1" applyBorder="1"/>
    <xf numFmtId="0" fontId="1" fillId="0" borderId="127" xfId="0" applyFont="1" applyBorder="1"/>
    <xf numFmtId="0" fontId="0" fillId="0" borderId="127" xfId="0" pivotButton="1" applyBorder="1"/>
    <xf numFmtId="0" fontId="0" fillId="0" borderId="127" xfId="0" applyBorder="1" applyAlignment="1">
      <alignment horizontal="left"/>
    </xf>
    <xf numFmtId="0" fontId="0" fillId="0" borderId="127" xfId="0" applyBorder="1" applyAlignment="1">
      <alignment horizontal="center"/>
    </xf>
    <xf numFmtId="0" fontId="0" fillId="4" borderId="127" xfId="0" applyFill="1" applyBorder="1"/>
    <xf numFmtId="0" fontId="0" fillId="97" borderId="127" xfId="0" applyFill="1" applyBorder="1"/>
    <xf numFmtId="0" fontId="0" fillId="98" borderId="127" xfId="0" applyFill="1" applyBorder="1"/>
    <xf numFmtId="0" fontId="2" fillId="0" borderId="127" xfId="0" applyFont="1" applyBorder="1" applyAlignment="1">
      <alignment horizontal="left" vertical="center"/>
    </xf>
    <xf numFmtId="0" fontId="2" fillId="0" borderId="1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27" xfId="0" applyBorder="1" applyAlignment="1">
      <alignment horizontal="center"/>
    </xf>
    <xf numFmtId="0" fontId="0" fillId="4" borderId="127" xfId="0" applyFill="1" applyBorder="1" applyAlignment="1">
      <alignment horizontal="left"/>
    </xf>
    <xf numFmtId="0" fontId="0" fillId="0" borderId="138" xfId="0" applyBorder="1"/>
    <xf numFmtId="2" fontId="0" fillId="0" borderId="138" xfId="0" applyNumberFormat="1" applyBorder="1"/>
    <xf numFmtId="0" fontId="1" fillId="0" borderId="138" xfId="0" applyFont="1" applyBorder="1" applyAlignment="1">
      <alignment horizontal="center"/>
    </xf>
    <xf numFmtId="0" fontId="1" fillId="0" borderId="138" xfId="0" applyFont="1" applyBorder="1" applyAlignment="1">
      <alignment horizontal="center"/>
    </xf>
    <xf numFmtId="0" fontId="0" fillId="0" borderId="134" xfId="0" applyBorder="1"/>
    <xf numFmtId="0" fontId="85" fillId="0" borderId="127" xfId="0" applyFont="1" applyBorder="1" applyAlignment="1">
      <alignment horizontal="center" vertical="center"/>
    </xf>
    <xf numFmtId="0" fontId="85" fillId="0" borderId="127" xfId="0" applyFont="1" applyBorder="1" applyAlignment="1">
      <alignment horizontal="left" vertical="center"/>
    </xf>
    <xf numFmtId="1" fontId="148" fillId="0" borderId="127" xfId="0" applyNumberFormat="1" applyFont="1" applyBorder="1" applyAlignment="1">
      <alignment horizontal="center" vertical="center"/>
    </xf>
    <xf numFmtId="0" fontId="148" fillId="0" borderId="127" xfId="0" applyFont="1" applyBorder="1" applyAlignment="1">
      <alignment horizontal="left" vertical="center" wrapText="1"/>
    </xf>
    <xf numFmtId="0" fontId="148" fillId="0" borderId="127" xfId="0" applyFont="1" applyBorder="1" applyAlignment="1">
      <alignment horizontal="left" wrapText="1"/>
    </xf>
    <xf numFmtId="0" fontId="148" fillId="0" borderId="127" xfId="0" applyFont="1" applyBorder="1" applyAlignment="1">
      <alignment horizontal="right"/>
    </xf>
    <xf numFmtId="0" fontId="148" fillId="0" borderId="127" xfId="0" applyFont="1" applyBorder="1" applyAlignment="1">
      <alignment wrapText="1"/>
    </xf>
    <xf numFmtId="0" fontId="0" fillId="0" borderId="127" xfId="0" applyBorder="1" applyAlignment="1">
      <alignment horizontal="left" vertical="center" wrapText="1"/>
    </xf>
    <xf numFmtId="0" fontId="0" fillId="0" borderId="127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97" borderId="127" xfId="0" applyFill="1" applyBorder="1" applyAlignment="1">
      <alignment wrapText="1"/>
    </xf>
    <xf numFmtId="0" fontId="1" fillId="97" borderId="127" xfId="0" applyFont="1" applyFill="1" applyBorder="1" applyAlignment="1">
      <alignment wrapText="1"/>
    </xf>
    <xf numFmtId="9" fontId="0" fillId="0" borderId="127" xfId="2" applyFont="1" applyBorder="1"/>
    <xf numFmtId="197" fontId="0" fillId="0" borderId="127" xfId="0" applyNumberFormat="1" applyBorder="1"/>
    <xf numFmtId="9" fontId="0" fillId="0" borderId="127" xfId="2" applyFont="1" applyFill="1" applyBorder="1"/>
    <xf numFmtId="0" fontId="0" fillId="97" borderId="127" xfId="0" applyFill="1" applyBorder="1" applyAlignment="1">
      <alignment horizontal="left" vertical="center"/>
    </xf>
    <xf numFmtId="0" fontId="0" fillId="97" borderId="127" xfId="0" applyFill="1" applyBorder="1" applyAlignment="1">
      <alignment horizontal="center" vertical="center"/>
    </xf>
    <xf numFmtId="0" fontId="0" fillId="97" borderId="127" xfId="0" applyFill="1" applyBorder="1" applyAlignment="1">
      <alignment horizontal="left" vertical="center" wrapText="1"/>
    </xf>
    <xf numFmtId="0" fontId="0" fillId="97" borderId="127" xfId="0" applyFill="1" applyBorder="1" applyAlignment="1">
      <alignment horizontal="center" vertical="center" wrapText="1"/>
    </xf>
    <xf numFmtId="216" fontId="0" fillId="97" borderId="127" xfId="1" applyNumberFormat="1" applyFont="1" applyFill="1" applyBorder="1" applyAlignment="1">
      <alignment horizontal="center" vertical="center" wrapText="1"/>
    </xf>
    <xf numFmtId="0" fontId="0" fillId="0" borderId="127" xfId="0" applyBorder="1" applyAlignment="1">
      <alignment horizontal="center" wrapText="1"/>
    </xf>
    <xf numFmtId="216" fontId="0" fillId="0" borderId="127" xfId="1" applyNumberFormat="1" applyFont="1" applyBorder="1" applyAlignment="1">
      <alignment horizontal="center" vertical="center"/>
    </xf>
    <xf numFmtId="216" fontId="0" fillId="0" borderId="127" xfId="1" applyNumberFormat="1" applyFont="1" applyBorder="1" applyAlignment="1">
      <alignment vertical="center"/>
    </xf>
    <xf numFmtId="164" fontId="0" fillId="0" borderId="127" xfId="0" applyNumberFormat="1" applyBorder="1"/>
    <xf numFmtId="216" fontId="0" fillId="0" borderId="127" xfId="0" applyNumberFormat="1" applyBorder="1"/>
    <xf numFmtId="0" fontId="1" fillId="0" borderId="0" xfId="0" applyFont="1" applyAlignment="1">
      <alignment horizontal="left"/>
    </xf>
    <xf numFmtId="164" fontId="1" fillId="0" borderId="0" xfId="0" applyNumberFormat="1" applyFont="1"/>
    <xf numFmtId="216" fontId="0" fillId="0" borderId="127" xfId="1" applyNumberFormat="1" applyFont="1" applyFill="1" applyBorder="1" applyAlignment="1">
      <alignment horizontal="center" vertical="center"/>
    </xf>
    <xf numFmtId="216" fontId="0" fillId="0" borderId="127" xfId="1" applyNumberFormat="1" applyFont="1" applyFill="1" applyBorder="1" applyAlignment="1">
      <alignment vertical="center"/>
    </xf>
  </cellXfs>
  <cellStyles count="915">
    <cellStyle name="%" xfId="3" xr:uid="{00000000-0005-0000-0000-000031000000}"/>
    <cellStyle name="??&amp;_x0012_?&amp;_x000b_?_x0008_*_x0007_?_x0007__x0001__x0001_" xfId="4" xr:uid="{00000000-0005-0000-0000-000032000000}"/>
    <cellStyle name="_~6820144" xfId="5" xr:uid="{00000000-0005-0000-0000-000033000000}"/>
    <cellStyle name="_~7690850" xfId="6" xr:uid="{00000000-0005-0000-0000-000034000000}"/>
    <cellStyle name="_~8688173" xfId="7" xr:uid="{00000000-0005-0000-0000-000035000000}"/>
    <cellStyle name="_~8927394" xfId="8" xr:uid="{00000000-0005-0000-0000-000036000000}"/>
    <cellStyle name="_~9162171" xfId="9" xr:uid="{00000000-0005-0000-0000-000037000000}"/>
    <cellStyle name="_~9842362" xfId="10" xr:uid="{00000000-0005-0000-0000-000038000000}"/>
    <cellStyle name="_~9861183" xfId="11" xr:uid="{00000000-0005-0000-0000-000039000000}"/>
    <cellStyle name="_090327 Dhankuni Kolkatta Capex-IT" xfId="12" xr:uid="{00000000-0005-0000-0000-00003A000000}"/>
    <cellStyle name="_090508 IT Ghaziabad" xfId="13" xr:uid="{00000000-0005-0000-0000-00003B000000}"/>
    <cellStyle name="_100312 IT Capex Sheet" xfId="14" xr:uid="{00000000-0005-0000-0000-00003C000000}"/>
    <cellStyle name="_100507 Capex Format IT GM Final minus Pune1 Satish " xfId="15" xr:uid="{00000000-0005-0000-0000-00003D000000}"/>
    <cellStyle name="_ABP_Locationwise_0809" xfId="16" xr:uid="{00000000-0005-0000-0000-00003E000000}"/>
    <cellStyle name="_Allocation" xfId="17" xr:uid="{00000000-0005-0000-0000-00003F000000}"/>
    <cellStyle name="_Annexure 1 - Fin performance" xfId="18" xr:uid="{00000000-0005-0000-0000-000040000000}"/>
    <cellStyle name="_April 2007 Invoice" xfId="19" xr:uid="{00000000-0005-0000-0000-000041000000}"/>
    <cellStyle name="_April 2007 Invoice_Cost &amp; Revenue file FLSL" xfId="20" xr:uid="{00000000-0005-0000-0000-000042000000}"/>
    <cellStyle name="_April 2007 Invoice_Cost &amp; Revenue file FLSL_05 Profitability by LOB Aug 2012" xfId="21" xr:uid="{00000000-0005-0000-0000-000043000000}"/>
    <cellStyle name="_April 2007 Invoice_Cost &amp; Revenue file FLSL_1 Profitability by LOB Apr 2011" xfId="22" xr:uid="{00000000-0005-0000-0000-000044000000}"/>
    <cellStyle name="_April 2007 Invoice_Cost &amp; Revenue file FLSL_3 Profitability by LOB Jun 2011" xfId="23" xr:uid="{00000000-0005-0000-0000-000045000000}"/>
    <cellStyle name="_April 2007 Invoice_Cost &amp; Revenue file FLSL_4 Profitability by LOB Apr-Dec 2010" xfId="24" xr:uid="{00000000-0005-0000-0000-000046000000}"/>
    <cellStyle name="_April 2007 Invoice_Cost &amp; Revenue file FLSL_4 Profitability by LOB July 2011" xfId="25" xr:uid="{00000000-0005-0000-0000-000047000000}"/>
    <cellStyle name="_April 2007 Invoice_Cost &amp; Revenue file FLSL_5 Profitability by LOB Apr-Jan 2011" xfId="26" xr:uid="{00000000-0005-0000-0000-000048000000}"/>
    <cellStyle name="_April 2007 Invoice_Cost &amp; Revenue file FLSL_5 Profitability by LOB Aug 2011" xfId="27" xr:uid="{00000000-0005-0000-0000-000049000000}"/>
    <cellStyle name="_April 2007 Invoice_Cost &amp; Revenue file FLSL_5 Profitability by LOB Sep 2011" xfId="28" xr:uid="{00000000-0005-0000-0000-00004A000000}"/>
    <cellStyle name="_April 2007 Invoice_Cost &amp; Revenue file FLSL_6 Profitability by LOB Apr-Feb 2011" xfId="29" xr:uid="{00000000-0005-0000-0000-00004B000000}"/>
    <cellStyle name="_April 2007 Invoice_Cost &amp; Revenue file FLSL_7 Profitability by LOB Apr-Mar 2011" xfId="30" xr:uid="{00000000-0005-0000-0000-00004C000000}"/>
    <cellStyle name="_April 2007 Invoice_Cost &amp; Revenue file FLSL_7 Profitability by LOB Oct 2011" xfId="31" xr:uid="{00000000-0005-0000-0000-00004D000000}"/>
    <cellStyle name="_April 2007 Invoice_Cost &amp; Revenue file FLSL_8 Profitability by LOB Nov 2011" xfId="32" xr:uid="{00000000-0005-0000-0000-00004E000000}"/>
    <cellStyle name="_April 2007 Invoice_Cost &amp; Revenue file FLSL_8 Profitability by LOB Nov 2011-Revised" xfId="33" xr:uid="{00000000-0005-0000-0000-00004F000000}"/>
    <cellStyle name="_April 2007 Invoice_Cost &amp; Revenue file FLSL_Book1" xfId="34" xr:uid="{00000000-0005-0000-0000-000050000000}"/>
    <cellStyle name="_April 2007 Invoice_HSRIL - annexures" xfId="35" xr:uid="{00000000-0005-0000-0000-000051000000}"/>
    <cellStyle name="_April 2007 Invoice_HSRIL - annexures_North Zone - APR 2009" xfId="36" xr:uid="{00000000-0005-0000-0000-000052000000}"/>
    <cellStyle name="_April 2007 Invoice_HSRIL - annexures_North Zone - Dec 2008" xfId="37" xr:uid="{00000000-0005-0000-0000-000053000000}"/>
    <cellStyle name="_April 2007 Invoice_HSRIL - annexures_North Zone - FEB 2009" xfId="38" xr:uid="{00000000-0005-0000-0000-000054000000}"/>
    <cellStyle name="_April 2007 Invoice_HSRIL - annexures_North Zone - Jan 2009" xfId="39" xr:uid="{00000000-0005-0000-0000-000055000000}"/>
    <cellStyle name="_April 2007 Invoice_HSRIL - annexures_North Zone - MAR 2009" xfId="40" xr:uid="{00000000-0005-0000-0000-000056000000}"/>
    <cellStyle name="_April 2007 Invoice_MOnthly Revenue cost formatwise" xfId="41" xr:uid="{00000000-0005-0000-0000-000057000000}"/>
    <cellStyle name="_April 2007 Invoice_MOnthly Revenue cost formatwise_05 Profitability by LOB Aug 2012" xfId="42" xr:uid="{00000000-0005-0000-0000-000058000000}"/>
    <cellStyle name="_April 2007 Invoice_MOnthly Revenue cost formatwise_1 Profitability by LOB Apr 2011" xfId="43" xr:uid="{00000000-0005-0000-0000-000059000000}"/>
    <cellStyle name="_April 2007 Invoice_MOnthly Revenue cost formatwise_3 Profitability by LOB Jun 2011" xfId="44" xr:uid="{00000000-0005-0000-0000-00005A000000}"/>
    <cellStyle name="_April 2007 Invoice_MOnthly Revenue cost formatwise_4 Profitability by LOB Apr-Dec 2010" xfId="45" xr:uid="{00000000-0005-0000-0000-00005B000000}"/>
    <cellStyle name="_April 2007 Invoice_MOnthly Revenue cost formatwise_4 Profitability by LOB July 2011" xfId="46" xr:uid="{00000000-0005-0000-0000-00005C000000}"/>
    <cellStyle name="_April 2007 Invoice_MOnthly Revenue cost formatwise_5 Profitability by LOB Apr-Jan 2011" xfId="47" xr:uid="{00000000-0005-0000-0000-00005D000000}"/>
    <cellStyle name="_April 2007 Invoice_MOnthly Revenue cost formatwise_5 Profitability by LOB Aug 2011" xfId="48" xr:uid="{00000000-0005-0000-0000-00005E000000}"/>
    <cellStyle name="_April 2007 Invoice_MOnthly Revenue cost formatwise_5 Profitability by LOB Sep 2011" xfId="49" xr:uid="{00000000-0005-0000-0000-00005F000000}"/>
    <cellStyle name="_April 2007 Invoice_MOnthly Revenue cost formatwise_6 Profitability by LOB Apr-Feb 2011" xfId="50" xr:uid="{00000000-0005-0000-0000-000060000000}"/>
    <cellStyle name="_April 2007 Invoice_MOnthly Revenue cost formatwise_7 Profitability by LOB Apr-Mar 2011" xfId="51" xr:uid="{00000000-0005-0000-0000-000061000000}"/>
    <cellStyle name="_April 2007 Invoice_MOnthly Revenue cost formatwise_7 Profitability by LOB Oct 2011" xfId="52" xr:uid="{00000000-0005-0000-0000-000062000000}"/>
    <cellStyle name="_April 2007 Invoice_MOnthly Revenue cost formatwise_8 Profitability by LOB Nov 2011" xfId="53" xr:uid="{00000000-0005-0000-0000-000063000000}"/>
    <cellStyle name="_April 2007 Invoice_MOnthly Revenue cost formatwise_8 Profitability by LOB Nov 2011-Revised" xfId="54" xr:uid="{00000000-0005-0000-0000-000064000000}"/>
    <cellStyle name="_April 2007 Invoice_MOnthly Revenue cost formatwise_Book1" xfId="55" xr:uid="{00000000-0005-0000-0000-000065000000}"/>
    <cellStyle name="_April 2007 Invoice_North Zone - APR 2009" xfId="56" xr:uid="{00000000-0005-0000-0000-000066000000}"/>
    <cellStyle name="_April 2007 Invoice_North Zone - Dec 2008" xfId="57" xr:uid="{00000000-0005-0000-0000-000067000000}"/>
    <cellStyle name="_April 2007 Invoice_North Zone - FEB 2009" xfId="58" xr:uid="{00000000-0005-0000-0000-000068000000}"/>
    <cellStyle name="_April 2007 Invoice_North Zone - Jan 2009" xfId="59" xr:uid="{00000000-0005-0000-0000-000069000000}"/>
    <cellStyle name="_April 2007 Invoice_North Zone - MAR 2009" xfId="60" xr:uid="{00000000-0005-0000-0000-00006A000000}"/>
    <cellStyle name="_Area allocation for April 08" xfId="61" xr:uid="{00000000-0005-0000-0000-00006B000000}"/>
    <cellStyle name="_Area allocation for April 08_North Zone - APR 2009" xfId="62" xr:uid="{00000000-0005-0000-0000-00006C000000}"/>
    <cellStyle name="_Area allocation for April 08_North Zone - Dec 2008" xfId="63" xr:uid="{00000000-0005-0000-0000-00006D000000}"/>
    <cellStyle name="_Area allocation for April 08_North Zone - FEB 2009" xfId="64" xr:uid="{00000000-0005-0000-0000-00006E000000}"/>
    <cellStyle name="_Area allocation for April 08_North Zone - Jan 2009" xfId="65" xr:uid="{00000000-0005-0000-0000-00006F000000}"/>
    <cellStyle name="_Area allocation for April 08_North Zone - MAR 2009" xfId="66" xr:uid="{00000000-0005-0000-0000-000070000000}"/>
    <cellStyle name="_Area allocation for May 08 summ" xfId="67" xr:uid="{00000000-0005-0000-0000-000071000000}"/>
    <cellStyle name="_Area allocation for May 08 summ (1)" xfId="68" xr:uid="{00000000-0005-0000-0000-000072000000}"/>
    <cellStyle name="_Area allocation for May 08 summ (1)_North Zone - APR 2009" xfId="69" xr:uid="{00000000-0005-0000-0000-000073000000}"/>
    <cellStyle name="_Area allocation for May 08 summ (1)_North Zone - MAR 2009" xfId="70" xr:uid="{00000000-0005-0000-0000-000074000000}"/>
    <cellStyle name="_Area allocation for May 08 summ_North Zone - APR 2009" xfId="71" xr:uid="{00000000-0005-0000-0000-000075000000}"/>
    <cellStyle name="_Area allocation for May 08 summ_North Zone - MAR 2009" xfId="72" xr:uid="{00000000-0005-0000-0000-000076000000}"/>
    <cellStyle name="_Balance Sheet 30th June'2007-4" xfId="73" xr:uid="{00000000-0005-0000-0000-000077000000}"/>
    <cellStyle name="_BB MIS AS OF 290904 VERSION 5" xfId="74" xr:uid="{00000000-0005-0000-0000-000078000000}"/>
    <cellStyle name="_Bhiwandi Space Allocation (1)" xfId="75" xr:uid="{00000000-0005-0000-0000-000079000000}"/>
    <cellStyle name="_Bhiwandi Space Allocation (1)_North Zone - APR 2009" xfId="76" xr:uid="{00000000-0005-0000-0000-00007A000000}"/>
    <cellStyle name="_Bhiwandi Space Allocation (1)_North Zone - MAR 2009" xfId="77" xr:uid="{00000000-0005-0000-0000-00007B000000}"/>
    <cellStyle name="_Bhiwandi Total" xfId="78" xr:uid="{00000000-0005-0000-0000-00007C000000}"/>
    <cellStyle name="_Bhiwandi Total_North Zone - APR 2009" xfId="79" xr:uid="{00000000-0005-0000-0000-00007D000000}"/>
    <cellStyle name="_Bhiwandi Total_North Zone - MAR 2009" xfId="80" xr:uid="{00000000-0005-0000-0000-00007E000000}"/>
    <cellStyle name="_Book1" xfId="81" xr:uid="{00000000-0005-0000-0000-00007F000000}"/>
    <cellStyle name="_Book2" xfId="82" xr:uid="{00000000-0005-0000-0000-000080000000}"/>
    <cellStyle name="_Book4" xfId="83" xr:uid="{00000000-0005-0000-0000-000081000000}"/>
    <cellStyle name="_Broadband Circlewise Annualised Revenue Report without NHQ as on 310804" xfId="84" xr:uid="{00000000-0005-0000-0000-000082000000}"/>
    <cellStyle name="_Broadband Circlewise August MTD without NHQ as on 310804" xfId="85" xr:uid="{00000000-0005-0000-0000-000083000000}"/>
    <cellStyle name="_Broadband Circlewise Oct MTD without NHQ as on 081004" xfId="86" xr:uid="{00000000-0005-0000-0000-000084000000}"/>
    <cellStyle name="_Broadband Circlewise Oct MTD without NHQ as on 151004" xfId="87" xr:uid="{00000000-0005-0000-0000-000085000000}"/>
    <cellStyle name="_Broadband circlewise revenue(YTD) without NHQ as on 081004" xfId="88" xr:uid="{00000000-0005-0000-0000-000086000000}"/>
    <cellStyle name="_Broadband circlewise revenue(YTD) without NHQ as on 100904" xfId="89" xr:uid="{00000000-0005-0000-0000-000087000000}"/>
    <cellStyle name="_Broadband circlewise revenue(YTD) without NHQ as on 150904" xfId="90" xr:uid="{00000000-0005-0000-0000-000088000000}"/>
    <cellStyle name="_Broadband circlewise revenue(YTD) without NHQ as on 151004" xfId="91" xr:uid="{00000000-0005-0000-0000-000089000000}"/>
    <cellStyle name="_Broadband circlewise revenue(YTD) without NHQ as on 310804" xfId="92" xr:uid="{00000000-0005-0000-0000-00008A000000}"/>
    <cellStyle name="_Broadband Circlewise Sept MTD without NHQ as on 100904" xfId="93" xr:uid="{00000000-0005-0000-0000-00008B000000}"/>
    <cellStyle name="_Broadband Circlewise Sept MTD without NHQ as on 150904" xfId="94" xr:uid="{00000000-0005-0000-0000-00008C000000}"/>
    <cellStyle name="_BS  PL - Proposal for Capex Funding 61207" xfId="95" xr:uid="{00000000-0005-0000-0000-00008D000000}"/>
    <cellStyle name="_BudgetVs. Actual 231204-1" xfId="96" xr:uid="{00000000-0005-0000-0000-00008E000000}"/>
    <cellStyle name="_BudgetVs. Actual 301204-1" xfId="97" xr:uid="{00000000-0005-0000-0000-00008F000000}"/>
    <cellStyle name="_Businee Plan 2009-14 Ver 7 (External Investor)" xfId="98" xr:uid="{00000000-0005-0000-0000-000090000000}"/>
    <cellStyle name="_Business Plan 2009-14 Ver 7 (USD)" xfId="99" xr:uid="{00000000-0005-0000-0000-000091000000}"/>
    <cellStyle name="_C_Flow_Dec06" xfId="100" xr:uid="{00000000-0005-0000-0000-000092000000}"/>
    <cellStyle name="_C_Flow_Sent to Auditors _20022007_Summary 1" xfId="101" xr:uid="{00000000-0005-0000-0000-000093000000}"/>
    <cellStyle name="_Capex Plan" xfId="102" xr:uid="{00000000-0005-0000-0000-000094000000}"/>
    <cellStyle name="_CashflowRCTLRCSLRSSL" xfId="103" xr:uid="{00000000-0005-0000-0000-000095000000}"/>
    <cellStyle name="_Categorywise Bids Pending_December 29, 2004" xfId="104" xr:uid="{00000000-0005-0000-0000-000096000000}"/>
    <cellStyle name="_China Finished Goods' 3PL Services - 2008" xfId="105" xr:uid="{00000000-0005-0000-0000-000097000000}"/>
    <cellStyle name="_Circlewise Bids Pending_ 29 December 2004" xfId="106" xr:uid="{00000000-0005-0000-0000-000098000000}"/>
    <cellStyle name="_Circlewise MTD and YTD EBITDA as on 04.11.2004" xfId="107" xr:uid="{00000000-0005-0000-0000-000099000000}"/>
    <cellStyle name="_Circlewise MTD and YTD EBITDA as on 06.01.2005" xfId="108" xr:uid="{00000000-0005-0000-0000-00009A000000}"/>
    <cellStyle name="_Circlewise MTD and YTD EBITDA as on 13.01.2005" xfId="109" xr:uid="{00000000-0005-0000-0000-00009B000000}"/>
    <cellStyle name="_Circlewise MTD and YTD EBITDA as on 14.10.04" xfId="110" xr:uid="{00000000-0005-0000-0000-00009C000000}"/>
    <cellStyle name="_Circlewise MTD and YTD EBITDA as on 18.11.2004-new" xfId="111" xr:uid="{00000000-0005-0000-0000-00009D000000}"/>
    <cellStyle name="_Circlewise MTD and YTD EBITDA as on 20.01.2005" xfId="112" xr:uid="{00000000-0005-0000-0000-00009E000000}"/>
    <cellStyle name="_Circlewise MTD and YTD EBITDA as on 25.11.2004-ver 1.0" xfId="113" xr:uid="{00000000-0005-0000-0000-00009F000000}"/>
    <cellStyle name="_Circlewise MTD and YTD EBITDA as on 28.10.04" xfId="114" xr:uid="{00000000-0005-0000-0000-0000A0000000}"/>
    <cellStyle name="_Circlewise MTD and YTD EBITDA as on 29.12.2004ver1" xfId="115" xr:uid="{00000000-0005-0000-0000-0000A1000000}"/>
    <cellStyle name="_Circlewise MTD and YTD EBITDA as on 30.11.2004-version 1.0" xfId="116" xr:uid="{00000000-0005-0000-0000-0000A2000000}"/>
    <cellStyle name="_Circlewise mtd ytd 311204" xfId="117" xr:uid="{00000000-0005-0000-0000-0000A3000000}"/>
    <cellStyle name="_Circlewise Orders Pending_ 06 December 2004" xfId="118" xr:uid="{00000000-0005-0000-0000-0000A4000000}"/>
    <cellStyle name="_CMA- Green Brilliance- 11.12.07" xfId="119" xr:uid="{00000000-0005-0000-0000-0000A5000000}"/>
    <cellStyle name="_CMA- I CARE" xfId="120" xr:uid="{00000000-0005-0000-0000-0000A6000000}"/>
    <cellStyle name="_coll status" xfId="121" xr:uid="{00000000-0005-0000-0000-0000A7000000}"/>
    <cellStyle name="_collection status" xfId="122" xr:uid="{00000000-0005-0000-0000-0000A8000000}"/>
    <cellStyle name="_Consolidated FA Schedule" xfId="123" xr:uid="{00000000-0005-0000-0000-0000A9000000}"/>
    <cellStyle name="_Consolidated FA Schedule_Notes to accounts Excel Part 2007" xfId="124" xr:uid="{00000000-0005-0000-0000-0000AA000000}"/>
    <cellStyle name="_Consolidated FA Schedule_Part IV" xfId="125" xr:uid="{00000000-0005-0000-0000-0000AB000000}"/>
    <cellStyle name="_Copy of Summary billing" xfId="126" xr:uid="{00000000-0005-0000-0000-0000AC000000}"/>
    <cellStyle name="_Copy of Summary billing_North Zone - APR 2009" xfId="127" xr:uid="{00000000-0005-0000-0000-0000AD000000}"/>
    <cellStyle name="_Copy of Summary billing_North Zone - Dec 2008" xfId="128" xr:uid="{00000000-0005-0000-0000-0000AE000000}"/>
    <cellStyle name="_Copy of Summary billing_North Zone - FEB 2009" xfId="129" xr:uid="{00000000-0005-0000-0000-0000AF000000}"/>
    <cellStyle name="_Copy of Summary billing_North Zone - Jan 2009" xfId="130" xr:uid="{00000000-0005-0000-0000-0000B0000000}"/>
    <cellStyle name="_Copy of Summary billing_North Zone - MAR 2009" xfId="131" xr:uid="{00000000-0005-0000-0000-0000B1000000}"/>
    <cellStyle name="_Debtors 25.11.2004" xfId="132" xr:uid="{00000000-0005-0000-0000-0000B2000000}"/>
    <cellStyle name="_Debtors1612" xfId="133" xr:uid="{00000000-0005-0000-0000-0000B3000000}"/>
    <cellStyle name="_DEC'08 DEBTORS OS" xfId="134" xr:uid="{00000000-0005-0000-0000-0000B4000000}"/>
    <cellStyle name="_Deferred Tax" xfId="135" xr:uid="{00000000-0005-0000-0000-0000B5000000}"/>
    <cellStyle name="_details RIC &amp; RCIL Consolidated financials" xfId="136" xr:uid="{00000000-0005-0000-0000-0000B6000000}"/>
    <cellStyle name="_emp (4)" xfId="137" xr:uid="{00000000-0005-0000-0000-0000B7000000}"/>
    <cellStyle name="_Fixed Assets Register-2007-08-Ver 3 (2)" xfId="138" xr:uid="{00000000-0005-0000-0000-0000B8000000}"/>
    <cellStyle name="_FOR RS" xfId="139" xr:uid="{00000000-0005-0000-0000-0000B9000000}"/>
    <cellStyle name="_Ghaziabad" xfId="140" xr:uid="{00000000-0005-0000-0000-0000BA000000}"/>
    <cellStyle name="_hari" xfId="141" xr:uid="{00000000-0005-0000-0000-0000BB000000}"/>
    <cellStyle name="_Index" xfId="142" xr:uid="{00000000-0005-0000-0000-0000BC000000}"/>
    <cellStyle name="_Infogroup BS-Format sent by VS 101204 14 PM   Net  A3 Formatting    2" xfId="143" xr:uid="{00000000-0005-0000-0000-0000BD000000}"/>
    <cellStyle name="_Infogroup BS-Format sent by VS November 1" xfId="144" xr:uid="{00000000-0005-0000-0000-0000BE000000}"/>
    <cellStyle name="_KIACL - FA 06-07 final (4.7.07)" xfId="145" xr:uid="{00000000-0005-0000-0000-0000BF000000}"/>
    <cellStyle name="_Levis Warehousing Proposal ver 5 Dt 24-12-08" xfId="146" xr:uid="{00000000-0005-0000-0000-0000C0000000}"/>
    <cellStyle name="_List of Orders Pending_December 06, 2004" xfId="147" xr:uid="{00000000-0005-0000-0000-0000C1000000}"/>
    <cellStyle name="_Manpower Cost (1)" xfId="148" xr:uid="{00000000-0005-0000-0000-0000C2000000}"/>
    <cellStyle name="_Marks &amp; Spencer cost model_0802015 final" xfId="149" xr:uid="{00000000-0005-0000-0000-0000C3000000}"/>
    <cellStyle name="_mentainance" xfId="150" xr:uid="{00000000-0005-0000-0000-0000C4000000}"/>
    <cellStyle name="_mentainance_North Zone - APR 2009" xfId="151" xr:uid="{00000000-0005-0000-0000-0000C5000000}"/>
    <cellStyle name="_mentainance_North Zone - Dec 2008" xfId="152" xr:uid="{00000000-0005-0000-0000-0000C6000000}"/>
    <cellStyle name="_mentainance_North Zone - FEB 2009" xfId="153" xr:uid="{00000000-0005-0000-0000-0000C7000000}"/>
    <cellStyle name="_mentainance_North Zone - Jan 2009" xfId="154" xr:uid="{00000000-0005-0000-0000-0000C8000000}"/>
    <cellStyle name="_mentainance_North Zone - MAR 2009" xfId="155" xr:uid="{00000000-0005-0000-0000-0000C9000000}"/>
    <cellStyle name="_mis as on 100904" xfId="156" xr:uid="{00000000-0005-0000-0000-0000CA000000}"/>
    <cellStyle name="_MIS as on 161204" xfId="157" xr:uid="{00000000-0005-0000-0000-0000CB000000}"/>
    <cellStyle name="_MIS as on 270804 as per HS" xfId="158" xr:uid="{00000000-0005-0000-0000-0000CC000000}"/>
    <cellStyle name="_MIS as on 290904" xfId="159" xr:uid="{00000000-0005-0000-0000-0000CD000000}"/>
    <cellStyle name="_MIS as on 8th Oct" xfId="160" xr:uid="{00000000-0005-0000-0000-0000CE000000}"/>
    <cellStyle name="_MIS for JuLY' 08 - West - provision" xfId="161" xr:uid="{00000000-0005-0000-0000-0000CF000000}"/>
    <cellStyle name="_MIS for JuLY' 08 - West - provision_North Zone - APR 2009" xfId="162" xr:uid="{00000000-0005-0000-0000-0000D0000000}"/>
    <cellStyle name="_MIS for JuLY' 08 - West - provision_North Zone - Dec 2008" xfId="163" xr:uid="{00000000-0005-0000-0000-0000D1000000}"/>
    <cellStyle name="_MIS for JuLY' 08 - West - provision_North Zone - FEB 2009" xfId="164" xr:uid="{00000000-0005-0000-0000-0000D2000000}"/>
    <cellStyle name="_MIS for JuLY' 08 - West - provision_North Zone - Jan 2009" xfId="165" xr:uid="{00000000-0005-0000-0000-0000D3000000}"/>
    <cellStyle name="_MIS for JuLY' 08 - West - provision_North Zone - MAR 2009" xfId="166" xr:uid="{00000000-0005-0000-0000-0000D4000000}"/>
    <cellStyle name="_MIS for JuLY' 08 - West bhiwandi  - provision final" xfId="167" xr:uid="{00000000-0005-0000-0000-0000D5000000}"/>
    <cellStyle name="_MIS for JuLY' 08 - West bhiwandi  - provision final_North Zone - APR 2009" xfId="168" xr:uid="{00000000-0005-0000-0000-0000D6000000}"/>
    <cellStyle name="_MIS for JuLY' 08 - West bhiwandi  - provision final_North Zone - Dec 2008" xfId="169" xr:uid="{00000000-0005-0000-0000-0000D7000000}"/>
    <cellStyle name="_MIS for JuLY' 08 - West bhiwandi  - provision final_North Zone - FEB 2009" xfId="170" xr:uid="{00000000-0005-0000-0000-0000D8000000}"/>
    <cellStyle name="_MIS for JuLY' 08 - West bhiwandi  - provision final_North Zone - Jan 2009" xfId="171" xr:uid="{00000000-0005-0000-0000-0000D9000000}"/>
    <cellStyle name="_MIS for JuLY' 08 - West bhiwandi  - provision final_North Zone - MAR 2009" xfId="172" xr:uid="{00000000-0005-0000-0000-0000DA000000}"/>
    <cellStyle name="_MIS for June 08 - West" xfId="173" xr:uid="{00000000-0005-0000-0000-0000DB000000}"/>
    <cellStyle name="_MIS for June 08 - West_North Zone - APR 2009" xfId="174" xr:uid="{00000000-0005-0000-0000-0000DC000000}"/>
    <cellStyle name="_MIS for June 08 - West_North Zone - Dec 2008" xfId="175" xr:uid="{00000000-0005-0000-0000-0000DD000000}"/>
    <cellStyle name="_MIS for June 08 - West_North Zone - FEB 2009" xfId="176" xr:uid="{00000000-0005-0000-0000-0000DE000000}"/>
    <cellStyle name="_MIS for June 08 - West_North Zone - Jan 2009" xfId="177" xr:uid="{00000000-0005-0000-0000-0000DF000000}"/>
    <cellStyle name="_MIS for June 08 - West_North Zone - MAR 2009" xfId="178" xr:uid="{00000000-0005-0000-0000-0000E0000000}"/>
    <cellStyle name="_mis for may  2008" xfId="179" xr:uid="{00000000-0005-0000-0000-0000E1000000}"/>
    <cellStyle name="_mis for may  2008 (1)" xfId="180" xr:uid="{00000000-0005-0000-0000-0000E2000000}"/>
    <cellStyle name="_MIS for May 08 - West" xfId="181" xr:uid="{00000000-0005-0000-0000-0000E3000000}"/>
    <cellStyle name="_MIS for May 08 - West_North Zone - APR 2009" xfId="182" xr:uid="{00000000-0005-0000-0000-0000E4000000}"/>
    <cellStyle name="_MIS for May 08 - West_North Zone - Dec 2008" xfId="183" xr:uid="{00000000-0005-0000-0000-0000E5000000}"/>
    <cellStyle name="_MIS for May 08 - West_North Zone - FEB 2009" xfId="184" xr:uid="{00000000-0005-0000-0000-0000E6000000}"/>
    <cellStyle name="_MIS for May 08 - West_North Zone - Jan 2009" xfId="185" xr:uid="{00000000-0005-0000-0000-0000E7000000}"/>
    <cellStyle name="_MIS for May 08 - West_North Zone - MAR 2009" xfId="186" xr:uid="{00000000-0005-0000-0000-0000E8000000}"/>
    <cellStyle name="_MIS new format for May.08 - Ahd HSRIL" xfId="187" xr:uid="{00000000-0005-0000-0000-0000E9000000}"/>
    <cellStyle name="_MIS new format for May.08 - Ahd HSRIL_North Zone - APR 2009" xfId="188" xr:uid="{00000000-0005-0000-0000-0000EA000000}"/>
    <cellStyle name="_MIS new format for May.08 - Ahd HSRIL_North Zone - Dec 2008" xfId="189" xr:uid="{00000000-0005-0000-0000-0000EB000000}"/>
    <cellStyle name="_MIS new format for May.08 - Ahd HSRIL_North Zone - FEB 2009" xfId="190" xr:uid="{00000000-0005-0000-0000-0000EC000000}"/>
    <cellStyle name="_MIS new format for May.08 - Ahd HSRIL_North Zone - Jan 2009" xfId="191" xr:uid="{00000000-0005-0000-0000-0000ED000000}"/>
    <cellStyle name="_MIS new format for May.08 - Ahd HSRIL_North Zone - MAR 2009" xfId="192" xr:uid="{00000000-0005-0000-0000-0000EE000000}"/>
    <cellStyle name="_MIS Warehousing Sep-2010 v1" xfId="193" xr:uid="{00000000-0005-0000-0000-0000EF000000}"/>
    <cellStyle name="_MIS_Nov'07" xfId="194" xr:uid="{00000000-0005-0000-0000-0000F0000000}"/>
    <cellStyle name="_mis03.08.2004" xfId="195" xr:uid="{00000000-0005-0000-0000-0000F1000000}"/>
    <cellStyle name="_mis041104" xfId="196" xr:uid="{00000000-0005-0000-0000-0000F2000000}"/>
    <cellStyle name="_mis141004" xfId="197" xr:uid="{00000000-0005-0000-0000-0000F3000000}"/>
    <cellStyle name="_MIS15092004" xfId="198" xr:uid="{00000000-0005-0000-0000-0000F4000000}"/>
    <cellStyle name="_mis181104" xfId="199" xr:uid="{00000000-0005-0000-0000-0000F5000000}"/>
    <cellStyle name="_mis201004" xfId="200" xr:uid="{00000000-0005-0000-0000-0000F6000000}"/>
    <cellStyle name="_mis230904" xfId="201" xr:uid="{00000000-0005-0000-0000-0000F7000000}"/>
    <cellStyle name="_mis281004-1" xfId="202" xr:uid="{00000000-0005-0000-0000-0000F8000000}"/>
    <cellStyle name="_MIS29092004" xfId="203" xr:uid="{00000000-0005-0000-0000-0000F9000000}"/>
    <cellStyle name="_mis301104" xfId="204" xr:uid="{00000000-0005-0000-0000-0000FA000000}"/>
    <cellStyle name="_mis311004" xfId="205" xr:uid="{00000000-0005-0000-0000-0000FB000000}"/>
    <cellStyle name="_MIScollection fromat" xfId="206" xr:uid="{00000000-0005-0000-0000-0000FC000000}"/>
    <cellStyle name="_MIScollection fromat10.9.2004" xfId="207" xr:uid="{00000000-0005-0000-0000-0000FD000000}"/>
    <cellStyle name="_Monthly ABP 100707" xfId="208" xr:uid="{00000000-0005-0000-0000-0000FE000000}"/>
    <cellStyle name="_Monthly ABP 100707_Cost &amp; Revenue file FLSL" xfId="209" xr:uid="{00000000-0005-0000-0000-0000FF000000}"/>
    <cellStyle name="_Monthly ABP 100707_Cost &amp; Revenue file FLSL_05 Profitability by LOB Aug 2012" xfId="210" xr:uid="{00000000-0005-0000-0000-000000010000}"/>
    <cellStyle name="_Monthly ABP 100707_Cost &amp; Revenue file FLSL_1 Profitability by LOB Apr 2011" xfId="211" xr:uid="{00000000-0005-0000-0000-000001010000}"/>
    <cellStyle name="_Monthly ABP 100707_Cost &amp; Revenue file FLSL_3 Profitability by LOB Jun 2011" xfId="212" xr:uid="{00000000-0005-0000-0000-000002010000}"/>
    <cellStyle name="_Monthly ABP 100707_Cost &amp; Revenue file FLSL_4 Profitability by LOB Apr-Dec 2010" xfId="213" xr:uid="{00000000-0005-0000-0000-000003010000}"/>
    <cellStyle name="_Monthly ABP 100707_Cost &amp; Revenue file FLSL_4 Profitability by LOB July 2011" xfId="214" xr:uid="{00000000-0005-0000-0000-000004010000}"/>
    <cellStyle name="_Monthly ABP 100707_Cost &amp; Revenue file FLSL_5 Profitability by LOB Apr-Jan 2011" xfId="215" xr:uid="{00000000-0005-0000-0000-000005010000}"/>
    <cellStyle name="_Monthly ABP 100707_Cost &amp; Revenue file FLSL_5 Profitability by LOB Aug 2011" xfId="216" xr:uid="{00000000-0005-0000-0000-000006010000}"/>
    <cellStyle name="_Monthly ABP 100707_Cost &amp; Revenue file FLSL_5 Profitability by LOB Sep 2011" xfId="217" xr:uid="{00000000-0005-0000-0000-000007010000}"/>
    <cellStyle name="_Monthly ABP 100707_Cost &amp; Revenue file FLSL_6 Profitability by LOB Apr-Feb 2011" xfId="218" xr:uid="{00000000-0005-0000-0000-000008010000}"/>
    <cellStyle name="_Monthly ABP 100707_Cost &amp; Revenue file FLSL_7 Profitability by LOB Apr-Mar 2011" xfId="219" xr:uid="{00000000-0005-0000-0000-000009010000}"/>
    <cellStyle name="_Monthly ABP 100707_Cost &amp; Revenue file FLSL_7 Profitability by LOB Oct 2011" xfId="220" xr:uid="{00000000-0005-0000-0000-00000A010000}"/>
    <cellStyle name="_Monthly ABP 100707_Cost &amp; Revenue file FLSL_8 Profitability by LOB Nov 2011" xfId="221" xr:uid="{00000000-0005-0000-0000-00000B010000}"/>
    <cellStyle name="_Monthly ABP 100707_Cost &amp; Revenue file FLSL_8 Profitability by LOB Nov 2011-Revised" xfId="222" xr:uid="{00000000-0005-0000-0000-00000C010000}"/>
    <cellStyle name="_Monthly ABP 100707_Cost &amp; Revenue file FLSL_Book1" xfId="223" xr:uid="{00000000-0005-0000-0000-00000D010000}"/>
    <cellStyle name="_Monthly ABP 100707_HSRIL - annexures" xfId="224" xr:uid="{00000000-0005-0000-0000-00000E010000}"/>
    <cellStyle name="_Monthly ABP 100707_HSRIL - annexures_North Zone - APR 2009" xfId="225" xr:uid="{00000000-0005-0000-0000-00000F010000}"/>
    <cellStyle name="_Monthly ABP 100707_HSRIL - annexures_North Zone - Dec 2008" xfId="226" xr:uid="{00000000-0005-0000-0000-000010010000}"/>
    <cellStyle name="_Monthly ABP 100707_HSRIL - annexures_North Zone - FEB 2009" xfId="227" xr:uid="{00000000-0005-0000-0000-000011010000}"/>
    <cellStyle name="_Monthly ABP 100707_HSRIL - annexures_North Zone - Jan 2009" xfId="228" xr:uid="{00000000-0005-0000-0000-000012010000}"/>
    <cellStyle name="_Monthly ABP 100707_HSRIL - annexures_North Zone - MAR 2009" xfId="229" xr:uid="{00000000-0005-0000-0000-000013010000}"/>
    <cellStyle name="_Monthly ABP 100707_MOnthly Revenue cost formatwise" xfId="230" xr:uid="{00000000-0005-0000-0000-000014010000}"/>
    <cellStyle name="_Monthly ABP 100707_MOnthly Revenue cost formatwise_05 Profitability by LOB Aug 2012" xfId="231" xr:uid="{00000000-0005-0000-0000-000015010000}"/>
    <cellStyle name="_Monthly ABP 100707_MOnthly Revenue cost formatwise_1 Profitability by LOB Apr 2011" xfId="232" xr:uid="{00000000-0005-0000-0000-000016010000}"/>
    <cellStyle name="_Monthly ABP 100707_MOnthly Revenue cost formatwise_3 Profitability by LOB Jun 2011" xfId="233" xr:uid="{00000000-0005-0000-0000-000017010000}"/>
    <cellStyle name="_Monthly ABP 100707_MOnthly Revenue cost formatwise_4 Profitability by LOB Apr-Dec 2010" xfId="234" xr:uid="{00000000-0005-0000-0000-000018010000}"/>
    <cellStyle name="_Monthly ABP 100707_MOnthly Revenue cost formatwise_4 Profitability by LOB July 2011" xfId="235" xr:uid="{00000000-0005-0000-0000-000019010000}"/>
    <cellStyle name="_Monthly ABP 100707_MOnthly Revenue cost formatwise_5 Profitability by LOB Apr-Jan 2011" xfId="236" xr:uid="{00000000-0005-0000-0000-00001A010000}"/>
    <cellStyle name="_Monthly ABP 100707_MOnthly Revenue cost formatwise_5 Profitability by LOB Aug 2011" xfId="237" xr:uid="{00000000-0005-0000-0000-00001B010000}"/>
    <cellStyle name="_Monthly ABP 100707_MOnthly Revenue cost formatwise_5 Profitability by LOB Sep 2011" xfId="238" xr:uid="{00000000-0005-0000-0000-00001C010000}"/>
    <cellStyle name="_Monthly ABP 100707_MOnthly Revenue cost formatwise_6 Profitability by LOB Apr-Feb 2011" xfId="239" xr:uid="{00000000-0005-0000-0000-00001D010000}"/>
    <cellStyle name="_Monthly ABP 100707_MOnthly Revenue cost formatwise_7 Profitability by LOB Apr-Mar 2011" xfId="240" xr:uid="{00000000-0005-0000-0000-00001E010000}"/>
    <cellStyle name="_Monthly ABP 100707_MOnthly Revenue cost formatwise_7 Profitability by LOB Oct 2011" xfId="241" xr:uid="{00000000-0005-0000-0000-00001F010000}"/>
    <cellStyle name="_Monthly ABP 100707_MOnthly Revenue cost formatwise_8 Profitability by LOB Nov 2011" xfId="242" xr:uid="{00000000-0005-0000-0000-000020010000}"/>
    <cellStyle name="_Monthly ABP 100707_MOnthly Revenue cost formatwise_8 Profitability by LOB Nov 2011-Revised" xfId="243" xr:uid="{00000000-0005-0000-0000-000021010000}"/>
    <cellStyle name="_Monthly ABP 100707_MOnthly Revenue cost formatwise_Book1" xfId="244" xr:uid="{00000000-0005-0000-0000-000022010000}"/>
    <cellStyle name="_Monthly ABP 100707_North Zone - APR 2009" xfId="245" xr:uid="{00000000-0005-0000-0000-000023010000}"/>
    <cellStyle name="_Monthly ABP 100707_North Zone - Dec 2008" xfId="246" xr:uid="{00000000-0005-0000-0000-000024010000}"/>
    <cellStyle name="_Monthly ABP 100707_North Zone - FEB 2009" xfId="247" xr:uid="{00000000-0005-0000-0000-000025010000}"/>
    <cellStyle name="_Monthly ABP 100707_North Zone - Jan 2009" xfId="248" xr:uid="{00000000-0005-0000-0000-000026010000}"/>
    <cellStyle name="_Monthly ABP 100707_North Zone - MAR 2009" xfId="249" xr:uid="{00000000-0005-0000-0000-000027010000}"/>
    <cellStyle name="_Monthly P &amp; L account for FY 0405 as budgeted" xfId="250" xr:uid="{00000000-0005-0000-0000-000028010000}"/>
    <cellStyle name="_MOnthly Revenue cost formatwise" xfId="251" xr:uid="{00000000-0005-0000-0000-000029010000}"/>
    <cellStyle name="_MOnthly Revenue cost formatwise_North Zone - APR 2009" xfId="252" xr:uid="{00000000-0005-0000-0000-00002A010000}"/>
    <cellStyle name="_MOnthly Revenue cost formatwise_North Zone - Dec 2008" xfId="253" xr:uid="{00000000-0005-0000-0000-00002B010000}"/>
    <cellStyle name="_MOnthly Revenue cost formatwise_North Zone - FEB 2009" xfId="254" xr:uid="{00000000-0005-0000-0000-00002C010000}"/>
    <cellStyle name="_MOnthly Revenue cost formatwise_North Zone - Jan 2009" xfId="255" xr:uid="{00000000-0005-0000-0000-00002D010000}"/>
    <cellStyle name="_MOnthly Revenue cost formatwise_North Zone - MAR 2009" xfId="256" xr:uid="{00000000-0005-0000-0000-00002E010000}"/>
    <cellStyle name="_Monthwise PL 2009-10" xfId="257" xr:uid="{00000000-0005-0000-0000-00002F010000}"/>
    <cellStyle name="_Network Budget 04-05 - Wireline" xfId="258" xr:uid="{00000000-0005-0000-0000-000030010000}"/>
    <cellStyle name="_Network Import consoidation Jan11" xfId="259" xr:uid="{00000000-0005-0000-0000-000031010000}"/>
    <cellStyle name="_Network Opex Expenses as of August end" xfId="260" xr:uid="{00000000-0005-0000-0000-000032010000}"/>
    <cellStyle name="_Nov'07_P&amp;L" xfId="261" xr:uid="{00000000-0005-0000-0000-000033010000}"/>
    <cellStyle name="_Outstanding Report as on 091204" xfId="262" xr:uid="{00000000-0005-0000-0000-000034010000}"/>
    <cellStyle name="_P &amp; L January 2008 (on new MAG)" xfId="263" xr:uid="{00000000-0005-0000-0000-000035010000}"/>
    <cellStyle name="_Payroll data Anil_Report Apr-Sep 2010 Revised v2" xfId="264" xr:uid="{00000000-0005-0000-0000-000036010000}"/>
    <cellStyle name="_Profitability by LOB Apr-Sep 2010" xfId="265" xr:uid="{00000000-0005-0000-0000-000037010000}"/>
    <cellStyle name="_Profitability by LOB Apr-Sep 2010_05 Profitability by LOB Aug 2012" xfId="266" xr:uid="{00000000-0005-0000-0000-000038010000}"/>
    <cellStyle name="_Profitability by LOB Apr-Sep 2010_1 Profitability by LOB Apr 2011" xfId="267" xr:uid="{00000000-0005-0000-0000-000039010000}"/>
    <cellStyle name="_Profitability by LOB Apr-Sep 2010_3 Profitability by LOB Jun 2011" xfId="268" xr:uid="{00000000-0005-0000-0000-00003A010000}"/>
    <cellStyle name="_Profitability by LOB Apr-Sep 2010_4 Profitability by LOB Apr-Dec 2010" xfId="269" xr:uid="{00000000-0005-0000-0000-00003B010000}"/>
    <cellStyle name="_Profitability by LOB Apr-Sep 2010_4 Profitability by LOB July 2011" xfId="270" xr:uid="{00000000-0005-0000-0000-00003C010000}"/>
    <cellStyle name="_Profitability by LOB Apr-Sep 2010_5 Profitability by LOB Apr-Jan 2011" xfId="271" xr:uid="{00000000-0005-0000-0000-00003D010000}"/>
    <cellStyle name="_Profitability by LOB Apr-Sep 2010_5 Profitability by LOB Aug 2011" xfId="272" xr:uid="{00000000-0005-0000-0000-00003E010000}"/>
    <cellStyle name="_Profitability by LOB Apr-Sep 2010_5 Profitability by LOB Sep 2011" xfId="273" xr:uid="{00000000-0005-0000-0000-00003F010000}"/>
    <cellStyle name="_Profitability by LOB Apr-Sep 2010_6 Profitability by LOB Apr-Feb 2011" xfId="274" xr:uid="{00000000-0005-0000-0000-000040010000}"/>
    <cellStyle name="_Profitability by LOB Apr-Sep 2010_7 Profitability by LOB Apr-Mar 2011" xfId="275" xr:uid="{00000000-0005-0000-0000-000041010000}"/>
    <cellStyle name="_Profitability by LOB Apr-Sep 2010_7 Profitability by LOB Oct 2011" xfId="276" xr:uid="{00000000-0005-0000-0000-000042010000}"/>
    <cellStyle name="_Profitability by LOB Apr-Sep 2010_8 Profitability by LOB Nov 2011" xfId="277" xr:uid="{00000000-0005-0000-0000-000043010000}"/>
    <cellStyle name="_Profitability by LOB Apr-Sep 2010_8 Profitability by LOB Nov 2011-Revised" xfId="278" xr:uid="{00000000-0005-0000-0000-000044010000}"/>
    <cellStyle name="_Profitability by LOB Apr-Sep 2010_Book1" xfId="279" xr:uid="{00000000-0005-0000-0000-000045010000}"/>
    <cellStyle name="_PROJECT - 28(1)(1).05.2007" xfId="280" xr:uid="{00000000-0005-0000-0000-000046010000}"/>
    <cellStyle name="_Projections Final" xfId="281" xr:uid="{00000000-0005-0000-0000-000047010000}"/>
    <cellStyle name="_RCPL-BS-Mar 2004  Final (for Circulation)" xfId="282" xr:uid="{00000000-0005-0000-0000-000048010000}"/>
    <cellStyle name="_Report" xfId="283" xr:uid="{00000000-0005-0000-0000-000049010000}"/>
    <cellStyle name="_Resource Model" xfId="284" xr:uid="{00000000-0005-0000-0000-00004A010000}"/>
    <cellStyle name="_Rev" xfId="285" xr:uid="{00000000-0005-0000-0000-00004B010000}"/>
    <cellStyle name="_Revenue MIS" xfId="286" xr:uid="{00000000-0005-0000-0000-00004C010000}"/>
    <cellStyle name="_revenue MIS 060105" xfId="287" xr:uid="{00000000-0005-0000-0000-00004D010000}"/>
    <cellStyle name="_Revenue MIS 311204" xfId="288" xr:uid="{00000000-0005-0000-0000-00004E010000}"/>
    <cellStyle name="_Revenue MIS as of 091204" xfId="289" xr:uid="{00000000-0005-0000-0000-00004F010000}"/>
    <cellStyle name="_Revenue MIS as of 300904" xfId="290" xr:uid="{00000000-0005-0000-0000-000050010000}"/>
    <cellStyle name="_REVENUE MIS as on 010904" xfId="291" xr:uid="{00000000-0005-0000-0000-000051010000}"/>
    <cellStyle name="_Revenue MIS revised as of 300904" xfId="292" xr:uid="{00000000-0005-0000-0000-000052010000}"/>
    <cellStyle name="_Revenue MTD &amp; YTD as on 060105" xfId="293" xr:uid="{00000000-0005-0000-0000-000053010000}"/>
    <cellStyle name="_revenue MTD &amp; YTD as on 130105" xfId="294" xr:uid="{00000000-0005-0000-0000-000054010000}"/>
    <cellStyle name="_RGNL BS 03-04  (Base data 2)" xfId="295" xr:uid="{00000000-0005-0000-0000-000055010000}"/>
    <cellStyle name="_RGNL BS March  05" xfId="296" xr:uid="{00000000-0005-0000-0000-000056010000}"/>
    <cellStyle name="_RIC - Summary July 05 BS and P&amp;L      Final" xfId="297" xr:uid="{00000000-0005-0000-0000-000057010000}"/>
    <cellStyle name="_RIC &amp; RCIL Consolidated -March 2005               9" xfId="298" xr:uid="{00000000-0005-0000-0000-000058010000}"/>
    <cellStyle name="_RIC Provisional- Dec  2006    Final" xfId="299" xr:uid="{00000000-0005-0000-0000-000059010000}"/>
    <cellStyle name="_RIC Provisional- Sep  2006    11 Given to Conso on 17.10.06" xfId="300" xr:uid="{00000000-0005-0000-0000-00005A010000}"/>
    <cellStyle name="_RIC-DEC 2004" xfId="301" xr:uid="{00000000-0005-0000-0000-00005B010000}"/>
    <cellStyle name="_RMA Localoverseas return location" xfId="302" xr:uid="{00000000-0005-0000-0000-00005C010000}"/>
    <cellStyle name="_Sec 212 - Report" xfId="303" xr:uid="{00000000-0005-0000-0000-00005D010000}"/>
    <cellStyle name="_Sundry Debtors" xfId="304" xr:uid="{00000000-0005-0000-0000-00005E010000}"/>
    <cellStyle name="_Template &amp; information  D 8.xls Mayl 2008" xfId="305" xr:uid="{00000000-0005-0000-0000-00005F010000}"/>
    <cellStyle name="_Template &amp; information MIS 2008" xfId="306" xr:uid="{00000000-0005-0000-0000-000060010000}"/>
    <cellStyle name="_TEV study details" xfId="307" xr:uid="{00000000-0005-0000-0000-000061010000}"/>
    <cellStyle name="_Transport list" xfId="308" xr:uid="{00000000-0005-0000-0000-000062010000}"/>
    <cellStyle name="_Transport list_North Zone - APR 2009" xfId="309" xr:uid="{00000000-0005-0000-0000-000063010000}"/>
    <cellStyle name="_Transport list_North Zone - Dec 2008" xfId="310" xr:uid="{00000000-0005-0000-0000-000064010000}"/>
    <cellStyle name="_Transport list_North Zone - FEB 2009" xfId="311" xr:uid="{00000000-0005-0000-0000-000065010000}"/>
    <cellStyle name="_Transport list_North Zone - Jan 2009" xfId="312" xr:uid="{00000000-0005-0000-0000-000066010000}"/>
    <cellStyle name="_Transport list_North Zone - MAR 2009" xfId="313" xr:uid="{00000000-0005-0000-0000-000067010000}"/>
    <cellStyle name="_Transport Revenue Cost and Weight Jan 10" xfId="314" xr:uid="{00000000-0005-0000-0000-000068010000}"/>
    <cellStyle name="_UPFRONT_PAYMENT31.08.2004" xfId="315" xr:uid="{00000000-0005-0000-0000-000069010000}"/>
    <cellStyle name="_Ware house Financial MIS ( 8431 )" xfId="316" xr:uid="{00000000-0005-0000-0000-00006A010000}"/>
    <cellStyle name="_Ware house Financial MIS ( 8431 )_North Zone - APR 2009" xfId="317" xr:uid="{00000000-0005-0000-0000-00006B010000}"/>
    <cellStyle name="_Ware house Financial MIS ( 8431 )_North Zone - Dec 2008" xfId="318" xr:uid="{00000000-0005-0000-0000-00006C010000}"/>
    <cellStyle name="_Ware house Financial MIS ( 8431 )_North Zone - FEB 2009" xfId="319" xr:uid="{00000000-0005-0000-0000-00006D010000}"/>
    <cellStyle name="_Ware house Financial MIS ( 8431 )_North Zone - Jan 2009" xfId="320" xr:uid="{00000000-0005-0000-0000-00006E010000}"/>
    <cellStyle name="_Ware house Financial MIS ( 8431 )_North Zone - MAR 2009" xfId="321" xr:uid="{00000000-0005-0000-0000-00006F010000}"/>
    <cellStyle name="_Warehouse Area details - Apportionmetnt RR" xfId="322" xr:uid="{00000000-0005-0000-0000-000070010000}"/>
    <cellStyle name="_Warehouse Area details - Apportionmetnt RR_North Zone - APR 2009" xfId="323" xr:uid="{00000000-0005-0000-0000-000071010000}"/>
    <cellStyle name="_Warehouse Area details - Apportionmetnt RR_North Zone - Dec 2008" xfId="324" xr:uid="{00000000-0005-0000-0000-000072010000}"/>
    <cellStyle name="_Warehouse Area details - Apportionmetnt RR_North Zone - FEB 2009" xfId="325" xr:uid="{00000000-0005-0000-0000-000073010000}"/>
    <cellStyle name="_Warehouse Area details - Apportionmetnt RR_North Zone - Jan 2009" xfId="326" xr:uid="{00000000-0005-0000-0000-000074010000}"/>
    <cellStyle name="_Warehouse Area details - Apportionmetnt RR_North Zone - MAR 2009" xfId="327" xr:uid="{00000000-0005-0000-0000-000075010000}"/>
    <cellStyle name="_Warehouse Financial MIS ( 8618 )" xfId="328" xr:uid="{00000000-0005-0000-0000-000076010000}"/>
    <cellStyle name="_Warehouse Financial MIS ( 8618 )_North Zone - APR 2009" xfId="329" xr:uid="{00000000-0005-0000-0000-000077010000}"/>
    <cellStyle name="_Warehouse Financial MIS ( 8618 )_North Zone - Dec 2008" xfId="330" xr:uid="{00000000-0005-0000-0000-000078010000}"/>
    <cellStyle name="_Warehouse Financial MIS ( 8618 )_North Zone - FEB 2009" xfId="331" xr:uid="{00000000-0005-0000-0000-000079010000}"/>
    <cellStyle name="_Warehouse Financial MIS ( 8618 )_North Zone - Jan 2009" xfId="332" xr:uid="{00000000-0005-0000-0000-00007A010000}"/>
    <cellStyle name="_Warehouse Financial MIS ( 8618 )_North Zone - MAR 2009" xfId="333" xr:uid="{00000000-0005-0000-0000-00007B010000}"/>
    <cellStyle name="_Warehouse Financial MIS ( 8619 )" xfId="334" xr:uid="{00000000-0005-0000-0000-00007C010000}"/>
    <cellStyle name="_Warehouse Financial MIS ( 8619 )_North Zone - APR 2009" xfId="335" xr:uid="{00000000-0005-0000-0000-00007D010000}"/>
    <cellStyle name="_Warehouse Financial MIS ( 8619 )_North Zone - Dec 2008" xfId="336" xr:uid="{00000000-0005-0000-0000-00007E010000}"/>
    <cellStyle name="_Warehouse Financial MIS ( 8619 )_North Zone - FEB 2009" xfId="337" xr:uid="{00000000-0005-0000-0000-00007F010000}"/>
    <cellStyle name="_Warehouse Financial MIS ( 8619 )_North Zone - Jan 2009" xfId="338" xr:uid="{00000000-0005-0000-0000-000080010000}"/>
    <cellStyle name="_Warehouse Financial MIS ( 8619 )_North Zone - MAR 2009" xfId="339" xr:uid="{00000000-0005-0000-0000-000081010000}"/>
    <cellStyle name="_Warehouse Financial MIS May 08- Bhiwandi2" xfId="340" xr:uid="{00000000-0005-0000-0000-000082010000}"/>
    <cellStyle name="_Warehouse Financial MIS May 08- Bhiwandi2_North Zone - APR 2009" xfId="341" xr:uid="{00000000-0005-0000-0000-000083010000}"/>
    <cellStyle name="_Warehouse Financial MIS May 08- Bhiwandi2_North Zone - Dec 2008" xfId="342" xr:uid="{00000000-0005-0000-0000-000084010000}"/>
    <cellStyle name="_Warehouse Financial MIS May 08- Bhiwandi2_North Zone - FEB 2009" xfId="343" xr:uid="{00000000-0005-0000-0000-000085010000}"/>
    <cellStyle name="_Warehouse Financial MIS May 08- Bhiwandi2_North Zone - Jan 2009" xfId="344" xr:uid="{00000000-0005-0000-0000-000086010000}"/>
    <cellStyle name="_Warehouse Financial MIS May 08- Bhiwandi2_North Zone - MAR 2009" xfId="345" xr:uid="{00000000-0005-0000-0000-000087010000}"/>
    <cellStyle name="_Warehouse Financial MIS Report 2007-2008 (1)" xfId="346" xr:uid="{00000000-0005-0000-0000-000088010000}"/>
    <cellStyle name="_Warehouse Financial MIS Report 2007-2008 (1)_North Zone - APR 2009" xfId="347" xr:uid="{00000000-0005-0000-0000-000089010000}"/>
    <cellStyle name="_Warehouse Financial MIS Report 2007-2008 (1)_North Zone - Dec 2008" xfId="348" xr:uid="{00000000-0005-0000-0000-00008A010000}"/>
    <cellStyle name="_Warehouse Financial MIS Report 2007-2008 (1)_North Zone - FEB 2009" xfId="349" xr:uid="{00000000-0005-0000-0000-00008B010000}"/>
    <cellStyle name="_Warehouse Financial MIS Report 2007-2008 (1)_North Zone - Jan 2009" xfId="350" xr:uid="{00000000-0005-0000-0000-00008C010000}"/>
    <cellStyle name="_Warehouse Financial MIS Report 2007-2008 (1)_North Zone - MAR 2009" xfId="351" xr:uid="{00000000-0005-0000-0000-00008D010000}"/>
    <cellStyle name="_Wireline O&amp;M Actuals-April to July" xfId="352" xr:uid="{00000000-0005-0000-0000-00008E010000}"/>
    <cellStyle name="_WL first 154 BANs incl nw_26072004 Circlewise EBITDA(As discussed with PB)" xfId="353" xr:uid="{00000000-0005-0000-0000-00008F010000}"/>
    <cellStyle name="_Working- Levis - 24-12-08" xfId="354" xr:uid="{00000000-0005-0000-0000-000090010000}"/>
    <cellStyle name="=C:\WINNT\SYSTEM32\COMMAND.COM" xfId="355" xr:uid="{00000000-0005-0000-0000-000091010000}"/>
    <cellStyle name="=C:\WINNT\SYSTEM32\COMMAND.COM 2" xfId="356" xr:uid="{00000000-0005-0000-0000-000092010000}"/>
    <cellStyle name="=C:\WINNT\SYSTEM32\COMMAND.COM 2 2" xfId="357" xr:uid="{00000000-0005-0000-0000-000093010000}"/>
    <cellStyle name="=C:\WINNT\SYSTEM32\COMMAND.COM 2 3" xfId="358" xr:uid="{00000000-0005-0000-0000-000094010000}"/>
    <cellStyle name="=C:\WINNT\SYSTEM32\COMMAND.COM?COMPUTERNAME=SAL-WK7?DSQUERY=UNICORN" xfId="359" xr:uid="{00000000-0005-0000-0000-000095010000}"/>
    <cellStyle name="=C:\WINNT\SYSTEM32\COMMAND.COM_North Zone - APR 2009" xfId="360" xr:uid="{00000000-0005-0000-0000-000096010000}"/>
    <cellStyle name="0,0_x000d__x000a_NA_x000d__x000a_" xfId="361" xr:uid="{00000000-0005-0000-0000-000097010000}"/>
    <cellStyle name="0,0_x000d__x000a_NA_x000d__x000a_ 2" xfId="362" xr:uid="{00000000-0005-0000-0000-000098010000}"/>
    <cellStyle name="00" xfId="363" xr:uid="{00000000-0005-0000-0000-000099010000}"/>
    <cellStyle name="20% - 强调文字颜色 1" xfId="364" xr:uid="{00000000-0005-0000-0000-00009A010000}"/>
    <cellStyle name="20% - 强调文字颜色 2" xfId="365" xr:uid="{00000000-0005-0000-0000-00009B010000}"/>
    <cellStyle name="20% - 强调文字颜色 3" xfId="366" xr:uid="{00000000-0005-0000-0000-00009C010000}"/>
    <cellStyle name="20% - 强调文字颜色 4" xfId="367" xr:uid="{00000000-0005-0000-0000-00009D010000}"/>
    <cellStyle name="20% - 强调文字颜色 5" xfId="368" xr:uid="{00000000-0005-0000-0000-00009E010000}"/>
    <cellStyle name="20% - 强调文字颜色 6" xfId="369" xr:uid="{00000000-0005-0000-0000-00009F010000}"/>
    <cellStyle name="40% - 强调文字颜色 1" xfId="370" xr:uid="{00000000-0005-0000-0000-0000A0010000}"/>
    <cellStyle name="40% - 强调文字颜色 2" xfId="371" xr:uid="{00000000-0005-0000-0000-0000A1010000}"/>
    <cellStyle name="40% - 强调文字颜色 3" xfId="372" xr:uid="{00000000-0005-0000-0000-0000A2010000}"/>
    <cellStyle name="40% - 强调文字颜色 4" xfId="373" xr:uid="{00000000-0005-0000-0000-0000A3010000}"/>
    <cellStyle name="40% - 强调文字颜色 5" xfId="374" xr:uid="{00000000-0005-0000-0000-0000A4010000}"/>
    <cellStyle name="40% - 强调文字颜色 6" xfId="375" xr:uid="{00000000-0005-0000-0000-0000A5010000}"/>
    <cellStyle name="60% - 强调文字颜色 1" xfId="376" xr:uid="{00000000-0005-0000-0000-0000A6010000}"/>
    <cellStyle name="60% - 强调文字颜色 2" xfId="377" xr:uid="{00000000-0005-0000-0000-0000A7010000}"/>
    <cellStyle name="60% - 强调文字颜色 3" xfId="378" xr:uid="{00000000-0005-0000-0000-0000A8010000}"/>
    <cellStyle name="60% - 强调文字颜色 4" xfId="379" xr:uid="{00000000-0005-0000-0000-0000A9010000}"/>
    <cellStyle name="60% - 强调文字颜色 5" xfId="380" xr:uid="{00000000-0005-0000-0000-0000AA010000}"/>
    <cellStyle name="60% - 强调文字颜色 6" xfId="381" xr:uid="{00000000-0005-0000-0000-0000AB010000}"/>
    <cellStyle name="Accent1 - 20%" xfId="382" xr:uid="{00000000-0005-0000-0000-0000AC010000}"/>
    <cellStyle name="Accent1 - 20% 2" xfId="383" xr:uid="{00000000-0005-0000-0000-0000AD010000}"/>
    <cellStyle name="Accent1 - 40%" xfId="384" xr:uid="{00000000-0005-0000-0000-0000AE010000}"/>
    <cellStyle name="Accent1 - 40% 2" xfId="385" xr:uid="{00000000-0005-0000-0000-0000AF010000}"/>
    <cellStyle name="Accent1 - 60%" xfId="386" xr:uid="{00000000-0005-0000-0000-0000B0010000}"/>
    <cellStyle name="Accent2 - 20%" xfId="387" xr:uid="{00000000-0005-0000-0000-0000B1010000}"/>
    <cellStyle name="Accent2 - 20% 2" xfId="388" xr:uid="{00000000-0005-0000-0000-0000B2010000}"/>
    <cellStyle name="Accent2 - 40%" xfId="389" xr:uid="{00000000-0005-0000-0000-0000B3010000}"/>
    <cellStyle name="Accent2 - 40% 2" xfId="390" xr:uid="{00000000-0005-0000-0000-0000B4010000}"/>
    <cellStyle name="Accent2 - 60%" xfId="391" xr:uid="{00000000-0005-0000-0000-0000B5010000}"/>
    <cellStyle name="Accent3 - 20%" xfId="392" xr:uid="{00000000-0005-0000-0000-0000B6010000}"/>
    <cellStyle name="Accent3 - 20% 2" xfId="393" xr:uid="{00000000-0005-0000-0000-0000B7010000}"/>
    <cellStyle name="Accent3 - 40%" xfId="394" xr:uid="{00000000-0005-0000-0000-0000B8010000}"/>
    <cellStyle name="Accent3 - 40% 2" xfId="395" xr:uid="{00000000-0005-0000-0000-0000B9010000}"/>
    <cellStyle name="Accent3 - 60%" xfId="396" xr:uid="{00000000-0005-0000-0000-0000BA010000}"/>
    <cellStyle name="Accent4 - 20%" xfId="397" xr:uid="{00000000-0005-0000-0000-0000BB010000}"/>
    <cellStyle name="Accent4 - 20% 2" xfId="398" xr:uid="{00000000-0005-0000-0000-0000BC010000}"/>
    <cellStyle name="Accent4 - 40%" xfId="399" xr:uid="{00000000-0005-0000-0000-0000BD010000}"/>
    <cellStyle name="Accent4 - 40% 2" xfId="400" xr:uid="{00000000-0005-0000-0000-0000BE010000}"/>
    <cellStyle name="Accent4 - 60%" xfId="401" xr:uid="{00000000-0005-0000-0000-0000BF010000}"/>
    <cellStyle name="Accent5 - 20%" xfId="402" xr:uid="{00000000-0005-0000-0000-0000C0010000}"/>
    <cellStyle name="Accent5 - 20% 2" xfId="403" xr:uid="{00000000-0005-0000-0000-0000C1010000}"/>
    <cellStyle name="Accent5 - 40%" xfId="404" xr:uid="{00000000-0005-0000-0000-0000C2010000}"/>
    <cellStyle name="Accent5 - 40% 2" xfId="405" xr:uid="{00000000-0005-0000-0000-0000C3010000}"/>
    <cellStyle name="Accent5 - 60%" xfId="406" xr:uid="{00000000-0005-0000-0000-0000C4010000}"/>
    <cellStyle name="Accent6 - 20%" xfId="407" xr:uid="{00000000-0005-0000-0000-0000C5010000}"/>
    <cellStyle name="Accent6 - 20% 2" xfId="408" xr:uid="{00000000-0005-0000-0000-0000C6010000}"/>
    <cellStyle name="Accent6 - 40%" xfId="409" xr:uid="{00000000-0005-0000-0000-0000C7010000}"/>
    <cellStyle name="Accent6 - 40% 2" xfId="410" xr:uid="{00000000-0005-0000-0000-0000C8010000}"/>
    <cellStyle name="Accent6 - 60%" xfId="411" xr:uid="{00000000-0005-0000-0000-0000C9010000}"/>
    <cellStyle name="Body" xfId="412" xr:uid="{00000000-0005-0000-0000-0000CA010000}"/>
    <cellStyle name="Calc Currency (0)" xfId="413" xr:uid="{00000000-0005-0000-0000-0000CB010000}"/>
    <cellStyle name="Calc Currency (2)" xfId="414" xr:uid="{00000000-0005-0000-0000-0000CC010000}"/>
    <cellStyle name="Calc Percent (0)" xfId="415" xr:uid="{00000000-0005-0000-0000-0000CD010000}"/>
    <cellStyle name="Calc Percent (1)" xfId="416" xr:uid="{00000000-0005-0000-0000-0000CE010000}"/>
    <cellStyle name="Calc Percent (2)" xfId="417" xr:uid="{00000000-0005-0000-0000-0000CF010000}"/>
    <cellStyle name="Calc Units (0)" xfId="418" xr:uid="{00000000-0005-0000-0000-0000D0010000}"/>
    <cellStyle name="Calc Units (1)" xfId="419" xr:uid="{00000000-0005-0000-0000-0000D1010000}"/>
    <cellStyle name="Calc Units (2)" xfId="420" xr:uid="{00000000-0005-0000-0000-0000D2010000}"/>
    <cellStyle name="Calculated" xfId="421" xr:uid="{00000000-0005-0000-0000-0000D3010000}"/>
    <cellStyle name="category" xfId="422" xr:uid="{00000000-0005-0000-0000-0000D4010000}"/>
    <cellStyle name="Column Heading" xfId="423" xr:uid="{00000000-0005-0000-0000-0000D5010000}"/>
    <cellStyle name="Comma" xfId="1" builtinId="3"/>
    <cellStyle name="Comma [00]" xfId="424" xr:uid="{00000000-0005-0000-0000-0000D6010000}"/>
    <cellStyle name="Comma 10" xfId="425" xr:uid="{00000000-0005-0000-0000-0000D7010000}"/>
    <cellStyle name="Comma 10 2" xfId="426" xr:uid="{00000000-0005-0000-0000-0000D8010000}"/>
    <cellStyle name="Comma 10 2 2" xfId="427" xr:uid="{00000000-0005-0000-0000-0000D9010000}"/>
    <cellStyle name="Comma 10 2 4" xfId="428" xr:uid="{00000000-0005-0000-0000-0000DA010000}"/>
    <cellStyle name="Comma 10 3" xfId="429" xr:uid="{00000000-0005-0000-0000-0000DB010000}"/>
    <cellStyle name="Comma 10 3 2" xfId="430" xr:uid="{00000000-0005-0000-0000-0000DC010000}"/>
    <cellStyle name="Comma 10 4" xfId="431" xr:uid="{00000000-0005-0000-0000-0000DD010000}"/>
    <cellStyle name="Comma 11" xfId="432" xr:uid="{00000000-0005-0000-0000-0000DE010000}"/>
    <cellStyle name="Comma 11 2" xfId="433" xr:uid="{00000000-0005-0000-0000-0000DF010000}"/>
    <cellStyle name="Comma 12" xfId="434" xr:uid="{00000000-0005-0000-0000-0000E0010000}"/>
    <cellStyle name="Comma 13" xfId="435" xr:uid="{00000000-0005-0000-0000-0000E1010000}"/>
    <cellStyle name="Comma 2" xfId="436" xr:uid="{00000000-0005-0000-0000-0000E2010000}"/>
    <cellStyle name="Comma 2 10" xfId="437" xr:uid="{00000000-0005-0000-0000-0000E3010000}"/>
    <cellStyle name="Comma 2 11" xfId="438" xr:uid="{00000000-0005-0000-0000-0000E4010000}"/>
    <cellStyle name="Comma 2 12" xfId="439" xr:uid="{00000000-0005-0000-0000-0000E5010000}"/>
    <cellStyle name="Comma 2 17" xfId="440" xr:uid="{00000000-0005-0000-0000-0000E6010000}"/>
    <cellStyle name="Comma 2 17 2" xfId="441" xr:uid="{00000000-0005-0000-0000-0000E7010000}"/>
    <cellStyle name="Comma 2 17 3" xfId="442" xr:uid="{00000000-0005-0000-0000-0000E8010000}"/>
    <cellStyle name="Comma 2 17 4" xfId="443" xr:uid="{00000000-0005-0000-0000-0000E9010000}"/>
    <cellStyle name="Comma 2 2" xfId="444" xr:uid="{00000000-0005-0000-0000-0000EA010000}"/>
    <cellStyle name="Comma 2 2 10" xfId="445" xr:uid="{00000000-0005-0000-0000-0000EB010000}"/>
    <cellStyle name="Comma 2 2 10 2" xfId="446" xr:uid="{00000000-0005-0000-0000-0000EC010000}"/>
    <cellStyle name="Comma 2 2 11" xfId="447" xr:uid="{00000000-0005-0000-0000-0000ED010000}"/>
    <cellStyle name="Comma 2 2 2" xfId="448" xr:uid="{00000000-0005-0000-0000-0000EE010000}"/>
    <cellStyle name="Comma 2 2 2 2" xfId="449" xr:uid="{00000000-0005-0000-0000-0000EF010000}"/>
    <cellStyle name="Comma 2 2 2 2 2" xfId="450" xr:uid="{00000000-0005-0000-0000-0000F0010000}"/>
    <cellStyle name="Comma 2 2 2 3" xfId="451" xr:uid="{00000000-0005-0000-0000-0000F1010000}"/>
    <cellStyle name="Comma 2 2 3" xfId="452" xr:uid="{00000000-0005-0000-0000-0000F2010000}"/>
    <cellStyle name="Comma 2 2 3 2" xfId="453" xr:uid="{00000000-0005-0000-0000-0000F3010000}"/>
    <cellStyle name="Comma 2 2 3 2 2" xfId="454" xr:uid="{00000000-0005-0000-0000-0000F4010000}"/>
    <cellStyle name="Comma 2 2 3 3" xfId="455" xr:uid="{00000000-0005-0000-0000-0000F5010000}"/>
    <cellStyle name="Comma 2 2 4" xfId="456" xr:uid="{00000000-0005-0000-0000-0000F6010000}"/>
    <cellStyle name="Comma 2 2 4 2" xfId="457" xr:uid="{00000000-0005-0000-0000-0000F7010000}"/>
    <cellStyle name="Comma 2 2 5" xfId="458" xr:uid="{00000000-0005-0000-0000-0000F8010000}"/>
    <cellStyle name="Comma 2 2 5 2" xfId="459" xr:uid="{00000000-0005-0000-0000-0000F9010000}"/>
    <cellStyle name="Comma 2 2 6" xfId="460" xr:uid="{00000000-0005-0000-0000-0000FA010000}"/>
    <cellStyle name="Comma 2 2 6 2" xfId="461" xr:uid="{00000000-0005-0000-0000-0000FB010000}"/>
    <cellStyle name="Comma 2 2 7" xfId="462" xr:uid="{00000000-0005-0000-0000-0000FC010000}"/>
    <cellStyle name="Comma 2 2 7 2" xfId="463" xr:uid="{00000000-0005-0000-0000-0000FD010000}"/>
    <cellStyle name="Comma 2 2 8" xfId="464" xr:uid="{00000000-0005-0000-0000-0000FE010000}"/>
    <cellStyle name="Comma 2 2 8 2" xfId="465" xr:uid="{00000000-0005-0000-0000-0000FF010000}"/>
    <cellStyle name="Comma 2 2 9" xfId="466" xr:uid="{00000000-0005-0000-0000-000000020000}"/>
    <cellStyle name="Comma 2 2 9 2" xfId="467" xr:uid="{00000000-0005-0000-0000-000001020000}"/>
    <cellStyle name="Comma 2 2_Capex Sheet RB - Delhi- 20-11-2012" xfId="468" xr:uid="{00000000-0005-0000-0000-000002020000}"/>
    <cellStyle name="Comma 2 3" xfId="469" xr:uid="{00000000-0005-0000-0000-000003020000}"/>
    <cellStyle name="Comma 2 3 2" xfId="470" xr:uid="{00000000-0005-0000-0000-000004020000}"/>
    <cellStyle name="Comma 2 3 2 2" xfId="471" xr:uid="{00000000-0005-0000-0000-000005020000}"/>
    <cellStyle name="Comma 2 3 2 3" xfId="472" xr:uid="{00000000-0005-0000-0000-000006020000}"/>
    <cellStyle name="Comma 2 3 3" xfId="473" xr:uid="{00000000-0005-0000-0000-000007020000}"/>
    <cellStyle name="Comma 2 4" xfId="474" xr:uid="{00000000-0005-0000-0000-000008020000}"/>
    <cellStyle name="Comma 2 4 2" xfId="475" xr:uid="{00000000-0005-0000-0000-000009020000}"/>
    <cellStyle name="Comma 2 5" xfId="476" xr:uid="{00000000-0005-0000-0000-00000A020000}"/>
    <cellStyle name="Comma 2 5 2" xfId="477" xr:uid="{00000000-0005-0000-0000-00000B020000}"/>
    <cellStyle name="Comma 2 6" xfId="478" xr:uid="{00000000-0005-0000-0000-00000C020000}"/>
    <cellStyle name="Comma 2 6 2" xfId="479" xr:uid="{00000000-0005-0000-0000-00000D020000}"/>
    <cellStyle name="Comma 2 7" xfId="480" xr:uid="{00000000-0005-0000-0000-00000E020000}"/>
    <cellStyle name="Comma 2 7 2" xfId="481" xr:uid="{00000000-0005-0000-0000-00000F020000}"/>
    <cellStyle name="Comma 2 8" xfId="482" xr:uid="{00000000-0005-0000-0000-000010020000}"/>
    <cellStyle name="Comma 2 8 2" xfId="483" xr:uid="{00000000-0005-0000-0000-000011020000}"/>
    <cellStyle name="Comma 2 9" xfId="484" xr:uid="{00000000-0005-0000-0000-000012020000}"/>
    <cellStyle name="Comma 2 9 2" xfId="485" xr:uid="{00000000-0005-0000-0000-000013020000}"/>
    <cellStyle name="Comma 2_110506 Mihan Capex Format Complete" xfId="486" xr:uid="{00000000-0005-0000-0000-000014020000}"/>
    <cellStyle name="Comma 3" xfId="487" xr:uid="{00000000-0005-0000-0000-000015020000}"/>
    <cellStyle name="Comma 3 2" xfId="488" xr:uid="{00000000-0005-0000-0000-000016020000}"/>
    <cellStyle name="Comma 3 2 2" xfId="489" xr:uid="{00000000-0005-0000-0000-000017020000}"/>
    <cellStyle name="Comma 3 3" xfId="490" xr:uid="{00000000-0005-0000-0000-000018020000}"/>
    <cellStyle name="Comma 3 3 2" xfId="491" xr:uid="{00000000-0005-0000-0000-000019020000}"/>
    <cellStyle name="Comma 3 4" xfId="492" xr:uid="{00000000-0005-0000-0000-00001A020000}"/>
    <cellStyle name="Comma 3 4 2" xfId="493" xr:uid="{00000000-0005-0000-0000-00001B020000}"/>
    <cellStyle name="Comma 3 5" xfId="494" xr:uid="{00000000-0005-0000-0000-00001C020000}"/>
    <cellStyle name="Comma 3_Sheet1" xfId="495" xr:uid="{00000000-0005-0000-0000-00001D020000}"/>
    <cellStyle name="Comma 4" xfId="496" xr:uid="{00000000-0005-0000-0000-00001E020000}"/>
    <cellStyle name="Comma 4 2" xfId="497" xr:uid="{00000000-0005-0000-0000-00001F020000}"/>
    <cellStyle name="Comma 4 2 2" xfId="498" xr:uid="{00000000-0005-0000-0000-000020020000}"/>
    <cellStyle name="Comma 4 3" xfId="499" xr:uid="{00000000-0005-0000-0000-000021020000}"/>
    <cellStyle name="Comma 4 3 2" xfId="500" xr:uid="{00000000-0005-0000-0000-000022020000}"/>
    <cellStyle name="Comma 4 4" xfId="501" xr:uid="{00000000-0005-0000-0000-000023020000}"/>
    <cellStyle name="Comma 4 4 2" xfId="502" xr:uid="{00000000-0005-0000-0000-000024020000}"/>
    <cellStyle name="Comma 4 5" xfId="503" xr:uid="{00000000-0005-0000-0000-000025020000}"/>
    <cellStyle name="Comma 4 5 2" xfId="504" xr:uid="{00000000-0005-0000-0000-000026020000}"/>
    <cellStyle name="Comma 4 6" xfId="505" xr:uid="{00000000-0005-0000-0000-000027020000}"/>
    <cellStyle name="Comma 4 6 2" xfId="506" xr:uid="{00000000-0005-0000-0000-000028020000}"/>
    <cellStyle name="Comma 4 7" xfId="507" xr:uid="{00000000-0005-0000-0000-000029020000}"/>
    <cellStyle name="Comma 5" xfId="508" xr:uid="{00000000-0005-0000-0000-00002A020000}"/>
    <cellStyle name="Comma 5 2" xfId="509" xr:uid="{00000000-0005-0000-0000-00002B020000}"/>
    <cellStyle name="Comma 6" xfId="510" xr:uid="{00000000-0005-0000-0000-00002C020000}"/>
    <cellStyle name="Comma 6 2" xfId="511" xr:uid="{00000000-0005-0000-0000-00002D020000}"/>
    <cellStyle name="Comma 7" xfId="512" xr:uid="{00000000-0005-0000-0000-00002E020000}"/>
    <cellStyle name="Comma 7 2" xfId="513" xr:uid="{00000000-0005-0000-0000-00002F020000}"/>
    <cellStyle name="Comma 7 2 2" xfId="514" xr:uid="{00000000-0005-0000-0000-000030020000}"/>
    <cellStyle name="Comma 7 3" xfId="515" xr:uid="{00000000-0005-0000-0000-000031020000}"/>
    <cellStyle name="Comma 8" xfId="516" xr:uid="{00000000-0005-0000-0000-000032020000}"/>
    <cellStyle name="Comma 8 2" xfId="517" xr:uid="{00000000-0005-0000-0000-000033020000}"/>
    <cellStyle name="Comma 9" xfId="518" xr:uid="{00000000-0005-0000-0000-000034020000}"/>
    <cellStyle name="Comma 9 2" xfId="519" xr:uid="{00000000-0005-0000-0000-000035020000}"/>
    <cellStyle name="Comma0" xfId="520" xr:uid="{00000000-0005-0000-0000-000036020000}"/>
    <cellStyle name="comma1" xfId="521" xr:uid="{00000000-0005-0000-0000-000037020000}"/>
    <cellStyle name="Comma1 - Style1" xfId="522" xr:uid="{00000000-0005-0000-0000-000038020000}"/>
    <cellStyle name="Copied" xfId="523" xr:uid="{00000000-0005-0000-0000-000039020000}"/>
    <cellStyle name="CRORE" xfId="524" xr:uid="{00000000-0005-0000-0000-00003A020000}"/>
    <cellStyle name="CRORE2 - Style2" xfId="525" xr:uid="{00000000-0005-0000-0000-00003B020000}"/>
    <cellStyle name="Currency [00]" xfId="526" xr:uid="{00000000-0005-0000-0000-00003C020000}"/>
    <cellStyle name="Currency0" xfId="527" xr:uid="{00000000-0005-0000-0000-00003D020000}"/>
    <cellStyle name="Custom - Style1" xfId="528" xr:uid="{00000000-0005-0000-0000-00003E020000}"/>
    <cellStyle name="Custom - Style8" xfId="529" xr:uid="{00000000-0005-0000-0000-00003F020000}"/>
    <cellStyle name="Data   - Style2" xfId="530" xr:uid="{00000000-0005-0000-0000-000040020000}"/>
    <cellStyle name="Data   - Style2 2" xfId="531" xr:uid="{00000000-0005-0000-0000-000041020000}"/>
    <cellStyle name="Data Entry" xfId="532" xr:uid="{00000000-0005-0000-0000-000042020000}"/>
    <cellStyle name="Data Entry 2" xfId="533" xr:uid="{00000000-0005-0000-0000-000043020000}"/>
    <cellStyle name="date" xfId="534" xr:uid="{00000000-0005-0000-0000-000044020000}"/>
    <cellStyle name="Date Short" xfId="535" xr:uid="{00000000-0005-0000-0000-000045020000}"/>
    <cellStyle name="Date_~7131931" xfId="536" xr:uid="{00000000-0005-0000-0000-000046020000}"/>
    <cellStyle name="Datum" xfId="537" xr:uid="{00000000-0005-0000-0000-000047020000}"/>
    <cellStyle name="DELTA" xfId="538" xr:uid="{00000000-0005-0000-0000-000048020000}"/>
    <cellStyle name="Dezimal [0]_APPROACH" xfId="539" xr:uid="{00000000-0005-0000-0000-000049020000}"/>
    <cellStyle name="Dezimal_APPROACH" xfId="540" xr:uid="{00000000-0005-0000-0000-00004A020000}"/>
    <cellStyle name="Emphasis 1" xfId="541" xr:uid="{00000000-0005-0000-0000-00004B020000}"/>
    <cellStyle name="Emphasis 2" xfId="542" xr:uid="{00000000-0005-0000-0000-00004C020000}"/>
    <cellStyle name="Emphasis 3" xfId="543" xr:uid="{00000000-0005-0000-0000-00004D020000}"/>
    <cellStyle name="Enter Currency (0)" xfId="544" xr:uid="{00000000-0005-0000-0000-00004E020000}"/>
    <cellStyle name="Enter Currency (2)" xfId="545" xr:uid="{00000000-0005-0000-0000-00004F020000}"/>
    <cellStyle name="Enter Units (0)" xfId="546" xr:uid="{00000000-0005-0000-0000-000050020000}"/>
    <cellStyle name="Enter Units (1)" xfId="547" xr:uid="{00000000-0005-0000-0000-000051020000}"/>
    <cellStyle name="Enter Units (2)" xfId="548" xr:uid="{00000000-0005-0000-0000-000052020000}"/>
    <cellStyle name="Entered" xfId="549" xr:uid="{00000000-0005-0000-0000-000053020000}"/>
    <cellStyle name="Euro" xfId="550" xr:uid="{00000000-0005-0000-0000-000054020000}"/>
    <cellStyle name="EYHeader1" xfId="551" xr:uid="{00000000-0005-0000-0000-000055020000}"/>
    <cellStyle name="EYHeader1 2" xfId="552" xr:uid="{00000000-0005-0000-0000-000056020000}"/>
    <cellStyle name="EYHeader1 3" xfId="553" xr:uid="{00000000-0005-0000-0000-000057020000}"/>
    <cellStyle name="EYHeader1 4" xfId="554" xr:uid="{00000000-0005-0000-0000-000058020000}"/>
    <cellStyle name="EYHeader1_FLSL FF&amp;CC Financial model_ 21 Apr_own (E&amp;Ybase)" xfId="555" xr:uid="{00000000-0005-0000-0000-000059020000}"/>
    <cellStyle name="EYHeader2" xfId="556" xr:uid="{00000000-0005-0000-0000-00005A020000}"/>
    <cellStyle name="EYHeader2 2" xfId="557" xr:uid="{00000000-0005-0000-0000-00005B020000}"/>
    <cellStyle name="EYHeader2 3" xfId="558" xr:uid="{00000000-0005-0000-0000-00005C020000}"/>
    <cellStyle name="EYHeader2_FLSL FF&amp;CC Financial model_ 21 Apr_own (E&amp;Ybase)" xfId="559" xr:uid="{00000000-0005-0000-0000-00005D020000}"/>
    <cellStyle name="EYHeader3" xfId="560" xr:uid="{00000000-0005-0000-0000-00005E020000}"/>
    <cellStyle name="F2" xfId="561" xr:uid="{00000000-0005-0000-0000-00005F020000}"/>
    <cellStyle name="F2 - Style3" xfId="562" xr:uid="{00000000-0005-0000-0000-000060020000}"/>
    <cellStyle name="F3" xfId="563" xr:uid="{00000000-0005-0000-0000-000061020000}"/>
    <cellStyle name="F4" xfId="564" xr:uid="{00000000-0005-0000-0000-000062020000}"/>
    <cellStyle name="F5" xfId="565" xr:uid="{00000000-0005-0000-0000-000063020000}"/>
    <cellStyle name="F6" xfId="566" xr:uid="{00000000-0005-0000-0000-000064020000}"/>
    <cellStyle name="F7" xfId="567" xr:uid="{00000000-0005-0000-0000-000065020000}"/>
    <cellStyle name="F8" xfId="568" xr:uid="{00000000-0005-0000-0000-000066020000}"/>
    <cellStyle name="Fixed" xfId="569" xr:uid="{00000000-0005-0000-0000-000067020000}"/>
    <cellStyle name="Fixed1 - Style1" xfId="570" xr:uid="{00000000-0005-0000-0000-000068020000}"/>
    <cellStyle name="FORM" xfId="571" xr:uid="{00000000-0005-0000-0000-000069020000}"/>
    <cellStyle name="GC data" xfId="572" xr:uid="{00000000-0005-0000-0000-00006A020000}"/>
    <cellStyle name="ge" xfId="573" xr:uid="{00000000-0005-0000-0000-00006B020000}"/>
    <cellStyle name="general" xfId="574" xr:uid="{00000000-0005-0000-0000-00006C020000}"/>
    <cellStyle name="Grey" xfId="575" xr:uid="{00000000-0005-0000-0000-00006D020000}"/>
    <cellStyle name="HEADER" xfId="576" xr:uid="{00000000-0005-0000-0000-00006E020000}"/>
    <cellStyle name="Header1" xfId="577" xr:uid="{00000000-0005-0000-0000-00006F020000}"/>
    <cellStyle name="Header2" xfId="578" xr:uid="{00000000-0005-0000-0000-000070020000}"/>
    <cellStyle name="Heading1" xfId="579" xr:uid="{00000000-0005-0000-0000-000071020000}"/>
    <cellStyle name="Heading2" xfId="580" xr:uid="{00000000-0005-0000-0000-000072020000}"/>
    <cellStyle name="Hipervínculo visitado_ReportFormat.xls Gráfico 1" xfId="581" xr:uid="{00000000-0005-0000-0000-000073020000}"/>
    <cellStyle name="Hipervínculo_ReportFormat.xls Gráfico 1" xfId="582" xr:uid="{00000000-0005-0000-0000-000074020000}"/>
    <cellStyle name="Hyperlink 2" xfId="583" xr:uid="{00000000-0005-0000-0000-000075020000}"/>
    <cellStyle name="Indian Amount" xfId="584" xr:uid="{00000000-0005-0000-0000-000076020000}"/>
    <cellStyle name="Input [yellow]" xfId="585" xr:uid="{00000000-0005-0000-0000-000077020000}"/>
    <cellStyle name="INR" xfId="586" xr:uid="{00000000-0005-0000-0000-000078020000}"/>
    <cellStyle name="inr (thousand)" xfId="587" xr:uid="{00000000-0005-0000-0000-000079020000}"/>
    <cellStyle name="inr (thousands)" xfId="588" xr:uid="{00000000-0005-0000-0000-00007A020000}"/>
    <cellStyle name="inr(thousand)" xfId="589" xr:uid="{00000000-0005-0000-0000-00007B020000}"/>
    <cellStyle name="inr.ps" xfId="590" xr:uid="{00000000-0005-0000-0000-00007C020000}"/>
    <cellStyle name="INR_Details for Meeting" xfId="591" xr:uid="{00000000-0005-0000-0000-00007D020000}"/>
    <cellStyle name="INR-PS" xfId="592" xr:uid="{00000000-0005-0000-0000-00007E020000}"/>
    <cellStyle name="item2" xfId="593" xr:uid="{00000000-0005-0000-0000-00007F020000}"/>
    <cellStyle name="Labels - Style3" xfId="594" xr:uid="{00000000-0005-0000-0000-000080020000}"/>
    <cellStyle name="Labels - Style3 2" xfId="595" xr:uid="{00000000-0005-0000-0000-000081020000}"/>
    <cellStyle name="lacs" xfId="596" xr:uid="{00000000-0005-0000-0000-000082020000}"/>
    <cellStyle name="LAK" xfId="597" xr:uid="{00000000-0005-0000-0000-000083020000}"/>
    <cellStyle name="Legal 8½ x 14 in" xfId="598" xr:uid="{00000000-0005-0000-0000-000084020000}"/>
    <cellStyle name="Link Currency (0)" xfId="599" xr:uid="{00000000-0005-0000-0000-000085020000}"/>
    <cellStyle name="Link Currency (2)" xfId="600" xr:uid="{00000000-0005-0000-0000-000086020000}"/>
    <cellStyle name="Link Units (0)" xfId="601" xr:uid="{00000000-0005-0000-0000-000087020000}"/>
    <cellStyle name="Link Units (1)" xfId="602" xr:uid="{00000000-0005-0000-0000-000088020000}"/>
    <cellStyle name="Link Units (2)" xfId="603" xr:uid="{00000000-0005-0000-0000-000089020000}"/>
    <cellStyle name="MANKAD" xfId="604" xr:uid="{00000000-0005-0000-0000-00008A020000}"/>
    <cellStyle name="Millares [0]_Delivery Speed and Punctuality" xfId="605" xr:uid="{00000000-0005-0000-0000-00008B020000}"/>
    <cellStyle name="Millares_Delivery Speed and Punctuality" xfId="606" xr:uid="{00000000-0005-0000-0000-00008C020000}"/>
    <cellStyle name="Milliers [0]_FAX!" xfId="607" xr:uid="{00000000-0005-0000-0000-00008D020000}"/>
    <cellStyle name="Milliers_FAX!" xfId="608" xr:uid="{00000000-0005-0000-0000-00008E020000}"/>
    <cellStyle name="Model" xfId="609" xr:uid="{00000000-0005-0000-0000-00008F020000}"/>
    <cellStyle name="Monat" xfId="610" xr:uid="{00000000-0005-0000-0000-000090020000}"/>
    <cellStyle name="Moneda [0]_Delivery Speed and Punctuality" xfId="611" xr:uid="{00000000-0005-0000-0000-000091020000}"/>
    <cellStyle name="Moneda_Delivery Speed and Punctuality" xfId="612" xr:uid="{00000000-0005-0000-0000-000092020000}"/>
    <cellStyle name="Monétaire [0]_FAX!" xfId="613" xr:uid="{00000000-0005-0000-0000-000093020000}"/>
    <cellStyle name="Monétaire_FAX!" xfId="614" xr:uid="{00000000-0005-0000-0000-000094020000}"/>
    <cellStyle name="No Data" xfId="615" xr:uid="{00000000-0005-0000-0000-000095020000}"/>
    <cellStyle name="no dec" xfId="616" xr:uid="{00000000-0005-0000-0000-000096020000}"/>
    <cellStyle name="Norm੎੎" xfId="617" xr:uid="{00000000-0005-0000-0000-000097020000}"/>
    <cellStyle name="Normal" xfId="0" builtinId="0"/>
    <cellStyle name="Normal - Style1" xfId="618" xr:uid="{00000000-0005-0000-0000-000098020000}"/>
    <cellStyle name="Normal 10" xfId="619" xr:uid="{00000000-0005-0000-0000-000099020000}"/>
    <cellStyle name="Normal 10 10 2" xfId="620" xr:uid="{00000000-0005-0000-0000-00009A020000}"/>
    <cellStyle name="Normal 11" xfId="621" xr:uid="{00000000-0005-0000-0000-00009B020000}"/>
    <cellStyle name="Normal 11 2" xfId="622" xr:uid="{00000000-0005-0000-0000-00009C020000}"/>
    <cellStyle name="Normal 12" xfId="623" xr:uid="{00000000-0005-0000-0000-00009D020000}"/>
    <cellStyle name="Normal 13" xfId="624" xr:uid="{00000000-0005-0000-0000-00009E020000}"/>
    <cellStyle name="Normal 2" xfId="625" xr:uid="{00000000-0005-0000-0000-00009F020000}"/>
    <cellStyle name="Normal 2 2" xfId="626" xr:uid="{00000000-0005-0000-0000-0000A0020000}"/>
    <cellStyle name="Normal 2 2 10" xfId="627" xr:uid="{00000000-0005-0000-0000-0000A1020000}"/>
    <cellStyle name="Normal 2 2 10 2" xfId="628" xr:uid="{00000000-0005-0000-0000-0000A2020000}"/>
    <cellStyle name="Normal 2 2 11" xfId="629" xr:uid="{00000000-0005-0000-0000-0000A3020000}"/>
    <cellStyle name="Normal 2 2 11 2" xfId="630" xr:uid="{00000000-0005-0000-0000-0000A4020000}"/>
    <cellStyle name="Normal 2 2 12" xfId="631" xr:uid="{00000000-0005-0000-0000-0000A5020000}"/>
    <cellStyle name="Normal 2 2 12 2" xfId="632" xr:uid="{00000000-0005-0000-0000-0000A6020000}"/>
    <cellStyle name="Normal 2 2 13" xfId="633" xr:uid="{00000000-0005-0000-0000-0000A7020000}"/>
    <cellStyle name="Normal 2 2 13 2" xfId="634" xr:uid="{00000000-0005-0000-0000-0000A8020000}"/>
    <cellStyle name="Normal 2 2 14" xfId="635" xr:uid="{00000000-0005-0000-0000-0000A9020000}"/>
    <cellStyle name="Normal 2 2 14 2" xfId="636" xr:uid="{00000000-0005-0000-0000-0000AA020000}"/>
    <cellStyle name="Normal 2 2 15" xfId="637" xr:uid="{00000000-0005-0000-0000-0000AB020000}"/>
    <cellStyle name="Normal 2 2 15 2" xfId="638" xr:uid="{00000000-0005-0000-0000-0000AC020000}"/>
    <cellStyle name="Normal 2 2 2" xfId="639" xr:uid="{00000000-0005-0000-0000-0000AD020000}"/>
    <cellStyle name="Normal 2 2 2 2" xfId="640" xr:uid="{00000000-0005-0000-0000-0000AE020000}"/>
    <cellStyle name="Normal 2 2 2 2 2" xfId="641" xr:uid="{00000000-0005-0000-0000-0000AF020000}"/>
    <cellStyle name="Normal 2 2 2 2 3" xfId="642" xr:uid="{00000000-0005-0000-0000-0000B0020000}"/>
    <cellStyle name="Normal 2 2 2 3" xfId="643" xr:uid="{00000000-0005-0000-0000-0000B1020000}"/>
    <cellStyle name="Normal 2 2 3" xfId="644" xr:uid="{00000000-0005-0000-0000-0000B2020000}"/>
    <cellStyle name="Normal 2 2 3 2" xfId="645" xr:uid="{00000000-0005-0000-0000-0000B3020000}"/>
    <cellStyle name="Normal 2 2 4" xfId="646" xr:uid="{00000000-0005-0000-0000-0000B4020000}"/>
    <cellStyle name="Normal 2 2 4 2" xfId="647" xr:uid="{00000000-0005-0000-0000-0000B5020000}"/>
    <cellStyle name="Normal 2 2 5" xfId="648" xr:uid="{00000000-0005-0000-0000-0000B6020000}"/>
    <cellStyle name="Normal 2 2 5 2" xfId="649" xr:uid="{00000000-0005-0000-0000-0000B7020000}"/>
    <cellStyle name="Normal 2 2 6" xfId="650" xr:uid="{00000000-0005-0000-0000-0000B8020000}"/>
    <cellStyle name="Normal 2 2 6 2" xfId="651" xr:uid="{00000000-0005-0000-0000-0000B9020000}"/>
    <cellStyle name="Normal 2 2 7" xfId="652" xr:uid="{00000000-0005-0000-0000-0000BA020000}"/>
    <cellStyle name="Normal 2 2 7 2" xfId="653" xr:uid="{00000000-0005-0000-0000-0000BB020000}"/>
    <cellStyle name="Normal 2 2 8" xfId="654" xr:uid="{00000000-0005-0000-0000-0000BC020000}"/>
    <cellStyle name="Normal 2 2 8 2" xfId="655" xr:uid="{00000000-0005-0000-0000-0000BD020000}"/>
    <cellStyle name="Normal 2 2 9" xfId="656" xr:uid="{00000000-0005-0000-0000-0000BE020000}"/>
    <cellStyle name="Normal 2 2 9 2" xfId="657" xr:uid="{00000000-0005-0000-0000-0000BF020000}"/>
    <cellStyle name="Normal 2 2_Capex Sheet RB - Delhi- 20-11-2012" xfId="658" xr:uid="{00000000-0005-0000-0000-0000C0020000}"/>
    <cellStyle name="Normal 2 3" xfId="659" xr:uid="{00000000-0005-0000-0000-0000C1020000}"/>
    <cellStyle name="Normal 2 3 2" xfId="660" xr:uid="{00000000-0005-0000-0000-0000C2020000}"/>
    <cellStyle name="Normal 2 3 3" xfId="661" xr:uid="{00000000-0005-0000-0000-0000C3020000}"/>
    <cellStyle name="Normal 2 4" xfId="662" xr:uid="{00000000-0005-0000-0000-0000C4020000}"/>
    <cellStyle name="Normal 2 5" xfId="663" xr:uid="{00000000-0005-0000-0000-0000C5020000}"/>
    <cellStyle name="Normal 2 6" xfId="664" xr:uid="{00000000-0005-0000-0000-0000C6020000}"/>
    <cellStyle name="Normal 2 7" xfId="665" xr:uid="{00000000-0005-0000-0000-0000C7020000}"/>
    <cellStyle name="Normal 2 8" xfId="666" xr:uid="{00000000-0005-0000-0000-0000C8020000}"/>
    <cellStyle name="Normal 2 9" xfId="667" xr:uid="{00000000-0005-0000-0000-0000C9020000}"/>
    <cellStyle name="Normal 2_110506 Mihan Capex Format Complete" xfId="668" xr:uid="{00000000-0005-0000-0000-0000CA020000}"/>
    <cellStyle name="Normal 3" xfId="669" xr:uid="{00000000-0005-0000-0000-0000CB020000}"/>
    <cellStyle name="Normal 3 2" xfId="670" xr:uid="{00000000-0005-0000-0000-0000CC020000}"/>
    <cellStyle name="Normal 3 2 2" xfId="671" xr:uid="{00000000-0005-0000-0000-0000CD020000}"/>
    <cellStyle name="Normal 3 3" xfId="672" xr:uid="{00000000-0005-0000-0000-0000CE020000}"/>
    <cellStyle name="Normal 3 4" xfId="673" xr:uid="{00000000-0005-0000-0000-0000CF020000}"/>
    <cellStyle name="Normal 3_Copy of ITT data requirement from Haryana DC Operation" xfId="674" xr:uid="{00000000-0005-0000-0000-0000D0020000}"/>
    <cellStyle name="Normal 4" xfId="675" xr:uid="{00000000-0005-0000-0000-0000D1020000}"/>
    <cellStyle name="Normal 4 2" xfId="676" xr:uid="{00000000-0005-0000-0000-0000D2020000}"/>
    <cellStyle name="Normal 4 3" xfId="677" xr:uid="{00000000-0005-0000-0000-0000D3020000}"/>
    <cellStyle name="Normal 5" xfId="678" xr:uid="{00000000-0005-0000-0000-0000D4020000}"/>
    <cellStyle name="Normal 5 2" xfId="679" xr:uid="{00000000-0005-0000-0000-0000D5020000}"/>
    <cellStyle name="Normal 5 3" xfId="680" xr:uid="{00000000-0005-0000-0000-0000D6020000}"/>
    <cellStyle name="Normal 5_17-06-2011 ITC revision" xfId="681" xr:uid="{00000000-0005-0000-0000-0000D7020000}"/>
    <cellStyle name="Normal 57 4" xfId="682" xr:uid="{00000000-0005-0000-0000-0000D8020000}"/>
    <cellStyle name="Normal 6" xfId="683" xr:uid="{00000000-0005-0000-0000-0000D9020000}"/>
    <cellStyle name="Normal 6 2" xfId="684" xr:uid="{00000000-0005-0000-0000-0000DA020000}"/>
    <cellStyle name="Normal 6 3" xfId="685" xr:uid="{00000000-0005-0000-0000-0000DB020000}"/>
    <cellStyle name="Normal 7" xfId="686" xr:uid="{00000000-0005-0000-0000-0000DC020000}"/>
    <cellStyle name="Normal 8" xfId="687" xr:uid="{00000000-0005-0000-0000-0000DD020000}"/>
    <cellStyle name="Normal 8 2" xfId="688" xr:uid="{00000000-0005-0000-0000-0000DE020000}"/>
    <cellStyle name="Normal 9" xfId="689" xr:uid="{00000000-0005-0000-0000-0000DF020000}"/>
    <cellStyle name="Normal 9 2" xfId="690" xr:uid="{00000000-0005-0000-0000-0000E0020000}"/>
    <cellStyle name="Normal_Working 1.0" xfId="691" xr:uid="{00000000-0005-0000-0000-0000E1020000}"/>
    <cellStyle name="Normale_gen_list_c" xfId="692" xr:uid="{00000000-0005-0000-0000-0000E3020000}"/>
    <cellStyle name="Note 2" xfId="693" xr:uid="{00000000-0005-0000-0000-0000E4020000}"/>
    <cellStyle name="Note 2 2" xfId="694" xr:uid="{00000000-0005-0000-0000-0000E5020000}"/>
    <cellStyle name="Note 2 3" xfId="695" xr:uid="{00000000-0005-0000-0000-0000E6020000}"/>
    <cellStyle name="number" xfId="696" xr:uid="{00000000-0005-0000-0000-0000E7020000}"/>
    <cellStyle name="Obsolete" xfId="697" xr:uid="{00000000-0005-0000-0000-0000E8020000}"/>
    <cellStyle name="Output Amounts" xfId="698" xr:uid="{00000000-0005-0000-0000-0000E9020000}"/>
    <cellStyle name="Output Line Items" xfId="699" xr:uid="{00000000-0005-0000-0000-0000EA020000}"/>
    <cellStyle name="OverHead" xfId="700" xr:uid="{00000000-0005-0000-0000-0000EB020000}"/>
    <cellStyle name="Percen - Style2" xfId="701" xr:uid="{00000000-0005-0000-0000-0000EC020000}"/>
    <cellStyle name="Percent" xfId="2" builtinId="5"/>
    <cellStyle name="Percent [0]" xfId="702" xr:uid="{00000000-0005-0000-0000-0000ED020000}"/>
    <cellStyle name="Percent [00]" xfId="703" xr:uid="{00000000-0005-0000-0000-0000EE020000}"/>
    <cellStyle name="Percent [2]" xfId="704" xr:uid="{00000000-0005-0000-0000-0000EF020000}"/>
    <cellStyle name="Percent 2" xfId="705" xr:uid="{00000000-0005-0000-0000-0000F0020000}"/>
    <cellStyle name="Percent 2 2" xfId="706" xr:uid="{00000000-0005-0000-0000-0000F1020000}"/>
    <cellStyle name="Percent 2 2 11" xfId="707" xr:uid="{00000000-0005-0000-0000-0000F2020000}"/>
    <cellStyle name="Percent 2 2 11 2" xfId="708" xr:uid="{00000000-0005-0000-0000-0000F3020000}"/>
    <cellStyle name="Percent 2 2 2" xfId="709" xr:uid="{00000000-0005-0000-0000-0000F4020000}"/>
    <cellStyle name="Percent 2 2 2 2" xfId="710" xr:uid="{00000000-0005-0000-0000-0000F5020000}"/>
    <cellStyle name="Percent 2 2 3" xfId="711" xr:uid="{00000000-0005-0000-0000-0000F6020000}"/>
    <cellStyle name="Percent 2 3" xfId="712" xr:uid="{00000000-0005-0000-0000-0000F7020000}"/>
    <cellStyle name="Percent 2 4" xfId="713" xr:uid="{00000000-0005-0000-0000-0000F8020000}"/>
    <cellStyle name="Percent 3" xfId="714" xr:uid="{00000000-0005-0000-0000-0000F9020000}"/>
    <cellStyle name="Percent 3 2" xfId="715" xr:uid="{00000000-0005-0000-0000-0000FA020000}"/>
    <cellStyle name="Percent 3 3" xfId="716" xr:uid="{00000000-0005-0000-0000-0000FB020000}"/>
    <cellStyle name="Percent 4" xfId="717" xr:uid="{00000000-0005-0000-0000-0000FC020000}"/>
    <cellStyle name="Percent 4 2" xfId="718" xr:uid="{00000000-0005-0000-0000-0000FD020000}"/>
    <cellStyle name="Percent 4 2 2" xfId="719" xr:uid="{00000000-0005-0000-0000-0000FE020000}"/>
    <cellStyle name="Percent 4 2 3" xfId="720" xr:uid="{00000000-0005-0000-0000-0000FF020000}"/>
    <cellStyle name="Percent 4 3" xfId="721" xr:uid="{00000000-0005-0000-0000-000000030000}"/>
    <cellStyle name="Percent 5" xfId="722" xr:uid="{00000000-0005-0000-0000-000001030000}"/>
    <cellStyle name="Percent 5 2" xfId="723" xr:uid="{00000000-0005-0000-0000-000002030000}"/>
    <cellStyle name="Percent 6" xfId="724" xr:uid="{00000000-0005-0000-0000-000003030000}"/>
    <cellStyle name="Percent 7" xfId="725" xr:uid="{00000000-0005-0000-0000-000004030000}"/>
    <cellStyle name="Percent 8" xfId="726" xr:uid="{00000000-0005-0000-0000-000005030000}"/>
    <cellStyle name="Percent 9" xfId="727" xr:uid="{00000000-0005-0000-0000-000006030000}"/>
    <cellStyle name="PrePop Currency (0)" xfId="728" xr:uid="{00000000-0005-0000-0000-000007030000}"/>
    <cellStyle name="PrePop Currency (2)" xfId="729" xr:uid="{00000000-0005-0000-0000-000008030000}"/>
    <cellStyle name="PrePop Units (0)" xfId="730" xr:uid="{00000000-0005-0000-0000-000009030000}"/>
    <cellStyle name="PrePop Units (1)" xfId="731" xr:uid="{00000000-0005-0000-0000-00000A030000}"/>
    <cellStyle name="PrePop Units (2)" xfId="732" xr:uid="{00000000-0005-0000-0000-00000B030000}"/>
    <cellStyle name="Quantity" xfId="733" xr:uid="{00000000-0005-0000-0000-00000C030000}"/>
    <cellStyle name="Reset  - Style4" xfId="734" xr:uid="{00000000-0005-0000-0000-00000D030000}"/>
    <cellStyle name="RevList" xfId="735" xr:uid="{00000000-0005-0000-0000-00000E030000}"/>
    <cellStyle name="Rs" xfId="736" xr:uid="{00000000-0005-0000-0000-00000F030000}"/>
    <cellStyle name="RS (000)" xfId="737" xr:uid="{00000000-0005-0000-0000-000010030000}"/>
    <cellStyle name="rs.ps" xfId="738" xr:uid="{00000000-0005-0000-0000-000011030000}"/>
    <cellStyle name="rs.ps(000)" xfId="739" xr:uid="{00000000-0005-0000-0000-000012030000}"/>
    <cellStyle name="rs.ps_Infogroup BS-Format sent by VS 101204 14 PM   Net  A3 Formatting    2" xfId="740" xr:uid="{00000000-0005-0000-0000-000013030000}"/>
    <cellStyle name="rs_cash flow format" xfId="741" xr:uid="{00000000-0005-0000-0000-000014030000}"/>
    <cellStyle name="S" xfId="742" xr:uid="{00000000-0005-0000-0000-000015030000}"/>
    <cellStyle name="S - Style4" xfId="743" xr:uid="{00000000-0005-0000-0000-000016030000}"/>
    <cellStyle name="S## ## ## ###.00" xfId="744" xr:uid="{00000000-0005-0000-0000-000017030000}"/>
    <cellStyle name="SAPBEXaggData" xfId="745" xr:uid="{00000000-0005-0000-0000-000018030000}"/>
    <cellStyle name="SAPBEXaggData 2" xfId="746" xr:uid="{00000000-0005-0000-0000-000019030000}"/>
    <cellStyle name="SAPBEXaggDataEmph" xfId="747" xr:uid="{00000000-0005-0000-0000-00001A030000}"/>
    <cellStyle name="SAPBEXaggDataEmph 2" xfId="748" xr:uid="{00000000-0005-0000-0000-00001B030000}"/>
    <cellStyle name="SAPBEXaggItem" xfId="749" xr:uid="{00000000-0005-0000-0000-00001C030000}"/>
    <cellStyle name="SAPBEXaggItem 2" xfId="750" xr:uid="{00000000-0005-0000-0000-00001D030000}"/>
    <cellStyle name="SAPBEXaggItemX" xfId="751" xr:uid="{00000000-0005-0000-0000-00001E030000}"/>
    <cellStyle name="SAPBEXaggItemX 2" xfId="752" xr:uid="{00000000-0005-0000-0000-00001F030000}"/>
    <cellStyle name="SAPBEXchaText" xfId="753" xr:uid="{00000000-0005-0000-0000-000020030000}"/>
    <cellStyle name="SAPBEXexcBad7" xfId="754" xr:uid="{00000000-0005-0000-0000-000021030000}"/>
    <cellStyle name="SAPBEXexcBad7 2" xfId="755" xr:uid="{00000000-0005-0000-0000-000022030000}"/>
    <cellStyle name="SAPBEXexcBad8" xfId="756" xr:uid="{00000000-0005-0000-0000-000023030000}"/>
    <cellStyle name="SAPBEXexcBad8 2" xfId="757" xr:uid="{00000000-0005-0000-0000-000024030000}"/>
    <cellStyle name="SAPBEXexcBad9" xfId="758" xr:uid="{00000000-0005-0000-0000-000025030000}"/>
    <cellStyle name="SAPBEXexcBad9 2" xfId="759" xr:uid="{00000000-0005-0000-0000-000026030000}"/>
    <cellStyle name="SAPBEXexcCritical4" xfId="760" xr:uid="{00000000-0005-0000-0000-000027030000}"/>
    <cellStyle name="SAPBEXexcCritical4 2" xfId="761" xr:uid="{00000000-0005-0000-0000-000028030000}"/>
    <cellStyle name="SAPBEXexcCritical5" xfId="762" xr:uid="{00000000-0005-0000-0000-000029030000}"/>
    <cellStyle name="SAPBEXexcCritical5 2" xfId="763" xr:uid="{00000000-0005-0000-0000-00002A030000}"/>
    <cellStyle name="SAPBEXexcCritical6" xfId="764" xr:uid="{00000000-0005-0000-0000-00002B030000}"/>
    <cellStyle name="SAPBEXexcCritical6 2" xfId="765" xr:uid="{00000000-0005-0000-0000-00002C030000}"/>
    <cellStyle name="SAPBEXexcGood1" xfId="766" xr:uid="{00000000-0005-0000-0000-00002D030000}"/>
    <cellStyle name="SAPBEXexcGood1 2" xfId="767" xr:uid="{00000000-0005-0000-0000-00002E030000}"/>
    <cellStyle name="SAPBEXexcGood2" xfId="768" xr:uid="{00000000-0005-0000-0000-00002F030000}"/>
    <cellStyle name="SAPBEXexcGood2 2" xfId="769" xr:uid="{00000000-0005-0000-0000-000030030000}"/>
    <cellStyle name="SAPBEXexcGood3" xfId="770" xr:uid="{00000000-0005-0000-0000-000031030000}"/>
    <cellStyle name="SAPBEXexcGood3 2" xfId="771" xr:uid="{00000000-0005-0000-0000-000032030000}"/>
    <cellStyle name="SAPBEXfilterDrill" xfId="772" xr:uid="{00000000-0005-0000-0000-000033030000}"/>
    <cellStyle name="SAPBEXfilterItem" xfId="773" xr:uid="{00000000-0005-0000-0000-000034030000}"/>
    <cellStyle name="SAPBEXfilterText" xfId="774" xr:uid="{00000000-0005-0000-0000-000035030000}"/>
    <cellStyle name="SAPBEXformats" xfId="775" xr:uid="{00000000-0005-0000-0000-000036030000}"/>
    <cellStyle name="SAPBEXformats 2" xfId="776" xr:uid="{00000000-0005-0000-0000-000037030000}"/>
    <cellStyle name="SAPBEXheaderItem" xfId="777" xr:uid="{00000000-0005-0000-0000-000038030000}"/>
    <cellStyle name="SAPBEXheaderText" xfId="778" xr:uid="{00000000-0005-0000-0000-000039030000}"/>
    <cellStyle name="SAPBEXHLevel0" xfId="779" xr:uid="{00000000-0005-0000-0000-00003A030000}"/>
    <cellStyle name="SAPBEXHLevel0 2" xfId="780" xr:uid="{00000000-0005-0000-0000-00003B030000}"/>
    <cellStyle name="SAPBEXHLevel0X" xfId="781" xr:uid="{00000000-0005-0000-0000-00003C030000}"/>
    <cellStyle name="SAPBEXHLevel0X 2" xfId="782" xr:uid="{00000000-0005-0000-0000-00003D030000}"/>
    <cellStyle name="SAPBEXHLevel1" xfId="783" xr:uid="{00000000-0005-0000-0000-00003E030000}"/>
    <cellStyle name="SAPBEXHLevel1 2" xfId="784" xr:uid="{00000000-0005-0000-0000-00003F030000}"/>
    <cellStyle name="SAPBEXHLevel1X" xfId="785" xr:uid="{00000000-0005-0000-0000-000040030000}"/>
    <cellStyle name="SAPBEXHLevel1X 2" xfId="786" xr:uid="{00000000-0005-0000-0000-000041030000}"/>
    <cellStyle name="SAPBEXHLevel2" xfId="787" xr:uid="{00000000-0005-0000-0000-000042030000}"/>
    <cellStyle name="SAPBEXHLevel2 2" xfId="788" xr:uid="{00000000-0005-0000-0000-000043030000}"/>
    <cellStyle name="SAPBEXHLevel2X" xfId="789" xr:uid="{00000000-0005-0000-0000-000044030000}"/>
    <cellStyle name="SAPBEXHLevel2X 2" xfId="790" xr:uid="{00000000-0005-0000-0000-000045030000}"/>
    <cellStyle name="SAPBEXHLevel3" xfId="791" xr:uid="{00000000-0005-0000-0000-000046030000}"/>
    <cellStyle name="SAPBEXHLevel3 2" xfId="792" xr:uid="{00000000-0005-0000-0000-000047030000}"/>
    <cellStyle name="SAPBEXHLevel3X" xfId="793" xr:uid="{00000000-0005-0000-0000-000048030000}"/>
    <cellStyle name="SAPBEXHLevel3X 2" xfId="794" xr:uid="{00000000-0005-0000-0000-000049030000}"/>
    <cellStyle name="SAPBEXresData" xfId="795" xr:uid="{00000000-0005-0000-0000-00004A030000}"/>
    <cellStyle name="SAPBEXresData 2" xfId="796" xr:uid="{00000000-0005-0000-0000-00004B030000}"/>
    <cellStyle name="SAPBEXresDataEmph" xfId="797" xr:uid="{00000000-0005-0000-0000-00004C030000}"/>
    <cellStyle name="SAPBEXresDataEmph 2" xfId="798" xr:uid="{00000000-0005-0000-0000-00004D030000}"/>
    <cellStyle name="SAPBEXresItem" xfId="799" xr:uid="{00000000-0005-0000-0000-00004E030000}"/>
    <cellStyle name="SAPBEXresItem 2" xfId="800" xr:uid="{00000000-0005-0000-0000-00004F030000}"/>
    <cellStyle name="SAPBEXresItemX" xfId="801" xr:uid="{00000000-0005-0000-0000-000050030000}"/>
    <cellStyle name="SAPBEXresItemX 2" xfId="802" xr:uid="{00000000-0005-0000-0000-000051030000}"/>
    <cellStyle name="SAPBEXstdData" xfId="803" xr:uid="{00000000-0005-0000-0000-000052030000}"/>
    <cellStyle name="SAPBEXstdData 2" xfId="804" xr:uid="{00000000-0005-0000-0000-000053030000}"/>
    <cellStyle name="SAPBEXstdDataEmph" xfId="805" xr:uid="{00000000-0005-0000-0000-000054030000}"/>
    <cellStyle name="SAPBEXstdDataEmph 2" xfId="806" xr:uid="{00000000-0005-0000-0000-000055030000}"/>
    <cellStyle name="SAPBEXstdItem" xfId="807" xr:uid="{00000000-0005-0000-0000-000056030000}"/>
    <cellStyle name="SAPBEXstdItem 2" xfId="808" xr:uid="{00000000-0005-0000-0000-000057030000}"/>
    <cellStyle name="SAPBEXstdItem 2 2" xfId="809" xr:uid="{00000000-0005-0000-0000-000058030000}"/>
    <cellStyle name="SAPBEXstdItem 3" xfId="810" xr:uid="{00000000-0005-0000-0000-000059030000}"/>
    <cellStyle name="SAPBEXstdItemX" xfId="811" xr:uid="{00000000-0005-0000-0000-00005A030000}"/>
    <cellStyle name="SAPBEXstdItemX 2" xfId="812" xr:uid="{00000000-0005-0000-0000-00005B030000}"/>
    <cellStyle name="SAPBEXtitle" xfId="813" xr:uid="{00000000-0005-0000-0000-00005C030000}"/>
    <cellStyle name="SAPBEXundefined" xfId="814" xr:uid="{00000000-0005-0000-0000-00005D030000}"/>
    <cellStyle name="SAPBEXundefined 2" xfId="815" xr:uid="{00000000-0005-0000-0000-00005E030000}"/>
    <cellStyle name="Sheet Title" xfId="816" xr:uid="{00000000-0005-0000-0000-00005F030000}"/>
    <cellStyle name="Standaard_BUDGET_2001" xfId="817" xr:uid="{00000000-0005-0000-0000-000060030000}"/>
    <cellStyle name="Standard_A" xfId="818" xr:uid="{00000000-0005-0000-0000-000061030000}"/>
    <cellStyle name="Style 1" xfId="819" xr:uid="{00000000-0005-0000-0000-000062030000}"/>
    <cellStyle name="Style 1 2" xfId="820" xr:uid="{00000000-0005-0000-0000-000063030000}"/>
    <cellStyle name="Style 1 3" xfId="821" xr:uid="{00000000-0005-0000-0000-000064030000}"/>
    <cellStyle name="Style 1 4" xfId="822" xr:uid="{00000000-0005-0000-0000-000065030000}"/>
    <cellStyle name="Style 1 4 2" xfId="823" xr:uid="{00000000-0005-0000-0000-000066030000}"/>
    <cellStyle name="Style 1 5" xfId="824" xr:uid="{00000000-0005-0000-0000-000067030000}"/>
    <cellStyle name="Style 1 6" xfId="825" xr:uid="{00000000-0005-0000-0000-000068030000}"/>
    <cellStyle name="Style 1 7" xfId="826" xr:uid="{00000000-0005-0000-0000-000069030000}"/>
    <cellStyle name="Style 1 8" xfId="827" xr:uid="{00000000-0005-0000-0000-00006A030000}"/>
    <cellStyle name="Style 1 9" xfId="828" xr:uid="{00000000-0005-0000-0000-00006B030000}"/>
    <cellStyle name="Style 1_Balance Sheet &amp; PL template" xfId="829" xr:uid="{00000000-0005-0000-0000-00006C030000}"/>
    <cellStyle name="subhead" xfId="830" xr:uid="{00000000-0005-0000-0000-00006D030000}"/>
    <cellStyle name="Subheader" xfId="831" xr:uid="{00000000-0005-0000-0000-00006E030000}"/>
    <cellStyle name="SubSubTotal" xfId="832" xr:uid="{00000000-0005-0000-0000-00006F030000}"/>
    <cellStyle name="Subtotal" xfId="833" xr:uid="{00000000-0005-0000-0000-000070030000}"/>
    <cellStyle name="Table  - Style5" xfId="834" xr:uid="{00000000-0005-0000-0000-000071030000}"/>
    <cellStyle name="Table  - Style5 2" xfId="835" xr:uid="{00000000-0005-0000-0000-000072030000}"/>
    <cellStyle name="Text Indent A" xfId="836" xr:uid="{00000000-0005-0000-0000-000073030000}"/>
    <cellStyle name="Text Indent B" xfId="837" xr:uid="{00000000-0005-0000-0000-000074030000}"/>
    <cellStyle name="Text Indent C" xfId="838" xr:uid="{00000000-0005-0000-0000-000075030000}"/>
    <cellStyle name="Times New Roman" xfId="839" xr:uid="{00000000-0005-0000-0000-000076030000}"/>
    <cellStyle name="Titel" xfId="840" xr:uid="{00000000-0005-0000-0000-000077030000}"/>
    <cellStyle name="Title  - Style6" xfId="841" xr:uid="{00000000-0005-0000-0000-000078030000}"/>
    <cellStyle name="Titre1" xfId="842" xr:uid="{00000000-0005-0000-0000-000079030000}"/>
    <cellStyle name="Total 2" xfId="843" xr:uid="{00000000-0005-0000-0000-00007A030000}"/>
    <cellStyle name="TotCol - Style7" xfId="844" xr:uid="{00000000-0005-0000-0000-00007B030000}"/>
    <cellStyle name="TotRow - Style8" xfId="845" xr:uid="{00000000-0005-0000-0000-00007C030000}"/>
    <cellStyle name="TotRow - Style8 2" xfId="846" xr:uid="{00000000-0005-0000-0000-00007D030000}"/>
    <cellStyle name="Vide" xfId="847" xr:uid="{00000000-0005-0000-0000-00007E030000}"/>
    <cellStyle name="Währung [0]_APPROACH" xfId="848" xr:uid="{00000000-0005-0000-0000-00007F030000}"/>
    <cellStyle name="Währung_APPROACH" xfId="849" xr:uid="{00000000-0005-0000-0000-000080030000}"/>
    <cellStyle name="뷭?_BOOKSHIP_ 인원 " xfId="850" xr:uid="{00000000-0005-0000-0000-000081030000}"/>
    <cellStyle name="쉼표_Dell Hubs Rate Jul_2004 v.3.5_Anis" xfId="851" xr:uid="{00000000-0005-0000-0000-000082030000}"/>
    <cellStyle name="콤마 [0]_ 비목별 월별기술 " xfId="852" xr:uid="{00000000-0005-0000-0000-000083030000}"/>
    <cellStyle name="콤마_ 비목별 월별기술 " xfId="853" xr:uid="{00000000-0005-0000-0000-000084030000}"/>
    <cellStyle name="통화 [0]_ 비목별 월별기술 " xfId="854" xr:uid="{00000000-0005-0000-0000-000085030000}"/>
    <cellStyle name="통화_ 비목별 월별기술 " xfId="855" xr:uid="{00000000-0005-0000-0000-000086030000}"/>
    <cellStyle name="표준_ 1-3 " xfId="856" xr:uid="{00000000-0005-0000-0000-000087030000}"/>
    <cellStyle name="一般_2002-02-DT ROD cost" xfId="857" xr:uid="{00000000-0005-0000-0000-000088030000}"/>
    <cellStyle name="千位分隔 2" xfId="858" xr:uid="{00000000-0005-0000-0000-000089030000}"/>
    <cellStyle name="千位分隔 2 2" xfId="859" xr:uid="{00000000-0005-0000-0000-00008A030000}"/>
    <cellStyle name="千位分隔 3" xfId="860" xr:uid="{00000000-0005-0000-0000-00008B030000}"/>
    <cellStyle name="千位分隔 4" xfId="861" xr:uid="{00000000-0005-0000-0000-00008C030000}"/>
    <cellStyle name="千位分隔 5" xfId="862" xr:uid="{00000000-0005-0000-0000-00008D030000}"/>
    <cellStyle name="千位分隔 6" xfId="863" xr:uid="{00000000-0005-0000-0000-00008E030000}"/>
    <cellStyle name="千位分隔 7" xfId="864" xr:uid="{00000000-0005-0000-0000-00008F030000}"/>
    <cellStyle name="千位分隔 8" xfId="865" xr:uid="{00000000-0005-0000-0000-000090030000}"/>
    <cellStyle name="千位分隔 9" xfId="866" xr:uid="{00000000-0005-0000-0000-000091030000}"/>
    <cellStyle name="千分位_Dell_Taiwan_Wh_Billing_Aug04" xfId="867" xr:uid="{00000000-0005-0000-0000-000092030000}"/>
    <cellStyle name="好" xfId="868" xr:uid="{00000000-0005-0000-0000-000093030000}"/>
    <cellStyle name="差" xfId="869" xr:uid="{00000000-0005-0000-0000-000094030000}"/>
    <cellStyle name="常规 2" xfId="870" xr:uid="{00000000-0005-0000-0000-000095030000}"/>
    <cellStyle name="常规 3" xfId="871" xr:uid="{00000000-0005-0000-0000-000096030000}"/>
    <cellStyle name="常规 4 2" xfId="872" xr:uid="{00000000-0005-0000-0000-000097030000}"/>
    <cellStyle name="常规 4 3" xfId="873" xr:uid="{00000000-0005-0000-0000-000098030000}"/>
    <cellStyle name="常规_Sheet1" xfId="874" xr:uid="{00000000-0005-0000-0000-000099030000}"/>
    <cellStyle name="强调文字颜色 1" xfId="875" xr:uid="{00000000-0005-0000-0000-00009A030000}"/>
    <cellStyle name="强调文字颜色 2" xfId="876" xr:uid="{00000000-0005-0000-0000-00009B030000}"/>
    <cellStyle name="强调文字颜色 3" xfId="877" xr:uid="{00000000-0005-0000-0000-00009C030000}"/>
    <cellStyle name="强调文字颜色 4" xfId="878" xr:uid="{00000000-0005-0000-0000-00009D030000}"/>
    <cellStyle name="强调文字颜色 5" xfId="879" xr:uid="{00000000-0005-0000-0000-00009E030000}"/>
    <cellStyle name="强调文字颜色 6" xfId="880" xr:uid="{00000000-0005-0000-0000-00009F030000}"/>
    <cellStyle name="标题" xfId="881" xr:uid="{00000000-0005-0000-0000-0000A0030000}"/>
    <cellStyle name="标题 1" xfId="882" xr:uid="{00000000-0005-0000-0000-0000A1030000}"/>
    <cellStyle name="标题 2" xfId="883" xr:uid="{00000000-0005-0000-0000-0000A2030000}"/>
    <cellStyle name="标题 3" xfId="884" xr:uid="{00000000-0005-0000-0000-0000A3030000}"/>
    <cellStyle name="标题 4" xfId="885" xr:uid="{00000000-0005-0000-0000-0000A4030000}"/>
    <cellStyle name="样式 1" xfId="886" xr:uid="{00000000-0005-0000-0000-0000A5030000}"/>
    <cellStyle name="桁区切り [0.00]_laroux" xfId="887" xr:uid="{00000000-0005-0000-0000-0000A6030000}"/>
    <cellStyle name="桁区切り_laroux" xfId="888" xr:uid="{00000000-0005-0000-0000-0000A7030000}"/>
    <cellStyle name="检查单元格" xfId="889" xr:uid="{00000000-0005-0000-0000-0000A8030000}"/>
    <cellStyle name="標準_94物件" xfId="890" xr:uid="{00000000-0005-0000-0000-0000A9030000}"/>
    <cellStyle name="汇总" xfId="891" xr:uid="{00000000-0005-0000-0000-0000AA030000}"/>
    <cellStyle name="汇总 2" xfId="892" xr:uid="{00000000-0005-0000-0000-0000AB030000}"/>
    <cellStyle name="注释" xfId="893" xr:uid="{00000000-0005-0000-0000-0000AC030000}"/>
    <cellStyle name="注释 2" xfId="894" xr:uid="{00000000-0005-0000-0000-0000AD030000}"/>
    <cellStyle name="百分比 2" xfId="895" xr:uid="{00000000-0005-0000-0000-0000AE030000}"/>
    <cellStyle name="解释性文本" xfId="896" xr:uid="{00000000-0005-0000-0000-0000AF030000}"/>
    <cellStyle name="警告文本" xfId="897" xr:uid="{00000000-0005-0000-0000-0000B0030000}"/>
    <cellStyle name="计算" xfId="898" xr:uid="{00000000-0005-0000-0000-0000B1030000}"/>
    <cellStyle name="计算 2" xfId="899" xr:uid="{00000000-0005-0000-0000-0000B2030000}"/>
    <cellStyle name="货币 2" xfId="900" xr:uid="{00000000-0005-0000-0000-0000B3030000}"/>
    <cellStyle name="货币 2 2" xfId="901" xr:uid="{00000000-0005-0000-0000-0000B4030000}"/>
    <cellStyle name="货币 2 3" xfId="902" xr:uid="{00000000-0005-0000-0000-0000B5030000}"/>
    <cellStyle name="货币 2 4" xfId="903" xr:uid="{00000000-0005-0000-0000-0000B6030000}"/>
    <cellStyle name="货币 2 5" xfId="904" xr:uid="{00000000-0005-0000-0000-0000B7030000}"/>
    <cellStyle name="货币 2 6" xfId="905" xr:uid="{00000000-0005-0000-0000-0000B8030000}"/>
    <cellStyle name="货币 2_Quotation Table Nov.5th" xfId="906" xr:uid="{00000000-0005-0000-0000-0000B9030000}"/>
    <cellStyle name="输入" xfId="907" xr:uid="{00000000-0005-0000-0000-0000BA030000}"/>
    <cellStyle name="输入 2" xfId="908" xr:uid="{00000000-0005-0000-0000-0000BB030000}"/>
    <cellStyle name="输出" xfId="909" xr:uid="{00000000-0005-0000-0000-0000BC030000}"/>
    <cellStyle name="输出 2" xfId="910" xr:uid="{00000000-0005-0000-0000-0000BD030000}"/>
    <cellStyle name="适中" xfId="911" xr:uid="{00000000-0005-0000-0000-0000BE030000}"/>
    <cellStyle name="通貨 [0.00]_laroux" xfId="912" xr:uid="{00000000-0005-0000-0000-0000BF030000}"/>
    <cellStyle name="通貨_laroux" xfId="913" xr:uid="{00000000-0005-0000-0000-0000C0030000}"/>
    <cellStyle name="链接单元格" xfId="914" xr:uid="{00000000-0005-0000-0000-0000C1030000}"/>
  </cellStyles>
  <dxfs count="46">
    <dxf>
      <font>
        <b val="0"/>
        <sz val="11"/>
        <color indexed="16"/>
      </font>
      <fill>
        <patternFill patternType="solid">
          <fgColor indexed="33"/>
          <bgColor indexed="10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16"/>
      </font>
      <fill>
        <patternFill patternType="solid">
          <fgColor indexed="33"/>
          <bgColor indexed="10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font>
        <b val="0"/>
        <sz val="11"/>
        <color indexed="63"/>
      </font>
      <fill>
        <patternFill patternType="solid">
          <fgColor indexed="26"/>
          <bgColor indexed="4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97.xml"/><Relationship Id="rId21" Type="http://schemas.openxmlformats.org/officeDocument/2006/relationships/externalLink" Target="externalLinks/externalLink1.xml"/><Relationship Id="rId42" Type="http://schemas.openxmlformats.org/officeDocument/2006/relationships/externalLink" Target="externalLinks/externalLink22.xml"/><Relationship Id="rId63" Type="http://schemas.openxmlformats.org/officeDocument/2006/relationships/externalLink" Target="externalLinks/externalLink43.xml"/><Relationship Id="rId84" Type="http://schemas.openxmlformats.org/officeDocument/2006/relationships/externalLink" Target="externalLinks/externalLink64.xml"/><Relationship Id="rId138" Type="http://schemas.openxmlformats.org/officeDocument/2006/relationships/externalLink" Target="externalLinks/externalLink118.xml"/><Relationship Id="rId159" Type="http://schemas.openxmlformats.org/officeDocument/2006/relationships/customXml" Target="../customXml/item1.xml"/><Relationship Id="rId107" Type="http://schemas.openxmlformats.org/officeDocument/2006/relationships/externalLink" Target="externalLinks/externalLink87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2.xml"/><Relationship Id="rId53" Type="http://schemas.openxmlformats.org/officeDocument/2006/relationships/externalLink" Target="externalLinks/externalLink33.xml"/><Relationship Id="rId74" Type="http://schemas.openxmlformats.org/officeDocument/2006/relationships/externalLink" Target="externalLinks/externalLink54.xml"/><Relationship Id="rId128" Type="http://schemas.openxmlformats.org/officeDocument/2006/relationships/externalLink" Target="externalLinks/externalLink108.xml"/><Relationship Id="rId149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75.xml"/><Relationship Id="rId160" Type="http://schemas.openxmlformats.org/officeDocument/2006/relationships/customXml" Target="../customXml/item2.xml"/><Relationship Id="rId22" Type="http://schemas.openxmlformats.org/officeDocument/2006/relationships/externalLink" Target="externalLinks/externalLink2.xml"/><Relationship Id="rId43" Type="http://schemas.openxmlformats.org/officeDocument/2006/relationships/externalLink" Target="externalLinks/externalLink23.xml"/><Relationship Id="rId64" Type="http://schemas.openxmlformats.org/officeDocument/2006/relationships/externalLink" Target="externalLinks/externalLink44.xml"/><Relationship Id="rId118" Type="http://schemas.openxmlformats.org/officeDocument/2006/relationships/externalLink" Target="externalLinks/externalLink98.xml"/><Relationship Id="rId139" Type="http://schemas.openxmlformats.org/officeDocument/2006/relationships/externalLink" Target="externalLinks/externalLink119.xml"/><Relationship Id="rId85" Type="http://schemas.openxmlformats.org/officeDocument/2006/relationships/externalLink" Target="externalLinks/externalLink65.xml"/><Relationship Id="rId150" Type="http://schemas.openxmlformats.org/officeDocument/2006/relationships/pivotCacheDefinition" Target="pivotCache/pivotCacheDefinition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externalLink" Target="externalLinks/externalLink13.xml"/><Relationship Id="rId38" Type="http://schemas.openxmlformats.org/officeDocument/2006/relationships/externalLink" Target="externalLinks/externalLink18.xml"/><Relationship Id="rId59" Type="http://schemas.openxmlformats.org/officeDocument/2006/relationships/externalLink" Target="externalLinks/externalLink39.xml"/><Relationship Id="rId103" Type="http://schemas.openxmlformats.org/officeDocument/2006/relationships/externalLink" Target="externalLinks/externalLink83.xml"/><Relationship Id="rId108" Type="http://schemas.openxmlformats.org/officeDocument/2006/relationships/externalLink" Target="externalLinks/externalLink88.xml"/><Relationship Id="rId124" Type="http://schemas.openxmlformats.org/officeDocument/2006/relationships/externalLink" Target="externalLinks/externalLink104.xml"/><Relationship Id="rId129" Type="http://schemas.openxmlformats.org/officeDocument/2006/relationships/externalLink" Target="externalLinks/externalLink109.xml"/><Relationship Id="rId54" Type="http://schemas.openxmlformats.org/officeDocument/2006/relationships/externalLink" Target="externalLinks/externalLink34.xml"/><Relationship Id="rId70" Type="http://schemas.openxmlformats.org/officeDocument/2006/relationships/externalLink" Target="externalLinks/externalLink50.xml"/><Relationship Id="rId75" Type="http://schemas.openxmlformats.org/officeDocument/2006/relationships/externalLink" Target="externalLinks/externalLink55.xml"/><Relationship Id="rId91" Type="http://schemas.openxmlformats.org/officeDocument/2006/relationships/externalLink" Target="externalLinks/externalLink71.xml"/><Relationship Id="rId96" Type="http://schemas.openxmlformats.org/officeDocument/2006/relationships/externalLink" Target="externalLinks/externalLink76.xml"/><Relationship Id="rId140" Type="http://schemas.openxmlformats.org/officeDocument/2006/relationships/externalLink" Target="externalLinks/externalLink120.xml"/><Relationship Id="rId145" Type="http://schemas.openxmlformats.org/officeDocument/2006/relationships/pivotCacheDefinition" Target="pivotCache/pivotCacheDefinition1.xml"/><Relationship Id="rId16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3.xml"/><Relationship Id="rId28" Type="http://schemas.openxmlformats.org/officeDocument/2006/relationships/externalLink" Target="externalLinks/externalLink8.xml"/><Relationship Id="rId49" Type="http://schemas.openxmlformats.org/officeDocument/2006/relationships/externalLink" Target="externalLinks/externalLink29.xml"/><Relationship Id="rId114" Type="http://schemas.openxmlformats.org/officeDocument/2006/relationships/externalLink" Target="externalLinks/externalLink94.xml"/><Relationship Id="rId119" Type="http://schemas.openxmlformats.org/officeDocument/2006/relationships/externalLink" Target="externalLinks/externalLink99.xml"/><Relationship Id="rId44" Type="http://schemas.openxmlformats.org/officeDocument/2006/relationships/externalLink" Target="externalLinks/externalLink24.xml"/><Relationship Id="rId60" Type="http://schemas.openxmlformats.org/officeDocument/2006/relationships/externalLink" Target="externalLinks/externalLink40.xml"/><Relationship Id="rId65" Type="http://schemas.openxmlformats.org/officeDocument/2006/relationships/externalLink" Target="externalLinks/externalLink45.xml"/><Relationship Id="rId81" Type="http://schemas.openxmlformats.org/officeDocument/2006/relationships/externalLink" Target="externalLinks/externalLink61.xml"/><Relationship Id="rId86" Type="http://schemas.openxmlformats.org/officeDocument/2006/relationships/externalLink" Target="externalLinks/externalLink66.xml"/><Relationship Id="rId130" Type="http://schemas.openxmlformats.org/officeDocument/2006/relationships/externalLink" Target="externalLinks/externalLink110.xml"/><Relationship Id="rId135" Type="http://schemas.openxmlformats.org/officeDocument/2006/relationships/externalLink" Target="externalLinks/externalLink115.xml"/><Relationship Id="rId151" Type="http://schemas.openxmlformats.org/officeDocument/2006/relationships/pivotCacheDefinition" Target="pivotCache/pivotCacheDefinition7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externalLink" Target="externalLinks/externalLink19.xml"/><Relationship Id="rId109" Type="http://schemas.openxmlformats.org/officeDocument/2006/relationships/externalLink" Target="externalLinks/externalLink89.xml"/><Relationship Id="rId34" Type="http://schemas.openxmlformats.org/officeDocument/2006/relationships/externalLink" Target="externalLinks/externalLink14.xml"/><Relationship Id="rId50" Type="http://schemas.openxmlformats.org/officeDocument/2006/relationships/externalLink" Target="externalLinks/externalLink30.xml"/><Relationship Id="rId55" Type="http://schemas.openxmlformats.org/officeDocument/2006/relationships/externalLink" Target="externalLinks/externalLink35.xml"/><Relationship Id="rId76" Type="http://schemas.openxmlformats.org/officeDocument/2006/relationships/externalLink" Target="externalLinks/externalLink56.xml"/><Relationship Id="rId97" Type="http://schemas.openxmlformats.org/officeDocument/2006/relationships/externalLink" Target="externalLinks/externalLink77.xml"/><Relationship Id="rId104" Type="http://schemas.openxmlformats.org/officeDocument/2006/relationships/externalLink" Target="externalLinks/externalLink84.xml"/><Relationship Id="rId120" Type="http://schemas.openxmlformats.org/officeDocument/2006/relationships/externalLink" Target="externalLinks/externalLink100.xml"/><Relationship Id="rId125" Type="http://schemas.openxmlformats.org/officeDocument/2006/relationships/externalLink" Target="externalLinks/externalLink105.xml"/><Relationship Id="rId141" Type="http://schemas.openxmlformats.org/officeDocument/2006/relationships/externalLink" Target="externalLinks/externalLink121.xml"/><Relationship Id="rId146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1.xml"/><Relationship Id="rId92" Type="http://schemas.openxmlformats.org/officeDocument/2006/relationships/externalLink" Target="externalLinks/externalLink72.xml"/><Relationship Id="rId16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9.xml"/><Relationship Id="rId24" Type="http://schemas.openxmlformats.org/officeDocument/2006/relationships/externalLink" Target="externalLinks/externalLink4.xml"/><Relationship Id="rId40" Type="http://schemas.openxmlformats.org/officeDocument/2006/relationships/externalLink" Target="externalLinks/externalLink20.xml"/><Relationship Id="rId45" Type="http://schemas.openxmlformats.org/officeDocument/2006/relationships/externalLink" Target="externalLinks/externalLink25.xml"/><Relationship Id="rId66" Type="http://schemas.openxmlformats.org/officeDocument/2006/relationships/externalLink" Target="externalLinks/externalLink46.xml"/><Relationship Id="rId87" Type="http://schemas.openxmlformats.org/officeDocument/2006/relationships/externalLink" Target="externalLinks/externalLink67.xml"/><Relationship Id="rId110" Type="http://schemas.openxmlformats.org/officeDocument/2006/relationships/externalLink" Target="externalLinks/externalLink90.xml"/><Relationship Id="rId115" Type="http://schemas.openxmlformats.org/officeDocument/2006/relationships/externalLink" Target="externalLinks/externalLink95.xml"/><Relationship Id="rId131" Type="http://schemas.openxmlformats.org/officeDocument/2006/relationships/externalLink" Target="externalLinks/externalLink111.xml"/><Relationship Id="rId136" Type="http://schemas.openxmlformats.org/officeDocument/2006/relationships/externalLink" Target="externalLinks/externalLink116.xml"/><Relationship Id="rId157" Type="http://schemas.microsoft.com/office/2017/10/relationships/person" Target="persons/person.xml"/><Relationship Id="rId61" Type="http://schemas.openxmlformats.org/officeDocument/2006/relationships/externalLink" Target="externalLinks/externalLink41.xml"/><Relationship Id="rId82" Type="http://schemas.openxmlformats.org/officeDocument/2006/relationships/externalLink" Target="externalLinks/externalLink62.xml"/><Relationship Id="rId152" Type="http://schemas.openxmlformats.org/officeDocument/2006/relationships/pivotCacheDefinition" Target="pivotCache/pivotCacheDefinition8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0.xml"/><Relationship Id="rId35" Type="http://schemas.openxmlformats.org/officeDocument/2006/relationships/externalLink" Target="externalLinks/externalLink15.xml"/><Relationship Id="rId56" Type="http://schemas.openxmlformats.org/officeDocument/2006/relationships/externalLink" Target="externalLinks/externalLink36.xml"/><Relationship Id="rId77" Type="http://schemas.openxmlformats.org/officeDocument/2006/relationships/externalLink" Target="externalLinks/externalLink57.xml"/><Relationship Id="rId100" Type="http://schemas.openxmlformats.org/officeDocument/2006/relationships/externalLink" Target="externalLinks/externalLink80.xml"/><Relationship Id="rId105" Type="http://schemas.openxmlformats.org/officeDocument/2006/relationships/externalLink" Target="externalLinks/externalLink85.xml"/><Relationship Id="rId126" Type="http://schemas.openxmlformats.org/officeDocument/2006/relationships/externalLink" Target="externalLinks/externalLink106.xml"/><Relationship Id="rId147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1.xml"/><Relationship Id="rId72" Type="http://schemas.openxmlformats.org/officeDocument/2006/relationships/externalLink" Target="externalLinks/externalLink52.xml"/><Relationship Id="rId93" Type="http://schemas.openxmlformats.org/officeDocument/2006/relationships/externalLink" Target="externalLinks/externalLink73.xml"/><Relationship Id="rId98" Type="http://schemas.openxmlformats.org/officeDocument/2006/relationships/externalLink" Target="externalLinks/externalLink78.xml"/><Relationship Id="rId121" Type="http://schemas.openxmlformats.org/officeDocument/2006/relationships/externalLink" Target="externalLinks/externalLink101.xml"/><Relationship Id="rId142" Type="http://schemas.openxmlformats.org/officeDocument/2006/relationships/externalLink" Target="externalLinks/externalLink122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5.xml"/><Relationship Id="rId46" Type="http://schemas.openxmlformats.org/officeDocument/2006/relationships/externalLink" Target="externalLinks/externalLink26.xml"/><Relationship Id="rId67" Type="http://schemas.openxmlformats.org/officeDocument/2006/relationships/externalLink" Target="externalLinks/externalLink47.xml"/><Relationship Id="rId116" Type="http://schemas.openxmlformats.org/officeDocument/2006/relationships/externalLink" Target="externalLinks/externalLink96.xml"/><Relationship Id="rId137" Type="http://schemas.openxmlformats.org/officeDocument/2006/relationships/externalLink" Target="externalLinks/externalLink117.xml"/><Relationship Id="rId158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21.xml"/><Relationship Id="rId62" Type="http://schemas.openxmlformats.org/officeDocument/2006/relationships/externalLink" Target="externalLinks/externalLink42.xml"/><Relationship Id="rId83" Type="http://schemas.openxmlformats.org/officeDocument/2006/relationships/externalLink" Target="externalLinks/externalLink63.xml"/><Relationship Id="rId88" Type="http://schemas.openxmlformats.org/officeDocument/2006/relationships/externalLink" Target="externalLinks/externalLink68.xml"/><Relationship Id="rId111" Type="http://schemas.openxmlformats.org/officeDocument/2006/relationships/externalLink" Target="externalLinks/externalLink91.xml"/><Relationship Id="rId132" Type="http://schemas.openxmlformats.org/officeDocument/2006/relationships/externalLink" Target="externalLinks/externalLink112.xml"/><Relationship Id="rId153" Type="http://schemas.openxmlformats.org/officeDocument/2006/relationships/pivotCacheDefinition" Target="pivotCache/pivotCacheDefinition9.xml"/><Relationship Id="rId15" Type="http://schemas.openxmlformats.org/officeDocument/2006/relationships/worksheet" Target="worksheets/sheet15.xml"/><Relationship Id="rId36" Type="http://schemas.openxmlformats.org/officeDocument/2006/relationships/externalLink" Target="externalLinks/externalLink16.xml"/><Relationship Id="rId57" Type="http://schemas.openxmlformats.org/officeDocument/2006/relationships/externalLink" Target="externalLinks/externalLink37.xml"/><Relationship Id="rId106" Type="http://schemas.openxmlformats.org/officeDocument/2006/relationships/externalLink" Target="externalLinks/externalLink86.xml"/><Relationship Id="rId127" Type="http://schemas.openxmlformats.org/officeDocument/2006/relationships/externalLink" Target="externalLinks/externalLink107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1.xml"/><Relationship Id="rId52" Type="http://schemas.openxmlformats.org/officeDocument/2006/relationships/externalLink" Target="externalLinks/externalLink32.xml"/><Relationship Id="rId73" Type="http://schemas.openxmlformats.org/officeDocument/2006/relationships/externalLink" Target="externalLinks/externalLink53.xml"/><Relationship Id="rId78" Type="http://schemas.openxmlformats.org/officeDocument/2006/relationships/externalLink" Target="externalLinks/externalLink58.xml"/><Relationship Id="rId94" Type="http://schemas.openxmlformats.org/officeDocument/2006/relationships/externalLink" Target="externalLinks/externalLink74.xml"/><Relationship Id="rId99" Type="http://schemas.openxmlformats.org/officeDocument/2006/relationships/externalLink" Target="externalLinks/externalLink79.xml"/><Relationship Id="rId101" Type="http://schemas.openxmlformats.org/officeDocument/2006/relationships/externalLink" Target="externalLinks/externalLink81.xml"/><Relationship Id="rId122" Type="http://schemas.openxmlformats.org/officeDocument/2006/relationships/externalLink" Target="externalLinks/externalLink102.xml"/><Relationship Id="rId143" Type="http://schemas.openxmlformats.org/officeDocument/2006/relationships/externalLink" Target="externalLinks/externalLink123.xml"/><Relationship Id="rId148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6.xml"/><Relationship Id="rId47" Type="http://schemas.openxmlformats.org/officeDocument/2006/relationships/externalLink" Target="externalLinks/externalLink27.xml"/><Relationship Id="rId68" Type="http://schemas.openxmlformats.org/officeDocument/2006/relationships/externalLink" Target="externalLinks/externalLink48.xml"/><Relationship Id="rId89" Type="http://schemas.openxmlformats.org/officeDocument/2006/relationships/externalLink" Target="externalLinks/externalLink69.xml"/><Relationship Id="rId112" Type="http://schemas.openxmlformats.org/officeDocument/2006/relationships/externalLink" Target="externalLinks/externalLink92.xml"/><Relationship Id="rId133" Type="http://schemas.openxmlformats.org/officeDocument/2006/relationships/externalLink" Target="externalLinks/externalLink11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externalLink" Target="externalLinks/externalLink17.xml"/><Relationship Id="rId58" Type="http://schemas.openxmlformats.org/officeDocument/2006/relationships/externalLink" Target="externalLinks/externalLink38.xml"/><Relationship Id="rId79" Type="http://schemas.openxmlformats.org/officeDocument/2006/relationships/externalLink" Target="externalLinks/externalLink59.xml"/><Relationship Id="rId102" Type="http://schemas.openxmlformats.org/officeDocument/2006/relationships/externalLink" Target="externalLinks/externalLink82.xml"/><Relationship Id="rId123" Type="http://schemas.openxmlformats.org/officeDocument/2006/relationships/externalLink" Target="externalLinks/externalLink103.xml"/><Relationship Id="rId144" Type="http://schemas.openxmlformats.org/officeDocument/2006/relationships/externalLink" Target="externalLinks/externalLink124.xml"/><Relationship Id="rId90" Type="http://schemas.openxmlformats.org/officeDocument/2006/relationships/externalLink" Target="externalLinks/externalLink70.xml"/><Relationship Id="rId27" Type="http://schemas.openxmlformats.org/officeDocument/2006/relationships/externalLink" Target="externalLinks/externalLink7.xml"/><Relationship Id="rId48" Type="http://schemas.openxmlformats.org/officeDocument/2006/relationships/externalLink" Target="externalLinks/externalLink28.xml"/><Relationship Id="rId69" Type="http://schemas.openxmlformats.org/officeDocument/2006/relationships/externalLink" Target="externalLinks/externalLink49.xml"/><Relationship Id="rId113" Type="http://schemas.openxmlformats.org/officeDocument/2006/relationships/externalLink" Target="externalLinks/externalLink93.xml"/><Relationship Id="rId134" Type="http://schemas.openxmlformats.org/officeDocument/2006/relationships/externalLink" Target="externalLinks/externalLink114.xml"/><Relationship Id="rId80" Type="http://schemas.openxmlformats.org/officeDocument/2006/relationships/externalLink" Target="externalLinks/externalLink60.xml"/><Relationship Id="rId15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113084</xdr:colOff>
      <xdr:row>1</xdr:row>
      <xdr:rowOff>13209</xdr:rowOff>
    </xdr:from>
    <xdr:to>
      <xdr:col>2</xdr:col>
      <xdr:colOff>90271</xdr:colOff>
      <xdr:row>4</xdr:row>
      <xdr:rowOff>116692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4" t="4566" r="4782" b="4017"/>
        <a:stretch>
          <a:fillRect/>
        </a:stretch>
      </xdr:blipFill>
      <xdr:spPr>
        <a:xfrm>
          <a:off x="160655" y="203200"/>
          <a:ext cx="586740" cy="675005"/>
        </a:xfrm>
        <a:prstGeom prst="rect">
          <a:avLst/>
        </a:prstGeom>
        <a:solidFill>
          <a:srgbClr val="000099"/>
        </a:solidFill>
        <a:ln>
          <a:noFill/>
        </a:ln>
      </xdr:spPr>
    </xdr:pic>
    <xdr:clientData/>
  </xdr:twoCellAnchor>
  <xdr:twoCellAnchor editAs="oneCell">
    <xdr:from>
      <xdr:col>2</xdr:col>
      <xdr:colOff>51859</xdr:colOff>
      <xdr:row>4</xdr:row>
      <xdr:rowOff>49390</xdr:rowOff>
    </xdr:from>
    <xdr:to>
      <xdr:col>10</xdr:col>
      <xdr:colOff>219075</xdr:colOff>
      <xdr:row>15</xdr:row>
      <xdr:rowOff>222620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" y="810895"/>
          <a:ext cx="5044440" cy="336423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MK123\VOL1\ACCOUNTS\DBSLEAS\97\BAL96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documentos\Comercial\2006\ADI\2006.10.11%20Respuesta%20de%20K+N\KN-GCT_ARC%20v.4.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AY25\TZ-Ortak\misdocumentos\Comercial\2006\ADI\2006.10.11%20Respuesta%20de%20K+N\KN-GCT_ARC%20v.4.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AY25\TZ-Ortak\NESTLE\VOLNES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i\c\New%20Folder\SS%20BOOK%2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tapf0509\gposhare\Documents%20and%20Settings\furuktx\&#12487;&#12473;&#12463;&#12488;&#12483;&#12503;\UTotal%20Japan%20350%20HDQ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tapf0509\gposhare\UPDT\Consolidation\DOH-2004PL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s.kiran\d\F2000-01\SPI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ENERAL\Joshua%20Lu\China%20Retail\COMP%202007101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xl2\bussines%20plan\Documents%20and%20Settings\kamleshm\Desktop\Welspun%20-%20Tax%20Audit%202005\2004-05\DTA\Clause%2012%20(b)-%20DT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EVARAJAN/Audit%20March%202003/RMCFinalsets/My%20Documents/RMC%20310301/STOCKSEC145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AY25\TZ-Ortak\NESTLE\________TARIFAS____________________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harsh/com%20q/The%20Revenue%20Model%20for%20Qualcomm-April%2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SI\LOGIST~1\MODNEG~1\COUTAC~1\12012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HDFC/March%2006/Windermere/BS%20(Sachin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8\comp8c\%60COMP8%20DOCS\~Marketing\m703~Weyerhauser\m703A\PROPOSAL\970131\old%20files\970121%20fee%20rate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Valuation%20-%20Daurala%20Suga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jerway\Desktop\Clorox%202008%20Renewal\ILD%20Clorox%20So%20Cal%20Model_v1.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nilbhu\AppData\Local\Temp\Rar$DI63.060\DEVARAJAN\Audit%20March%202003\RMCFinalsets\My%20Documents\RMC%20310301\STOCKSEC145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2E7_RxModel\D2E7_RxFcstmd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navils\My%20Documents\source%20fil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nilbhu\AppData\Local\Temp\Rar$DI63.060\harsh\com%20q\The%20Revenue%20Model%20for%20Qualcomm-April%20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54.61\Share%20PC%20Data\Q1%202003-04\InterimFinancial%20statements3006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nilbhu\AppData\Local\Temp\Rar$DI63.060\HDFC\March%2006\Windermere\BS%20(Sachin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Infra\Geotech\Crep\Soil-inv\O1097\DJB-0509\Spt-B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kcdc04\Groups\Conso_Acct\AS-21\RCPL%20&amp;%20RGNL\2004-05\Quarter%203\December%202004\RIC%20&amp;%20RCIL%20Consolidated%20-%20December2004%20FINAL%20TO%20RIL%20BS%20&amp;%20PL%20REVISE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.53.133\idcpmg\ProjectControl\Integration\NSS\MOB\MOBPLAN\PPG_MOB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AY25\TZ-Ortak\Documentos%20Antiguos\Comercial\2009\Colgate\C&#225;lculos%20Oferta%20v2\GCT%20Colgate%202010%20v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~1\jatinu\LOCALS~1\Temp\Rar$DI06.734\Budget%20consolidation_ver3%2020-4-0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ccl_roc\dat3\BandF\Housing\kkp\KKP-ISO\KKP-ISO-9001-1994\stds\GN-ST-06(2)(Design%20Sheet-Ruled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2004-2005\budget\Sunil%20presentation\Consolidation%20File%20version%20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kpserv\users-backup\Documents%20and%20Settings\DTA4041\My%20Documents\MIS%20FOR%202006-07\AUG-06\Balance%20Sheet%20(Aug06)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hish\c\Budget%202001\CostRate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Ballabh/NLDO/Nortel%20NLD%20biz%20plan/Model%20-April%2027,%202001-with%20elasticity%20build%20u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devdchak\My%20Documents\P&amp;G%20Bangalore\P&amp;G%20Bangalore\WMi%20Cost(Stand%20Alone)_v0%201_PG.xlsm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AY25\TZ-Ortak\misdocumentos\Comercial\2008\Caprabo%20Refrigerado\KN-GCT_Caprabo%20Refri_V1.0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kcdc04\Groups\DOCUME~1\ADMINI~1\LOCALS~1\Temp\C.Lotus.Notes.Data\~916217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KCDC04\Groups\Enterprise%20Commercial\Opex\BP_july%203%202002_rev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C_NT15\PROJECTFINAN\WINDOWS\TEMP\RCPL%20-%20biz%20plan%20May%207%20ver%201.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OCUME~1/DSKOHLI/LOCALS~1/Temp/C.Lotus.Notes.Data/Bi_Week_20_02_1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OCUME~1/DSKOHLI/LOCALS~1/Temp/C.Lotus.Notes.Data/Bi_Weekly_NDT_20_10_2003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ngapore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Documents%20and%20Settings/devdchak/My%20Documents/P&amp;G%20Bangalore/P&amp;G%20Bangalore/WMi%20Cost(Stand%20Alone)_v0%201_PG.xlsm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rojectControl\Integration\NSS\MOB\MOBPLAN\STR_PLAN2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MARCH-2005/Documents%20and%20Settings/MUKESHKT/Local%20Settings/Temporary%20Internet%20Files/OLK111/format-upload-sheet-branch%20(1)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DOCUME~1/beckles/LOCALS~1/Temp/notes6030C8/2009%20Budgets%20-%20Side%20by%20Side%20v1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54.61\Share%20PC%20Data\WINDOWS\TEMP\C.Lotus.Notes.Data\InterimFinancial%20statements300903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Ceva/2016/Customer/MAN%20TRUCK/Proposal%201/Proposal%203/3%20Year/Final%20version_28%20Dec%202016/ManTruck_PithampurCMCarousel%20option2_20161228_Final%203_5%20year.xlsm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KCDC04\Groups\laptop%20backup\data%20backup\Neha\Neha\enterprise\Wireline\154%20BANs\DOCUME~1\UTTAM~1.JHU\LOCALS~1\Temp\C.Lotus.Notes.Data\BP_july%203%202002_rev1.1.citywis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jesh\D\DOCUME~1\RAJESH~1\LOCALS~1\Temp\kp\excel\finalac\tbsep21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AY25\TZ-Ortak\misdocumentos\Comercial\2007\scottish%20Newcastle\KN-GCT_Scottish_Azuqueca_100%25_V2.1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joshi\c\RIL%20Valuation%20dec01\p&amp;l_10yrrev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adan\Indivision%20Investment\2006-07\invoice1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AY25\TZ-Ortak\Documents%20and%20Settings\raquel.gomez\Datos%20de%20programa\Microsoft\Excel\KN-GCT_HEINHEL_V0.1%20AZUQUECA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cari33c\6k00\WINDOWS\DESKTOP\AllFibre%20Duct\Citibuilder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inal%20Drafts\Debt%20schedule-JKI.xls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microsoft.com/office/2019/04/relationships/externalLinkLongPath" Target="https://tvscrm-my.sharepoint.com/Users/anilbhu/AppData/Local/Temp/Rar$DI63.060/DOCUME~1/BHALCH~1/LOCALS~1/Temp/C.Lotus.Notes.Data/DOCUME~1/SudhirK/LOCALS~1/Temp/C.Notes.Data/IM/247%20MCN%20It%20infra%20master%20ver%201.6%20120602.xls?4B38D604" TargetMode="External"/><Relationship Id="rId1" Type="http://schemas.openxmlformats.org/officeDocument/2006/relationships/externalLinkPath" Target="file:///\\4B38D604\247%20MCN%20It%20infra%20master%20ver%201.6%20120602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asanta\epco\WINDOWS\TEMP\PostOrdStat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WIN98/TEMP/Walkair_models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AY25\TZ-Ortak\Documents%20and%20Settings\raquel.gomez\Datos%20de%20programa\Microsoft\Excel\KN-GCT_EINHELL_V1.1%20AZUQUECA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AY25\TZ-Ortak\misdocumentos\Comercial\2009\Colgate\C&#225;lculos%20Oferta\GCT%20Colgate%202010%20v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2E7\D2E7%20Forecast%20Promo%20Response%20Model--Base%20Case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AY25\TZ-Ortak\misdocumentos\Comercial\2008\DIAGEO\TENDER\Bid%20Form-DiageoP2C--RFP-KUEHNENAGEL-1003080931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vr-value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EVARAJAN/MNLY%20ACS%202002/AUGUST%202002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.arcelik\arcdfs\Users\26011480\Desktop\VoltasBeko%20-%202017\4%20Workspace\Value%20Chain\ValueChain_02082017_v2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AY25\TZ-Ortak\Documents%20and%20Settings\rsanzj\My%20Documents\Dpto.%20Comercial\Ofertas\Ofertas%20en%20curso\MM\BSH\Oferta%202014\Oferta\Calculos%20internos\CadLog%20BSH%20Zaragoza-CC.Rev05-SIN%20CONTRASE&#209;A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.105.159\Amit%20Kataria\DOCUME~1\ADMINI~1\LOCALS~1\Temp\C.Lotus.Notes.Data\LMDS_COMPLETE_04.03.03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AY25\TZ-Ortak\Prog\Ficheros%20cierres%20mensuales\volumen%20ventas%20a&#241;o%20fiscal%202007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user/AppData/Local/Microsoft/Windows/Temporary%20Internet%20Files/Content.Outlook/J5MCG6H0/EFL%20%20INDUS%20manpower%20cost%20details%20-%20effective%20from%2001%2004%202014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p/Data%20revenue%20plan%2010th%20August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HardDisk\Client%20Service\Armedia\Armedia%20Estimate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OCUME~1/BHALCH~1/LOCALS~1/Temp/C.Lotus.Notes.Data/Chirag/TEMP/weekly-rpt-latest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.105.159\Amit%20Kataria\Offers_2002\Reliance%20LMDS\offer%2009.01.03\Offer_09.01.03_4%20configurations_revised%20offer_interface%20cards_5k-25kLinks1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net\Projects\TEV%20Study\63.%20Mihir%20Weavers\Report\Client%20Delivery%2029Nov07\Blank%20CMA%20TL%20650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furuktx\&#12487;&#12473;&#12463;&#12488;&#12483;&#12503;\UTotal%20Japan%20350%20HDQ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Vams/Vams/Roller%20sourcing/Star%20Rollers/RFQ%20For%20Roller%20parts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Documents%20and%20Settings/RNeidigh/Local%20Settings/Temporary%20Internet%20Files/OLK31/Bumble%20Bee%20-%20DC%20Pursuit%20-%20HLBQ%20-%20090415%20v3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RNeidigh\Local%20Settings\Temporary%20Internet%20Files\OLK31\Bumble%20Bee%20-%20DC%20Pursuit%20-%20HLBQ%20-%20090415%20v3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-nmq68zl99v8mv\Yogesh\Offers_2002\Reliance%20LMDS\oct2002\offer%203\Offer_22.10.02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benton\My%20Documents\3a%20LEMT%20WMS\IT%20Cost%20Modeling\Final%20Consumer%20Models\PS03%20GSMA%20-%20Mid%20Tier%20Model%20-%20RF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-dhds\tmp\My%20Documents\TCM\STD_EST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ocuments%20and%20Settings/acer1/Desktop/Niranjan/Home%20Solutions/Projections%20for%20CMA%20-%20Feb07_Rev%20NM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Documents%20and%20Settings/jcreaven/My%20Documents/Cost%20Model%20Templates%202007/pursuit/RAF%20estimate/070417%20-%20RAF%20-%20Newell%20-%20Rubbermaid%20Cost%20Model%20070417%20MM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jcreaven\My%20Documents\Cost%20Model%20Templates%202007\pursuit\RAF%20estimate\070417%20-%20RAF%20-%20Newell%20-%20Rubbermaid%20Cost%20Model%20070417%20MM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CATARPILLAR/CXL%20D-Series%20Whole%20Bolt%20List%20with%20current%20cost%20and%20saving%20analysis%20(Nov072006)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ject%20Files\Americas\Colgate%20-%20Palmolive\CP%20-%20LA\Cost%20Models\CP%20LA%20Cost%20Model%20v21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Clorox\Clorox%20Pricing%202003\Pricing%20Models\Clorox%20Pricing%20Model%20-%20All%20Sites%20-%20July%202003%20v14%20Topex%20(Gaps)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My%20Documents/Clorox/Clorox%20Pricing%202003/Pricing%20Models/Clorox%20Pricing%20Model%20-%20All%20Sites%20-%20July%202003%20v14%20Topex%20(Gaps)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DOCUME~1/LWorth/LOCALS~1/Temp/notes6030C8/Clorox%20RDC%20Network%20Pricing%20-%20FY05%20Budget%20&amp;%20Reality%20Alignment%20-%20v16%20PROD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LWorth\LOCALS~1\Temp\notes6030C8\Clorox%20RDC%20Network%20Pricing%20-%20FY05%20Budget%20&amp;%20Reality%20Alignment%20-%20v16%20PROD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Documents%20and%20Settings/tbenton/My%20Documents/3a%20LEMT%20WMS/IT%20Cost%20Modeling/Final%20Consumer%20Models/PS03%20GSMA%20-%20Mid%20Tier%20Model%20-%20RF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AY25\TZ-Ortak\Documents%20and%20Settings\raquel.gomez\Datos%20de%20programa\Microsoft\Excel\Entradas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izard\c$\NSS\MOB\MOBPLAN\PPG_MOB2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EVARAJAN/MNLY%20ACS%202003/CONSO%20SEPTEMBER%202003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microsoft.com/office/2006/relationships/xlExternalLinkPath/xlPathMissing" Target="mgt9900_GE%20(1)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OCUME~1/BHALCH~1/LOCALS~1/Temp/C.Lotus.Notes.Data/windows/TEMP/01-Master_Price_List_1-1-01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IBM\My%20Documents\2007-08\MIS%202007-08\MIS%20NOV'07\MIS\MIS%20NOV'07\NEAR%20EXP%20AND%20INACTIVE%20STOCK-NOV07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tandard%20Template\Standard%20Product%20Evaluation%20Template\Solution%20Selection%20Matrix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2.41.192\Yogesh\Yogesh\LMDS\Vendors\Alvarion\Offer_07.04.02_Ril_rev2_RTTB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2.41.192\Yogesh\Yogesh\LMDS\Vendors\Marconi\MDMS_Config_protected_10.5G_16_7_2002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~1\jatinu\LOCALS~1\Temp\Rar$DI00.093\Budget%20consolidation_ver3%2020-4-05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OCUME~1/SHELLY~1.MEH/LOCALS~1/Temp/Rar$DI01.266/FLSL%20FF&amp;CC%20Financial%20model_%2021%20Apr_own%20(E&amp;Ybase).xls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microsoft.com/office/2019/04/relationships/externalLinkLongPath" Target="https://tvscrm-my.sharepoint.com/Users/anilbhu/AppData/Local/Temp/Rar$DI63.060/Girish/IT%20Audit%20Mar%2004/Tax%20Audit%20March%2004/Form%203CD%20&amp;%20Annexures/Annex%20Final/DEVARAJAN/Audit%20March%202003/RMCFinalsets/My%20Documents/RMC%20310301/STOCKSEC145A.xls?50A48394" TargetMode="External"/><Relationship Id="rId1" Type="http://schemas.openxmlformats.org/officeDocument/2006/relationships/externalLinkPath" Target="file:///\\50A48394\STOCKSEC145A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OCUME~1/ADMINI~1/LOCALS~1/Temp/C.Lotus.Notes.Data/DOCUME~1/RamanB/LOCALS~1/Temp/BUDGET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OCUME~1/BHALCH~1/LOCALS~1/Temp/C.Lotus.Notes.Data/WINDOWS/TEMP/WEEKLY%2021MAY'99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ocuments%20and%20Settings/user1/Desktop/drawings%20recap/Engineering%20Dwgs%20situations%20on%2023-12-06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ocuments%20and%20Settings/srickant/Local%20Settings/Temporary%20Internet%20Files/OLK7F6/FLSL%20FF&amp;CC%20Financial%20model_%209%20Apr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WINDOWS/TEMP/c.notes.data/RCL_dec25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Budget%20F-06\Consolidation\29.03.2005\Consolidation%20File%20version%203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C_NT15\PROJECTFINAN\WINDOWS\TEMP\~0003888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HL\Logistics%20Solutions\P&amp;G-Hyderabad\Arun%2015-10-2010\P&amp;G%20Costing%20Mundka%2029-9-10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kcdc04\Groups\AS-21\RCPL%20&amp;%20RGNL\2004-05\Quarter%204\March%202005\RIC%20&amp;%20RCIL%20Consolidated%20-March%202005%20%20%20%20%20%20%20%20%20%20%20%20%20%20%208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he%20Revenue%20Model-Presentation%20March%2029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AY25\TZ-Ortak\Misdocumentos\SOS\Programas%20Actividad%20SOS\Programa_facturacion_tpte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vang\suneil\mss\Fortnightly%20progress%20reports\NLDO%20Ph%201A\13_GIS%20INTEGRATION0809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il\c\2002\BASIC%20SAL%20CALCULATION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Cement\KVPgroup\E-Kvp\KVP-Engrs\PPRM-Housing\Namakkal%20Housing\School\T1037%20Entire%20School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Users/anilbhu/AppData/Local/Temp/Rar$DI63.060/DOCUME~1/ADMINI~1/LOCALS~1/Temp/C.Lotus.Notes.Data/DOCUME~1/ADMINI~1/LOCALS~1/Temp/42mtr_VPT_Budget_CBS%20w%20A.L.%200722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rojectControl\Integration\Planning\INSTRUMENTATION\Instprof0828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ny\c\business\&#38750;&#37444;\&#38750;&#37444;&#20250;~1\&#21516;&#21644;&#37489;&#26989;\5714work.wk4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~1\ADMINI~1\LOCALS~1\Temp\C.Lotus.Notes.Data\~3093716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jesh\D\DEVARAJAN\MNLY%20ACS%202004\TRENDS99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vscrm-my.sharepoint.com/Documents%20and%20Settings/tbenton/My%20Documents/2%20Pursuits/GMI%20-%20Project%20Blue/071211%20-%20GMCC%20Project%20Blue%20Topex%20Stay%20%20IT%20Cost%20Model%20v2%20-%20Viggian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96-97"/>
      <sheetName val="BAL96_97"/>
      <sheetName val="효율계획(당월)"/>
      <sheetName val="전체실적"/>
      <sheetName val="Caracteristicas Productos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 Page"/>
      <sheetName val="Flujos"/>
      <sheetName val="vol'08"/>
      <sheetName val="Data Assumptions"/>
      <sheetName val="Pedidos Zaragoza"/>
      <sheetName val="cálculos"/>
      <sheetName val="Pdtividad"/>
      <sheetName val="Process Design"/>
      <sheetName val="Convenio"/>
      <sheetName val="Personnel Data Sheet"/>
      <sheetName val="Process Data"/>
      <sheetName val="FTE Requirement"/>
      <sheetName val="Space Requirement"/>
      <sheetName val="Start-Up Costs"/>
      <sheetName val="Cost Data"/>
      <sheetName val="Cost Projection"/>
      <sheetName val="Quotation"/>
      <sheetName val="Indirect Costs"/>
      <sheetName val="P&amp;L"/>
      <sheetName val="Investments"/>
      <sheetName val="Operational Costs"/>
      <sheetName val="Summary"/>
      <sheetName val="Caracteristicas Productos"/>
      <sheetName val="Flujo de Recepción 2005 "/>
      <sheetName val="Altura de Palets 2005"/>
      <sheetName val="Stock 2005"/>
      <sheetName val="Flujo de Pedidos 2005"/>
      <sheetName val="Reposiciones, Muestras 2005 "/>
      <sheetName val="Corte de pedidos 2005"/>
      <sheetName val="TARIFA TTE."/>
      <sheetName val="Hoja1"/>
      <sheetName val="Flujo de Entregas 2005"/>
      <sheetName val="Precios Unitarios"/>
      <sheetName val="Desglose costes fijos"/>
      <sheetName val="Personal"/>
      <sheetName val="Superficies"/>
      <sheetName val="Maquinaria"/>
      <sheetName val="Equipamiento"/>
      <sheetName val="Cuenta de resultados"/>
      <sheetName val="Org"/>
      <sheetName val="Cambios"/>
      <sheetName val="Master-CAPEX"/>
      <sheetName val="Baseline"/>
      <sheetName val="bc102ad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 Page"/>
      <sheetName val="Flujos"/>
      <sheetName val="vol'08"/>
      <sheetName val="Data Assumptions"/>
      <sheetName val="Pedidos Zaragoza"/>
      <sheetName val="cálculos"/>
      <sheetName val="Pdtividad"/>
      <sheetName val="Process Design"/>
      <sheetName val="Convenio"/>
      <sheetName val="Personnel Data Sheet"/>
      <sheetName val="Process Data"/>
      <sheetName val="FTE Requirement"/>
      <sheetName val="Space Requirement"/>
      <sheetName val="Start-Up Costs"/>
      <sheetName val="Cost Data"/>
      <sheetName val="Cost Projection"/>
      <sheetName val="Quotation"/>
      <sheetName val="Indirect Costs"/>
      <sheetName val="P&amp;L"/>
      <sheetName val="Investments"/>
      <sheetName val="Operational Costs"/>
      <sheetName val="Summary"/>
      <sheetName val="Caracteristicas Productos"/>
      <sheetName val="Flujo de Recepción 2005 "/>
      <sheetName val="Altura de Palets 2005"/>
      <sheetName val="Stock 2005"/>
      <sheetName val="Flujo de Pedidos 2005"/>
      <sheetName val="Reposiciones, Muestras 2005 "/>
      <sheetName val="Corte de pedidos 2005"/>
      <sheetName val="TARIFA TTE."/>
      <sheetName val="Hoja1"/>
      <sheetName val="Flujo de Entregas 2005"/>
      <sheetName val="Precios Unitarios"/>
      <sheetName val="Desglose costes fijos"/>
      <sheetName val="Personal"/>
      <sheetName val="Superficies"/>
      <sheetName val="Maquinaria"/>
      <sheetName val="Equipamiento"/>
      <sheetName val="Cuenta de resultados"/>
      <sheetName val="Org"/>
      <sheetName val="Cambios"/>
      <sheetName val="1996 FPV (Retail)"/>
      <sheetName val="t진도"/>
      <sheetName val="^Base_Data_Gen"/>
      <sheetName val="Tablexxxx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"/>
      <sheetName val="InverMurc"/>
      <sheetName val="Murcia"/>
      <sheetName val="InverVal"/>
      <sheetName val="Valencia"/>
      <sheetName val="Levante"/>
      <sheetName val="InverNord"/>
      <sheetName val="Nordeste"/>
      <sheetName val="I"/>
      <sheetName val="InverMal"/>
      <sheetName val="Málaga"/>
      <sheetName val="InverSev"/>
      <sheetName val="Sevilla"/>
      <sheetName val="N"/>
      <sheetName val="Sur"/>
      <sheetName val="InverOviedo"/>
      <sheetName val="Oviedo"/>
      <sheetName val="InverVigo"/>
      <sheetName val="Vigo"/>
      <sheetName val="InverPonf"/>
      <sheetName val="Ponferrada"/>
      <sheetName val="V"/>
      <sheetName val="Noroeste"/>
      <sheetName val="InverNortec"/>
      <sheetName val="Nortecentro"/>
      <sheetName val="Z"/>
      <sheetName val="InverMerida"/>
      <sheetName val="Merida"/>
      <sheetName val="InverMadrid"/>
      <sheetName val="Madrid"/>
      <sheetName val="AE"/>
      <sheetName val="Centro"/>
      <sheetName val="Consolidado"/>
      <sheetName val="CfyBs"/>
      <sheetName val="Central"/>
      <sheetName val="Caracteristicas Productos"/>
      <sheetName val="Tablexxxxx"/>
      <sheetName val="#REF"/>
      <sheetName val="W-현원가"/>
      <sheetName val="VOLNES1"/>
      <sheetName val="Excise on RM"/>
      <sheetName val="BS"/>
      <sheetName val="resul"/>
      <sheetName val="INFO"/>
      <sheetName val="NOTES "/>
      <sheetName val="M-00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sheet-OLD"/>
      <sheetName val="A"/>
      <sheetName val="flsh-feb"/>
      <sheetName val="CONSUMPTN."/>
      <sheetName val="costsheet "/>
      <sheetName val="#REF"/>
      <sheetName val="W-현원가"/>
      <sheetName val="SS BOOK 2"/>
      <sheetName val="Zones"/>
      <sheetName val="Ex Akl Metro Table"/>
      <sheetName val="Ex AKL NI Sched Table"/>
      <sheetName val="Exel Onforwarding"/>
      <sheetName val="Stores"/>
      <sheetName val="Ex Akl Tonn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structions"/>
      <sheetName val="P-1A"/>
      <sheetName val="P-2B"/>
      <sheetName val="P-2C"/>
      <sheetName val="P-8A"/>
      <sheetName val="P-9A"/>
      <sheetName val="P-11A"/>
      <sheetName val="P-12E_LC"/>
      <sheetName val="P-12E_USD"/>
      <sheetName val="P-12F"/>
      <sheetName val="P-17B Total"/>
      <sheetName val="P-17B Precedex"/>
      <sheetName val="P-17B Glucerna"/>
      <sheetName val="P-17B Poliful"/>
      <sheetName val="P-17B Hokunalin Tape"/>
      <sheetName val="P-17C"/>
      <sheetName val="P-29A"/>
      <sheetName val="DSO"/>
      <sheetName val="DOH"/>
      <sheetName val="P-16F"/>
      <sheetName val="P-21A"/>
      <sheetName val="P-7C"/>
      <sheetName val="P-7D"/>
      <sheetName val="P-8B"/>
      <sheetName val="P-30B"/>
      <sheetName val="MACROS"/>
      <sheetName val="Adaytum"/>
      <sheetName val="CONTROL"/>
      <sheetName val="M1A"/>
      <sheetName val="2014 Plan P&amp;L (USD)"/>
      <sheetName val="2014 Plan P&amp;L Input (LC)"/>
      <sheetName val="Essbase Retrieval"/>
      <sheetName val="FG YIELD RECONC"/>
      <sheetName val="validação"/>
      <sheetName val="Nordeste"/>
      <sheetName val="Consolidado"/>
      <sheetName val="CfyBs"/>
      <sheetName val="Tablex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structions"/>
      <sheetName val="P-1A"/>
      <sheetName val="P-2B"/>
      <sheetName val="P-2C"/>
      <sheetName val="P-8A"/>
      <sheetName val="P-9A"/>
      <sheetName val="P-11A"/>
      <sheetName val="P-12E_LC"/>
      <sheetName val="P-12E_USD"/>
      <sheetName val="P-12F"/>
      <sheetName val="P-17B"/>
      <sheetName val="P-17C"/>
      <sheetName val="P-29A"/>
      <sheetName val="DSO"/>
      <sheetName val="DOH"/>
      <sheetName val="P-16F"/>
      <sheetName val="P-21A"/>
      <sheetName val="P-7C"/>
      <sheetName val="P-7D"/>
      <sheetName val="P-8B"/>
      <sheetName val="P-30B"/>
      <sheetName val="MACROS"/>
      <sheetName val="Adaytum"/>
      <sheetName val="LATIN AMERICA"/>
      <sheetName val="M01"/>
      <sheetName val="M02"/>
      <sheetName val="M20"/>
      <sheetName val="M30"/>
      <sheetName val="AIOC"/>
      <sheetName val="#REF"/>
      <sheetName val="Zon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99-00_ACETRENE"/>
      <sheetName val="1998-99_AUDIT"/>
      <sheetName val="1999-00_AUDIT"/>
      <sheetName val="1999-00_CRYSTAL"/>
      <sheetName val="1998-99_CRYSTAL (2)"/>
      <sheetName val="1998-99"/>
      <sheetName val="1999-00"/>
      <sheetName val="CON_PSEUDO"/>
      <sheetName val="DOH"/>
      <sheetName val="A"/>
      <sheetName val="PRINCIPA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y"/>
      <sheetName val="Tablexxxxx"/>
      <sheetName val="Bosideng global"/>
      <sheetName val="Bosideng New"/>
      <sheetName val="China"/>
      <sheetName val="Footwear"/>
      <sheetName val="Tablexxxx"/>
      <sheetName val="Drugstore"/>
      <sheetName val="Dept"/>
      <sheetName val="Chart"/>
      <sheetName val="China retail"/>
      <sheetName val="Specialty apparel"/>
      <sheetName val="EA"/>
      <sheetName val="Non cov comp"/>
      <sheetName val="Specialty apparel Giord"/>
      <sheetName val="Athletic footwear"/>
      <sheetName val="Top 20"/>
      <sheetName val="ALL"/>
      <sheetName val="Bloomberg"/>
      <sheetName val="Currency"/>
      <sheetName val="AEJ"/>
      <sheetName val="HK China EPS"/>
      <sheetName val="Asia Pacific"/>
      <sheetName val="Japan"/>
      <sheetName val="Europe"/>
      <sheetName val="Europe luxury"/>
      <sheetName val="US"/>
      <sheetName val="Drugstores"/>
      <sheetName val="RESUL"/>
      <sheetName val="ｾｸﾞﾒﾝﾄ"/>
      <sheetName val="M-0003"/>
      <sheetName val="^freeform (3)"/>
      <sheetName val="PRINCIPALE"/>
      <sheetName val="BKCSTOCKVAL"/>
      <sheetName val="MAHSTOCKVAL"/>
      <sheetName val="Competitors"/>
      <sheetName val="1999-00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use 12 (b)"/>
      <sheetName val="Excise on RM"/>
      <sheetName val="Summary"/>
      <sheetName val="Rollup"/>
      <sheetName val="M-0003"/>
      <sheetName val="Tablexxxxx"/>
      <sheetName val="Inversión"/>
      <sheetName val="Cuenta Explotación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PLANTS"/>
      <sheetName val="TALSTOCKVAL"/>
      <sheetName val="BKCSTOCKVAL"/>
      <sheetName val="MAHSTOCKVAL"/>
      <sheetName val="DCF"/>
      <sheetName val="financials"/>
      <sheetName val="DCF_inputs"/>
      <sheetName val="user"/>
      <sheetName val="manager"/>
      <sheetName val="summary"/>
      <sheetName val="valmatrix"/>
      <sheetName val="Tablexxxxx"/>
      <sheetName val="전체실적"/>
      <sheetName val="STOCKSEC145A"/>
      <sheetName val="case"/>
      <sheetName val="Excise on 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o de trabajo"/>
      <sheetName val="Inversión"/>
      <sheetName val="Cuenta Explotación"/>
      <sheetName val="Personal"/>
      <sheetName val="Superficies"/>
      <sheetName val="TT Fijo"/>
      <sheetName val="TTvariable"/>
      <sheetName val="Startup-cost"/>
      <sheetName val="StartupIngPrp"/>
      <sheetName val="EquipoLocal"/>
      <sheetName val="TARIFA"/>
      <sheetName val="Volúmenes"/>
      <sheetName val="capilar"/>
      <sheetName val="Organiz."/>
      <sheetName val="Excise on RM"/>
      <sheetName val="BAL.SHEET"/>
      <sheetName val="legend"/>
      <sheetName val="BKCSTOCKVAL"/>
      <sheetName val="MAHSTOCKVAL"/>
      <sheetName val="M-0003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mpns"/>
      <sheetName val="Market"/>
      <sheetName val="Sheet3"/>
      <sheetName val="Oum"/>
      <sheetName val="inter cir"/>
      <sheetName val="intra cir"/>
      <sheetName val="BW Sale"/>
      <sheetName val="P&amp;L"/>
      <sheetName val="Fund requirement"/>
      <sheetName val="Cash Flow"/>
      <sheetName val="Balance Sheet"/>
      <sheetName val="IRR"/>
      <sheetName val="Capex"/>
      <sheetName val="Opex"/>
      <sheetName val="Tax"/>
      <sheetName val="Billing &amp; GA"/>
      <sheetName val="Debt schedule"/>
      <sheetName val="TRAI Tariffs"/>
      <sheetName val="MCUs"/>
      <sheetName val="Working Capital"/>
      <sheetName val="Depn  SLM"/>
      <sheetName val="Depn WDV"/>
      <sheetName val="FSP+CSP BW"/>
      <sheetName val="Data BW sale"/>
      <sheetName val="BKCSTOCKVAL"/>
      <sheetName val="Inversión"/>
      <sheetName val="Cuenta Explotación"/>
      <sheetName val="bc102adm"/>
      <sheetName val="Zon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 mag par PFR"/>
      <sheetName val="Résultats et Enjeux"/>
      <sheetName val="Données fournisseur (à remplir)"/>
      <sheetName val="CA frs mag (à copier BO)"/>
      <sheetName val="BD MAG+Calcul TR AVAL (R)"/>
      <sheetName val="TR amont PFR"/>
      <sheetName val="TARIF TRSPT+FQ"/>
      <sheetName val="Assmpns"/>
      <sheetName val="Tablexxxx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P &amp; L"/>
      <sheetName val="BS SCH"/>
      <sheetName val="PL SCH"/>
      <sheetName val="F Asset"/>
      <sheetName val="TB"/>
      <sheetName val="abstract"/>
      <sheetName val="Points"/>
      <sheetName val="1of7"/>
      <sheetName val="legend"/>
      <sheetName val="#REF"/>
      <sheetName val="W-현원가"/>
      <sheetName val="BS (Sachin)"/>
      <sheetName val="Assmpns"/>
      <sheetName val="CA mag par PF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e Rate Summary"/>
      <sheetName val="970121 fee rates"/>
      <sheetName val="Competitors"/>
      <sheetName val="A"/>
      <sheetName val="Kurkumbh BOQ"/>
      <sheetName val="SOR"/>
      <sheetName val="p&amp;m"/>
      <sheetName val="SPT vs PHI"/>
      <sheetName val="Civil Boq"/>
      <sheetName val="BOQ"/>
      <sheetName val="Headings"/>
      <sheetName val="Site Dev BOQ"/>
      <sheetName val="BOQ (2)"/>
      <sheetName val="PRECAST lightconc-II"/>
      <sheetName val="GBW"/>
      <sheetName val="FitOutConfCentre"/>
      <sheetName val="PA- Consutant "/>
      <sheetName val="Materials Cost"/>
      <sheetName val="A1-Continuous"/>
      <sheetName val="MASTER_RATE ANALYSIS"/>
      <sheetName val="Tax Invoice"/>
      <sheetName val="Design"/>
      <sheetName val="Fee_Rate_Summary"/>
      <sheetName val="970121_fee_rates"/>
      <sheetName val="PA-_Consutant_"/>
      <sheetName val="Materials_Cost"/>
      <sheetName val="Civil_Boq"/>
      <sheetName val="SPT_vs_PHI"/>
      <sheetName val="Site_Dev_BOQ"/>
      <sheetName val="BOQ_(2)"/>
      <sheetName val="PRECAST_lightconc-II"/>
      <sheetName val="rev.02"/>
      <sheetName val="VCH-SLC"/>
      <sheetName val="Supplier"/>
      <sheetName val="sheet6"/>
      <sheetName val="jobhist"/>
      <sheetName val="upa"/>
      <sheetName val="CASHFLOWS"/>
      <sheetName val="Form 6"/>
      <sheetName val="Assumptions"/>
      <sheetName val="PPA Summary"/>
      <sheetName val="Lab"/>
      <sheetName val="India F&amp;S Template"/>
      <sheetName val="FORM7"/>
      <sheetName val="LEVEL SHEET"/>
      <sheetName val="girder"/>
      <sheetName val="INDIGINEOUS ITEMS "/>
      <sheetName val="WBS01"/>
      <sheetName val="WBS10"/>
      <sheetName val="WBS11"/>
      <sheetName val="WBS12"/>
      <sheetName val="WBS13"/>
      <sheetName val="WBS14"/>
      <sheetName val="WBS15"/>
      <sheetName val="WBS16"/>
      <sheetName val="WBS17"/>
      <sheetName val="WBS18"/>
      <sheetName val="WBS19"/>
      <sheetName val="WBS02"/>
      <sheetName val="WBS20"/>
      <sheetName val="WBS03"/>
      <sheetName val="WBS04"/>
      <sheetName val="WBS05"/>
      <sheetName val="WBS06"/>
      <sheetName val="WBS07"/>
      <sheetName val="WBS08"/>
      <sheetName val="WBS09"/>
      <sheetName val="1"/>
      <sheetName val="PointNo.5"/>
      <sheetName val="Approved MTD Proj #'s"/>
      <sheetName val="Input"/>
      <sheetName val="Sheet1"/>
      <sheetName val="monitoring-breakup Feb02"/>
      <sheetName val="TBEAM"/>
      <sheetName val="Summary"/>
      <sheetName val="Rocker"/>
      <sheetName val="office"/>
      <sheetName val="PRELIM5"/>
      <sheetName val="細目"/>
      <sheetName val="Manpower"/>
      <sheetName val="BLK2"/>
      <sheetName val="BLK3"/>
      <sheetName val="E &amp; R"/>
      <sheetName val="radar"/>
      <sheetName val="UG"/>
      <sheetName val="MASTER_RATE_ANALYSIS"/>
      <sheetName val="Tax_Invoice"/>
      <sheetName val="INDIGINEOUS_ITEMS_"/>
      <sheetName val="Form_6"/>
      <sheetName val="Kurkumbh_BOQ"/>
      <sheetName val="PPA_Summary"/>
      <sheetName val="India_F&amp;S_Template"/>
      <sheetName val="PointNo_5"/>
      <sheetName val="monitoring-breakup_Feb02"/>
      <sheetName val="Fee_Rate_Summary1"/>
      <sheetName val="970121_fee_rates1"/>
      <sheetName val="SPT_vs_PHI1"/>
      <sheetName val="PA-_Consutant_1"/>
      <sheetName val="Materials_Cost1"/>
      <sheetName val="Civil_Boq1"/>
      <sheetName val="Site_Dev_BOQ1"/>
      <sheetName val="BOQ_(2)1"/>
      <sheetName val="PRECAST_lightconc-II1"/>
      <sheetName val="MASTER_RATE_ANALYSIS1"/>
      <sheetName val="Tax_Invoice1"/>
      <sheetName val="INDIGINEOUS_ITEMS_1"/>
      <sheetName val="Form_61"/>
      <sheetName val="Kurkumbh_BOQ1"/>
      <sheetName val="PPA_Summary1"/>
      <sheetName val="India_F&amp;S_Template1"/>
      <sheetName val="PointNo_51"/>
      <sheetName val="monitoring-breakup_Feb021"/>
      <sheetName val="CIVIL WORK PLAN-13-14"/>
      <sheetName val="WORK SUMMERY "/>
      <sheetName val="MEP DETAIL"/>
      <sheetName val="cash budget"/>
      <sheetName val="Schedules PL"/>
      <sheetName val="Schedules BS"/>
      <sheetName val="Resource Usage"/>
      <sheetName val="CASH-FLOW"/>
      <sheetName val="List Verification"/>
      <sheetName val="Hebel"/>
      <sheetName val="Hilfstabelle"/>
      <sheetName val="Einzelpreisvergleich"/>
      <sheetName val="robocza"/>
      <sheetName val="Daten"/>
      <sheetName val="List_Verification"/>
      <sheetName val="PRECAST_lightconc-II3"/>
      <sheetName val="Tabelle1"/>
      <sheetName val="Konfiguration"/>
      <sheetName val="rev_02"/>
      <sheetName val="bill 2"/>
      <sheetName val="Fee_Rate_Summary2"/>
      <sheetName val="970121_fee_rates2"/>
      <sheetName val="SPT_vs_PHI2"/>
      <sheetName val="PA-_Consutant_2"/>
      <sheetName val="Materials_Cost2"/>
      <sheetName val="BOQ_(2)2"/>
      <sheetName val="Civil_Boq2"/>
      <sheetName val="MASTER_RATE_ANALYSIS2"/>
      <sheetName val="Form_62"/>
      <sheetName val="Kurkumbh_BOQ2"/>
      <sheetName val="Site_Dev_BOQ2"/>
      <sheetName val="PRECAST_lightconc-II2"/>
      <sheetName val="Tax_Invoice2"/>
      <sheetName val="INDIGINEOUS_ITEMS_2"/>
      <sheetName val="PPA_Summary2"/>
      <sheetName val="India_F&amp;S_Template2"/>
      <sheetName val="PointNo_52"/>
      <sheetName val="monitoring-breakup_Feb022"/>
      <sheetName val="CIVIL_WORK_PLAN-13-14"/>
      <sheetName val="WORK_SUMMERY_"/>
      <sheetName val="MEP_DETAIL"/>
      <sheetName val="R20_R30_work"/>
      <sheetName val="COLUMN"/>
      <sheetName val="col-reinft1"/>
      <sheetName val="02"/>
      <sheetName val="03"/>
      <sheetName val="04"/>
      <sheetName val="01"/>
      <sheetName val="data"/>
      <sheetName val="Fee_Rate_Summary3"/>
      <sheetName val="PA-_Consutant_3"/>
      <sheetName val="Materials_Cost3"/>
      <sheetName val="970121_fee_rates3"/>
      <sheetName val="Kurkumbh_BOQ3"/>
      <sheetName val="SPT_vs_PHI3"/>
      <sheetName val="BOQ_(2)3"/>
      <sheetName val="MASTER_RATE_ANALYSIS3"/>
      <sheetName val="Civil_Boq3"/>
      <sheetName val="Form_63"/>
      <sheetName val="PPA_Summary3"/>
      <sheetName val="India_F&amp;S_Template3"/>
      <sheetName val="Site_Dev_BOQ3"/>
      <sheetName val="Tax_Invoice3"/>
      <sheetName val="INDIGINEOUS_ITEMS_3"/>
      <sheetName val="PointNo_53"/>
      <sheetName val="monitoring-breakup_Feb023"/>
      <sheetName val="Fee_Rate_Summary4"/>
      <sheetName val="PA-_Consutant_4"/>
      <sheetName val="Materials_Cost4"/>
      <sheetName val="970121_fee_rates4"/>
      <sheetName val="Kurkumbh_BOQ4"/>
      <sheetName val="SPT_vs_PHI4"/>
      <sheetName val="BOQ_(2)4"/>
      <sheetName val="MASTER_RATE_ANALYSIS4"/>
      <sheetName val="Civil_Boq4"/>
      <sheetName val="Form_64"/>
      <sheetName val="PPA_Summary4"/>
      <sheetName val="India_F&amp;S_Template4"/>
      <sheetName val="Site_Dev_BOQ4"/>
      <sheetName val="PRECAST_lightconc-II4"/>
      <sheetName val="Tax_Invoice4"/>
      <sheetName val="INDIGINEOUS_ITEMS_4"/>
      <sheetName val="PointNo_54"/>
      <sheetName val="monitoring-breakup_Feb024"/>
      <sheetName val="Fee_Rate_Summary5"/>
      <sheetName val="PA-_Consutant_5"/>
      <sheetName val="Materials_Cost5"/>
      <sheetName val="970121_fee_rates5"/>
      <sheetName val="Kurkumbh_BOQ5"/>
      <sheetName val="SPT_vs_PHI5"/>
      <sheetName val="BOQ_(2)5"/>
      <sheetName val="MASTER_RATE_ANALYSIS5"/>
      <sheetName val="Civil_Boq5"/>
      <sheetName val="Form_65"/>
      <sheetName val="PPA_Summary5"/>
      <sheetName val="India_F&amp;S_Template5"/>
      <sheetName val="Site_Dev_BOQ5"/>
      <sheetName val="PRECAST_lightconc-II5"/>
      <sheetName val="Tax_Invoice5"/>
      <sheetName val="INDIGINEOUS_ITEMS_5"/>
      <sheetName val="PointNo_55"/>
      <sheetName val="monitoring-breakup_Feb025"/>
      <sheetName val="Fee_Rate_Summary6"/>
      <sheetName val="PA-_Consutant_6"/>
      <sheetName val="Materials_Cost6"/>
      <sheetName val="970121_fee_rates6"/>
      <sheetName val="Kurkumbh_BOQ6"/>
      <sheetName val="SPT_vs_PHI6"/>
      <sheetName val="BOQ_(2)6"/>
      <sheetName val="MASTER_RATE_ANALYSIS6"/>
      <sheetName val="Civil_Boq6"/>
      <sheetName val="Form_66"/>
      <sheetName val="PPA_Summary6"/>
      <sheetName val="India_F&amp;S_Template6"/>
      <sheetName val="Site_Dev_BOQ6"/>
      <sheetName val="PRECAST_lightconc-II6"/>
      <sheetName val="Tax_Invoice6"/>
      <sheetName val="INDIGINEOUS_ITEMS_6"/>
      <sheetName val="PointNo_56"/>
      <sheetName val="monitoring-breakup_Feb026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Sheet3"/>
      <sheetName val="parametry"/>
      <sheetName val="Sheet2"/>
      <sheetName val="Old"/>
      <sheetName val="I-KAMAR"/>
      <sheetName val="Core Data"/>
      <sheetName val="P-Ins &amp; Bonds"/>
      <sheetName val="Cash2"/>
      <sheetName val="Z"/>
      <sheetName val="당초"/>
      <sheetName val="97 사업추정(WEKI)"/>
      <sheetName val="Intro"/>
      <sheetName val="Serv Cat List"/>
      <sheetName val="#REF"/>
      <sheetName val="CIVIL_WORK_PLAN-13-141"/>
      <sheetName val="WORK_SUMMERY_1"/>
      <sheetName val="MEP_DETAIL1"/>
      <sheetName val="Equip Item Dets"/>
      <sheetName val="Pipe Item Dets"/>
      <sheetName val="Civil Item Dets"/>
      <sheetName val="Inst Item Dets"/>
      <sheetName val="Elec Item Dets"/>
      <sheetName val="Paint Item Dets"/>
      <sheetName val="Volume"/>
      <sheetName val="Enter_quotes"/>
      <sheetName val="NP QUES"/>
      <sheetName val="CA mag par PF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 refreshError="1"/>
      <sheetData sheetId="128" refreshError="1"/>
      <sheetData sheetId="129" refreshError="1"/>
      <sheetData sheetId="130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 refreshError="1"/>
      <sheetData sheetId="151" refreshError="1"/>
      <sheetData sheetId="152" refreshError="1"/>
      <sheetData sheetId="153"/>
      <sheetData sheetId="154"/>
      <sheetData sheetId="155"/>
      <sheetData sheetId="156"/>
      <sheetData sheetId="157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 refreshError="1"/>
      <sheetData sheetId="165" refreshError="1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/>
      <sheetData sheetId="257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"/>
      <sheetName val="Tax (2)"/>
      <sheetName val="Assumptions - Sugar"/>
      <sheetName val="Assumptions-Fancy Sugar"/>
      <sheetName val="Cons-P&amp;L"/>
      <sheetName val="Financials"/>
      <sheetName val="Ratios"/>
      <sheetName val="WC Estimates"/>
      <sheetName val="Power&amp;Fuel"/>
      <sheetName val="Power&amp;Fuel (2)"/>
      <sheetName val="Depreciation"/>
      <sheetName val="debt schedule"/>
      <sheetName val="Tax"/>
      <sheetName val="Valuation"/>
      <sheetName val="Power_Fuel"/>
      <sheetName val="_x0002_䀘_x0001_"/>
      <sheetName val="_x0002_䀦_x0001_㵈ˑ㵰㿪"/>
      <sheetName val="March.10"/>
      <sheetName val="Sheet1"/>
      <sheetName val="Dec"/>
      <sheetName val="COST PER KG  (Qtr)"/>
      <sheetName val=""/>
      <sheetName val="Zones"/>
      <sheetName val="Cash_in_Bank"/>
      <sheetName val="A"/>
      <sheetName val="M-0003"/>
      <sheetName val="INFO"/>
      <sheetName val="NOTES "/>
      <sheetName val="ABSSHT"/>
      <sheetName val="INDEX"/>
      <sheetName val="_x0000__x0000__x0000__x0002__x0000__x0000__x0000__x0000_䀘_x0000__x0000__x0000__x0000__x0001__x0000_"/>
      <sheetName val="_x0000__x0000__x0000__x0002__x0000__x0000__x0000__x0000_䀦_x0000__x0000__x0000__x0000__x0001__x0000__x0000__x0000_㵈ˑ㵰㿪_x0000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T Summary"/>
      <sheetName val="Side by Side"/>
      <sheetName val="Network Comparison"/>
      <sheetName val="Rate Card"/>
      <sheetName val="Pricesheet"/>
      <sheetName val="IbRcpt"/>
      <sheetName val="LMS"/>
      <sheetName val="Profile"/>
      <sheetName val="Volume"/>
      <sheetName val="Wages"/>
      <sheetName val="Menu"/>
      <sheetName val="Assume"/>
      <sheetName val="Cover"/>
      <sheetName val="WLabor"/>
      <sheetName val="WCapital"/>
      <sheetName val="WTMisc"/>
      <sheetName val="StartUp"/>
      <sheetName val="Budget"/>
      <sheetName val="CapSum"/>
      <sheetName val="Multiyear"/>
      <sheetName val="TStaff"/>
      <sheetName val="TCapital"/>
      <sheetName val="TVar"/>
      <sheetName val="TRoutes"/>
      <sheetName val="LPC_Input"/>
      <sheetName val="LPC_Calc"/>
      <sheetName val="WSpace"/>
      <sheetName val="WResource"/>
      <sheetName val="WPricelist"/>
      <sheetName val="States"/>
      <sheetName val="Version_notes"/>
      <sheetName val="TPriceList"/>
      <sheetName val="Module1"/>
      <sheetName val="Fee Rate Summary"/>
      <sheetName val="^Parameters"/>
      <sheetName val="Competitors"/>
      <sheetName val="B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PLANTS"/>
      <sheetName val="TALSTOCKVAL"/>
      <sheetName val="BKCSTOCKVAL"/>
      <sheetName val="MAHSTOCKVAL"/>
      <sheetName val="DCF"/>
      <sheetName val="financials"/>
      <sheetName val="DCF_inputs"/>
      <sheetName val="user"/>
      <sheetName val="manager"/>
      <sheetName val="summary"/>
      <sheetName val="valmatrix"/>
      <sheetName val="전체실적"/>
      <sheetName val="Tablexxxxx"/>
      <sheetName val="case"/>
      <sheetName val="ABSSHT"/>
      <sheetName val="INDEX"/>
      <sheetName val="Fee Rate Summary"/>
      <sheetName val="Volum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Notes"/>
      <sheetName val="Conjoint"/>
      <sheetName val="dConjoint"/>
      <sheetName val="Assumptions"/>
      <sheetName val="ABTYearly"/>
      <sheetName val="ABTMonthly"/>
      <sheetName val="ABTForecast"/>
      <sheetName val="dAssumption"/>
      <sheetName val="ActHistory"/>
      <sheetName val="HistoryAdj"/>
      <sheetName val="SetupFcst"/>
      <sheetName val="ActForecast"/>
      <sheetName val="ForecastAdj"/>
      <sheetName val="Summary"/>
      <sheetName val="BrSummary_Mo"/>
      <sheetName val="BrSummary_Yr"/>
      <sheetName val="Competitor_Mo"/>
      <sheetName val="Competitor_Yr"/>
      <sheetName val="AdHocChart"/>
      <sheetName val="AdHocChartData"/>
      <sheetName val="Charts"/>
      <sheetName val="Custom1"/>
      <sheetName val="2003 PLAN"/>
      <sheetName val="Carson LBE (Feb14)"/>
      <sheetName val="2003 UPDATE (Jul 15)"/>
      <sheetName val="2003 FIT"/>
      <sheetName val="IMS Data - Jun"/>
      <sheetName val="2003 UPDATE"/>
      <sheetName val="2003 LBE"/>
      <sheetName val="2004 Pre-PLAN"/>
      <sheetName val="New 2003 LRP"/>
      <sheetName val="2003 UPDATE Rollforward"/>
      <sheetName val="HUMIRA Wkly TRx (Update vs FIT)"/>
      <sheetName val="HUMIRA Mth TRx (Update vs FIT)"/>
      <sheetName val="HUMIRA Weekly NRx Scenarios"/>
      <sheetName val="2003 LRP Highlights"/>
      <sheetName val="2003 LRP"/>
      <sheetName val="2003 LRP Mkt Summary"/>
      <sheetName val="Cover"/>
      <sheetName val="Table Of Contents"/>
      <sheetName val="Mkt Summary"/>
      <sheetName val="Mkt NRx Vol (Injectable)"/>
      <sheetName val="Humira NRx Vol"/>
      <sheetName val="Humira NRx Share"/>
      <sheetName val="Competitor NRx Vol (Injectable)"/>
      <sheetName val="Competitor NRx Shr (Injectable)"/>
      <sheetName val="Mkt TRx Vol"/>
      <sheetName val="Humira TRx Vol"/>
      <sheetName val="Humira TRx Share"/>
      <sheetName val="Competitor TRx Vol"/>
      <sheetName val="Competitor TRx Shr"/>
      <sheetName val="Mkt TRx Vol (Injectable)"/>
      <sheetName val="Competitor TRx Vol (Injectable)"/>
      <sheetName val="Competitor TRx Shr (Injectable)"/>
      <sheetName val="Refill Ratio"/>
      <sheetName val="Weekly Dosing"/>
      <sheetName val="Mail Order"/>
      <sheetName val="Rx Size (Overall)"/>
      <sheetName val="Rx Size (By Channel)"/>
      <sheetName val="Non-Retail"/>
      <sheetName val="ASP"/>
      <sheetName val="Demand"/>
      <sheetName val="IMS Data - May"/>
      <sheetName val="Launch Uptake - TRx"/>
      <sheetName val="Launch Uptake - NRx"/>
      <sheetName val="Enbrel TRx By Indication"/>
      <sheetName val="Update Pricing Scenarios"/>
      <sheetName val="2003 BDMARD Mkt Rollforward"/>
      <sheetName val="Mail Order TRx Impact"/>
      <sheetName val="Patients (Base)"/>
      <sheetName val="Patient Sensitivity Summary"/>
      <sheetName val="Patient Sensitivities"/>
      <sheetName val="Patients(Enbrel Launch Effect)1"/>
      <sheetName val="Patients(Enbrel Launch Effect)2"/>
      <sheetName val="Patients (Jan Enbrel Relaunch)1"/>
      <sheetName val="Patients (Jan Enbrel Relaunch)2"/>
      <sheetName val="Sheet2"/>
      <sheetName val="Mkt TRx History (No Remicade)"/>
      <sheetName val="Mkt TRx Vol Graph (With 2004)"/>
      <sheetName val="Weekly Gaiting - BDMARD Mkt"/>
      <sheetName val="Weekly Gaiting - HUMIRA"/>
      <sheetName val="HUMIRA Weekly Gaiting"/>
      <sheetName val="BDMARD Market Weekly Gaiting"/>
      <sheetName val="TRx"/>
      <sheetName val="Inject TRx"/>
      <sheetName val="Inject NRx"/>
      <sheetName val="Forecast Diags"/>
      <sheetName val="Info"/>
      <sheetName val="Scratch Pad"/>
      <sheetName val="VBA Related"/>
      <sheetName val="Mkt TRx Vol Graph"/>
      <sheetName val="Humira TRx Vol Graph"/>
      <sheetName val="Sales Reconcilaition"/>
      <sheetName val="Metrics"/>
      <sheetName val="$300MM"/>
      <sheetName val="$315MM"/>
      <sheetName val="$340MM"/>
      <sheetName val="HUMIRA Monthly TRx Scenarios"/>
      <sheetName val="$282MM"/>
      <sheetName val="HUMIRA Update Weekly Gaiting"/>
      <sheetName val="HUMIRA Weekly Scenarios"/>
      <sheetName val="HUMIRA Monthly Scenarios"/>
      <sheetName val="Leiden Mtg Scenario"/>
      <sheetName val="Mkt TRx Vol (No Remicade)"/>
      <sheetName val="Mkt NRx Vol (No Remicade)"/>
      <sheetName val="Competitor TRx Vol(No Remicade)"/>
      <sheetName val="Competitor TRx Shr(No Remicade)"/>
      <sheetName val="Competitor NRx Vol(No Remicade)"/>
      <sheetName val="Competitor NRx Shr(No Remicade)"/>
      <sheetName val="Humira Share Graph"/>
      <sheetName val="Demand Graph"/>
      <sheetName val="Competitor TRx Vol Graph"/>
      <sheetName val="Competitor Share Graph"/>
      <sheetName val="Humira NRx Vol Graph"/>
      <sheetName val="Rx Size"/>
      <sheetName val="Mkt TRx Vol Graph (No Remicade)"/>
      <sheetName val="Mkt NRx Vol Graph (No Remicade)"/>
      <sheetName val="Humira TRx Share Graph"/>
      <sheetName val="Humira NRx Share Graph"/>
      <sheetName val="Market Growth"/>
      <sheetName val="Custom2"/>
      <sheetName val="Custom3"/>
      <sheetName val="Profiles"/>
      <sheetName val="StageModel"/>
      <sheetName val="Attributes"/>
      <sheetName val="Work"/>
      <sheetName val="Simulation"/>
      <sheetName val="Calibration"/>
      <sheetName val="Card"/>
      <sheetName val="Humira"/>
      <sheetName val="Kineret"/>
      <sheetName val="Product X"/>
      <sheetName val="Enbrel"/>
      <sheetName val="Remicade"/>
      <sheetName val="Product Y"/>
      <sheetName val="ProductW"/>
      <sheetName val="ProductZ"/>
      <sheetName val="ra01_utl Import"/>
      <sheetName val="Segmented Sales Forecast"/>
      <sheetName val="ADD"/>
      <sheetName val="Kal Fcst"/>
      <sheetName val="ACTUALS"/>
      <sheetName val="DEPT 53i"/>
      <sheetName val="DEPT 53M"/>
      <sheetName val="DEPT 824"/>
      <sheetName val="DEPT 999"/>
      <sheetName val="DEPT A59"/>
      <sheetName val="ENGR SUM W_O A24&amp;A59"/>
      <sheetName val="DEPT 552"/>
      <sheetName val="DEPT 55B"/>
      <sheetName val="DEPT 55S"/>
      <sheetName val="DEPT 55T"/>
      <sheetName val="DEPT A24"/>
      <sheetName val="Total PHARMA W_O D2E7"/>
      <sheetName val="Month"/>
      <sheetName val="EssbasePY"/>
      <sheetName val="GPO"/>
      <sheetName val="CED"/>
      <sheetName val="ADC MED-THER"/>
      <sheetName val="INT"/>
      <sheetName val="PPD"/>
      <sheetName val="SPD"/>
      <sheetName val="TAP"/>
      <sheetName val="CHMS"/>
      <sheetName val="WK2 PRELIM UPDATE Don't Touch"/>
      <sheetName val="ROSS"/>
      <sheetName val="Corp_Fcst"/>
      <sheetName val="Plusmin_Fcst"/>
      <sheetName val="FG - 11 SPEND"/>
      <sheetName val="FG - 18 OMCBYDIVISION"/>
      <sheetName val="Control"/>
      <sheetName val="EXCH VARIANCE UPDATE"/>
      <sheetName val="Parameters"/>
      <sheetName val="Sales forecast"/>
      <sheetName val="P-L Statement"/>
      <sheetName val="Power&amp;Fuel"/>
      <sheetName val="PRMDESP"/>
      <sheetName val="TMasterConsUnit"/>
      <sheetName val="TMasterSeg"/>
      <sheetName val="A"/>
      <sheetName val="DCF"/>
      <sheetName val="DCF_inputs"/>
      <sheetName val="financials"/>
      <sheetName val="user"/>
      <sheetName val="manager"/>
      <sheetName val="case"/>
      <sheetName val="valmatri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urce file"/>
      <sheetName val="Exp."/>
      <sheetName val="A"/>
      <sheetName val="Entry Sheet1"/>
      <sheetName val="Exp"/>
      <sheetName val="#REF"/>
      <sheetName val="Volume"/>
      <sheetName val="Power&amp;Fuel"/>
      <sheetName val="PRMDES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mpns"/>
      <sheetName val="Market"/>
      <sheetName val="Sheet3"/>
      <sheetName val="Oum"/>
      <sheetName val="inter cir"/>
      <sheetName val="intra cir"/>
      <sheetName val="BW Sale"/>
      <sheetName val="P&amp;L"/>
      <sheetName val="Fund requirement"/>
      <sheetName val="Cash Flow"/>
      <sheetName val="Balance Sheet"/>
      <sheetName val="IRR"/>
      <sheetName val="Capex"/>
      <sheetName val="Opex"/>
      <sheetName val="Tax"/>
      <sheetName val="Billing &amp; GA"/>
      <sheetName val="Debt schedule"/>
      <sheetName val="TRAI Tariffs"/>
      <sheetName val="MCUs"/>
      <sheetName val="Working Capital"/>
      <sheetName val="Depn  SLM"/>
      <sheetName val="Depn WDV"/>
      <sheetName val="FSP+CSP BW"/>
      <sheetName val="Data BW sale"/>
      <sheetName val="BKCSTOCKVAL"/>
      <sheetName val="bc102adm"/>
      <sheetName val="Inversión"/>
      <sheetName val="Cuenta Explotación"/>
      <sheetName val="Volu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COVER"/>
      <sheetName val="INDEX"/>
      <sheetName val="BAL"/>
      <sheetName val="P&amp;L"/>
      <sheetName val="NOTES "/>
      <sheetName val="BKCSTOCKVAL"/>
      <sheetName val="AU Zone"/>
      <sheetName val="m-0003"/>
      <sheetName val="RCIL-P&amp;L"/>
      <sheetName val="dAssumption"/>
      <sheetName val="AdHocChartData"/>
      <sheetName val="ActHistory"/>
      <sheetName val="ForecastAdj"/>
      <sheetName val="HistoryAdj"/>
      <sheetName val="SetupFcst"/>
      <sheetName val="Intro"/>
      <sheetName val="Summary"/>
      <sheetName val="BrSummary_Mo"/>
      <sheetName val="BrSummary_Yr"/>
      <sheetName val="Competitor_Mo"/>
      <sheetName val="Competitor_Yr"/>
      <sheetName val="Charts"/>
      <sheetName val="AdHocChart"/>
      <sheetName val="Conjoint"/>
      <sheetName val="Assumptions"/>
      <sheetName val="VBA Related"/>
      <sheetName val="#REF"/>
      <sheetName val="Exp"/>
      <sheetName val="Exp."/>
      <sheetName val="ﾎｰｽ,ｸﾘｯﾌﾟ設計"/>
      <sheetName val="Assmp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P &amp; L"/>
      <sheetName val="BS SCH"/>
      <sheetName val="PL SCH"/>
      <sheetName val="F Asset"/>
      <sheetName val="TB"/>
      <sheetName val="abstract"/>
      <sheetName val="Points"/>
      <sheetName val="1of7"/>
      <sheetName val="#REF"/>
      <sheetName val="W-현원가"/>
      <sheetName val="BS (Sachin)"/>
      <sheetName val="legend"/>
      <sheetName val="Exp"/>
      <sheetName val="Exp.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ENDIX-I"/>
      <sheetName val="Corr-spt"/>
      <sheetName val="Obs-spt"/>
      <sheetName val="SPT vs PHI"/>
      <sheetName val="Indices"/>
      <sheetName val="Concrete"/>
      <sheetName val="reinft"/>
      <sheetName val="glass project concrete"/>
      <sheetName val="glass project reift"/>
      <sheetName val="glass project indices"/>
      <sheetName val="Table10"/>
      <sheetName val="Table11"/>
      <sheetName val="Table12"/>
      <sheetName val="Table9"/>
      <sheetName val="Sheet2"/>
      <sheetName val="GBW"/>
      <sheetName val="Civil Boq"/>
      <sheetName val="Assmpns"/>
      <sheetName val="Sheet1"/>
      <sheetName val="Lab"/>
      <sheetName val="office"/>
      <sheetName val="Material&amp;equipment"/>
      <sheetName val="SBC-BH-1"/>
      <sheetName val="gen"/>
      <sheetName val="SBC-BH 19"/>
      <sheetName val="SBC-BH-16"/>
      <sheetName val="BH-20"/>
      <sheetName val="BH-15"/>
      <sheetName val="BH-14"/>
      <sheetName val="BH-16"/>
      <sheetName val="BH-17"/>
      <sheetName val="sbc-ABH-1"/>
      <sheetName val="ABH-1"/>
      <sheetName val="BH-19"/>
      <sheetName val="BH-1"/>
      <sheetName val="SBC-BH-3"/>
      <sheetName val="BH-3"/>
      <sheetName val="Sheet4"/>
      <sheetName val="Boq"/>
      <sheetName val="Summary 0506"/>
      <sheetName val="Summary 0607- 31.MAR"/>
      <sheetName val="#REF!"/>
      <sheetName val="Qty"/>
      <sheetName val="d-safe DELUXE"/>
      <sheetName val="sept-plan"/>
      <sheetName val="Other"/>
      <sheetName val="Summary"/>
      <sheetName val="Spt-BH"/>
      <sheetName val="Stock-II"/>
      <sheetName val="Rate Analysis"/>
      <sheetName val="d-safe specs"/>
      <sheetName val="BH 12-11-10-13"/>
      <sheetName val="BH 12-11-10-9"/>
      <sheetName val="BH 36-15-37"/>
      <sheetName val="BH 16-35-25-17"/>
      <sheetName val="BH 35-25-17"/>
      <sheetName val="Sheet1 (2)"/>
      <sheetName val="SPT_vs_PHI"/>
      <sheetName val="glass_project_concrete"/>
      <sheetName val="glass_project_reift"/>
      <sheetName val="glass_project_indices"/>
      <sheetName val="FitOutConfCentre"/>
      <sheetName val="SPT_vs_PHI1"/>
      <sheetName val="glass_project_concrete1"/>
      <sheetName val="glass_project_reift1"/>
      <sheetName val="glass_project_indices1"/>
      <sheetName val="SBC-BH_19"/>
      <sheetName val="Rate_Analysis"/>
      <sheetName val="BH_12-11-10-13"/>
      <sheetName val="BH_12-11-10-9"/>
      <sheetName val="BH_36-15-37"/>
      <sheetName val="BH_16-35-25-17"/>
      <sheetName val="BH_35-25-17"/>
      <sheetName val="Sheet1_(2)"/>
      <sheetName val="Pile cap"/>
      <sheetName val="PRECAST lightconc-II"/>
      <sheetName val="V.O.4 - PCC Qty"/>
      <sheetName val="TBAL9697 -group wise  sdpl"/>
      <sheetName val="Abstract Sheet"/>
      <sheetName val="Mix Design"/>
      <sheetName val="std-rates"/>
      <sheetName val="RCC,Ret. Wall"/>
      <sheetName val="Form 6"/>
      <sheetName val="PointNo.5"/>
      <sheetName val="Legal Risk Analysis"/>
      <sheetName val="BLK2"/>
      <sheetName val="BLK3"/>
      <sheetName val="E &amp; R"/>
      <sheetName val="radar"/>
      <sheetName val="UG"/>
      <sheetName val="Design"/>
      <sheetName val="Break up Sheet"/>
      <sheetName val="Fill this out first..."/>
      <sheetName val="LABOUR"/>
      <sheetName val="REVISED4A PROG PERF-SITE 1"/>
      <sheetName val="Load Details-220kV"/>
      <sheetName val="R20_R30_work"/>
      <sheetName val="WWR"/>
      <sheetName val="8"/>
      <sheetName val="Flight-1"/>
      <sheetName val="Publicbuilding"/>
      <sheetName val="FT-05-02IsoBOM"/>
      <sheetName val="BOQ_Direct_selling cost"/>
      <sheetName val="BOQ (2)"/>
      <sheetName val="CABLE DATA"/>
      <sheetName val="beam-reinft-IIInd floor"/>
      <sheetName val="Sheet3"/>
      <sheetName val="Input"/>
      <sheetName val="Activity"/>
      <sheetName val="Staff Acco."/>
      <sheetName val="Crew"/>
      <sheetName val="Piping"/>
      <sheetName val="Pipe Supports"/>
      <sheetName val="dummy"/>
      <sheetName val="SANJAY PAL"/>
      <sheetName val="P A SELVAM"/>
      <sheetName val="ANSARI "/>
      <sheetName val="abdesh pal"/>
      <sheetName val="sujay bagchi"/>
      <sheetName val="S.K.SINHA BASU"/>
      <sheetName val="NEDUNCHEZHIYAN"/>
      <sheetName val="RAJARAM"/>
      <sheetName val="KRISHNA PRASAD"/>
      <sheetName val="BARATH &amp; CO"/>
      <sheetName val="L B YADAV"/>
      <sheetName val="DEEPAK KUMAR"/>
      <sheetName val="MUKLAL YADAV"/>
      <sheetName val="MADHU SUDHAN"/>
      <sheetName val="SAUD ALAM "/>
      <sheetName val="RAMESH BABU"/>
      <sheetName val="SUKHENDUPAL"/>
      <sheetName val="SAILEN SARKAR"/>
      <sheetName val="elongovan"/>
      <sheetName val="SANJAY JENA1"/>
      <sheetName val="upendra saw "/>
      <sheetName val="ALLOK KUMAR "/>
      <sheetName val="analysis"/>
      <sheetName val="except wiring"/>
      <sheetName val="final abstract"/>
      <sheetName val="Rev S1 Abstract"/>
      <sheetName val="Quantity Abstract"/>
      <sheetName val="[Spt-BH.xls][Spt-BH.xls]B_____2"/>
      <sheetName val=""/>
      <sheetName val="Abstract"/>
      <sheetName val="M-Book for Conc"/>
      <sheetName val="M-Book for FW"/>
      <sheetName val="VCH-SLC"/>
      <sheetName val="Supplier"/>
      <sheetName val="Parapet"/>
      <sheetName val="sheet6"/>
      <sheetName val="RA-markate"/>
      <sheetName val="[Spt-BH.xls][Spt-BH.xls]B_____3"/>
      <sheetName val="INPUT SHEET"/>
      <sheetName val="RES-PLANNING"/>
      <sheetName val="Sump"/>
      <sheetName val="COLUMN"/>
      <sheetName val="Footings"/>
      <sheetName val="B@__x005f_x0000__x005f_x0004_@_x005f_x0000__x0000"/>
      <sheetName val="Project Budget Worksheet"/>
      <sheetName val="cubes_M20"/>
      <sheetName val="Summary_0506"/>
      <sheetName val="Summary_0607-_31_MAR"/>
      <sheetName val="Form_6"/>
      <sheetName val="switch"/>
      <sheetName val="Cost_any"/>
      <sheetName val="Process"/>
      <sheetName val="pt_cw"/>
      <sheetName val="Metso - Forth &amp; Slurry 11.02.10"/>
      <sheetName val="BS1"/>
      <sheetName val="#REF"/>
      <sheetName val="BOQ -II ph 2"/>
      <sheetName val="A-General"/>
      <sheetName val="Macro1"/>
      <sheetName val="B@_"/>
      <sheetName val="B@___x0004_@_____$__"/>
      <sheetName val="RA"/>
      <sheetName val="11-hsd"/>
      <sheetName val="13-septic"/>
      <sheetName val="7-ug"/>
      <sheetName val="2-utility"/>
      <sheetName val="18-misc"/>
      <sheetName val="5-pipe"/>
      <sheetName val="Fee Rate Summary"/>
      <sheetName val="1"/>
      <sheetName val="DADAN-1"/>
      <sheetName val="Lead"/>
      <sheetName val="SPT_vs_PHI2"/>
      <sheetName val="glass_project_concrete2"/>
      <sheetName val="glass_project_reift2"/>
      <sheetName val="glass_project_indices2"/>
      <sheetName val="BH_12-11-10-131"/>
      <sheetName val="BH_12-11-10-91"/>
      <sheetName val="BH_36-15-371"/>
      <sheetName val="BH_16-35-25-171"/>
      <sheetName val="BH_35-25-171"/>
      <sheetName val="Sheet1_(2)1"/>
      <sheetName val="SBC-BH_191"/>
      <sheetName val="Rate_Analysis1"/>
      <sheetName val="Civil_Boq"/>
      <sheetName val="Pile_cap"/>
      <sheetName val="PRECAST_lightconc-II"/>
      <sheetName val="d-safe_DELUXE"/>
      <sheetName val="Mix_Design"/>
      <sheetName val="RCC,Ret__Wall"/>
      <sheetName val="PointNo_5"/>
      <sheetName val="TBAL9697_-group_wise__sdpl"/>
      <sheetName val="Abstract_Sheet"/>
      <sheetName val="E_&amp;_R"/>
      <sheetName val="Legal_Risk_Analysis"/>
      <sheetName val="Break_up_Sheet"/>
      <sheetName val="V_O_4_-_PCC_Qty"/>
      <sheetName val="maingirder"/>
      <sheetName val="basic-data"/>
      <sheetName val="Title"/>
      <sheetName val="STAFFSCHED "/>
      <sheetName val="SUMM"/>
      <sheetName val="class &amp; category"/>
      <sheetName val="Rein-Final (Ph 1+Ph2)"/>
      <sheetName val="India F&amp;S Template"/>
      <sheetName val="SPT_vs_PHI3"/>
      <sheetName val="glass_project_concrete3"/>
      <sheetName val="glass_project_reift3"/>
      <sheetName val="glass_project_indices3"/>
      <sheetName val="Civil_Boq1"/>
      <sheetName val="SBC-BH_192"/>
      <sheetName val="Summary_05061"/>
      <sheetName val="Summary_0607-_31_MAR1"/>
      <sheetName val="d-safe_DELUXE1"/>
      <sheetName val="Rate_Analysis2"/>
      <sheetName val="d-safe_specs"/>
      <sheetName val="BH_12-11-10-132"/>
      <sheetName val="BH_12-11-10-92"/>
      <sheetName val="BH_36-15-372"/>
      <sheetName val="BH_16-35-25-172"/>
      <sheetName val="BH_35-25-172"/>
      <sheetName val="Sheet1_(2)2"/>
      <sheetName val="Pile_cap1"/>
      <sheetName val="PRECAST_lightconc-II1"/>
      <sheetName val="V_O_4_-_PCC_Qty1"/>
      <sheetName val="TBAL9697_-group_wise__sdpl1"/>
      <sheetName val="Abstract_Sheet1"/>
      <sheetName val="Mix_Design1"/>
      <sheetName val="RCC,Ret__Wall1"/>
      <sheetName val="Form_61"/>
      <sheetName val="PointNo_51"/>
      <sheetName val="Legal_Risk_Analysis1"/>
      <sheetName val="E_&amp;_R1"/>
      <sheetName val="Break_up_Sheet1"/>
      <sheetName val="Fill_this_out_first___"/>
      <sheetName val="REVISED4A_PROG_PERF-SITE_1"/>
      <sheetName val="Load_Details-220kV"/>
      <sheetName val="BOQ_Direct_selling_cost"/>
      <sheetName val="BOQ_(2)"/>
      <sheetName val="CABLE_DATA"/>
      <sheetName val="beam-reinft-IIInd_floor"/>
      <sheetName val="Staff_Acco_"/>
      <sheetName val="Pipe_Supports"/>
      <sheetName val="SANJAY_PAL"/>
      <sheetName val="P_A_SELVAM"/>
      <sheetName val="ANSARI_"/>
      <sheetName val="abdesh_pal"/>
      <sheetName val="sujay_bagchi"/>
      <sheetName val="S_K_SINHA_BASU"/>
      <sheetName val="KRISHNA_PRASAD"/>
      <sheetName val="BARATH_&amp;_CO"/>
      <sheetName val="L_B_YADAV"/>
      <sheetName val="DEEPAK_KUMAR"/>
      <sheetName val="MUKLAL_YADAV"/>
      <sheetName val="MADHU_SUDHAN"/>
      <sheetName val="SAUD_ALAM_"/>
      <sheetName val="RAMESH_BABU"/>
      <sheetName val="SAILEN_SARKAR"/>
      <sheetName val="SANJAY_JENA1"/>
      <sheetName val="upendra_saw_"/>
      <sheetName val="ALLOK_KUMAR_"/>
      <sheetName val="except_wiring"/>
      <sheetName val="final_abstract"/>
      <sheetName val="Rev_S1_Abstract"/>
      <sheetName val="Quantity_Abstract"/>
      <sheetName val="[Spt-BH.xls][Spt-BH.xls]_Spt__2"/>
      <sheetName val="M-Book_for_Conc"/>
      <sheetName val="M-Book_for_FW"/>
      <sheetName val="INPUT_SHEET"/>
      <sheetName val="Project_Budget_Worksheet"/>
      <sheetName val="Metso_-_Forth_&amp;_Slurry_11_02_10"/>
      <sheetName val="BOQ_-II_ph_2"/>
      <sheetName val="B@__@_____$__"/>
      <sheetName val="Fee_Rate_Summary"/>
      <sheetName val="STAFFSCHED_"/>
      <sheetName val="class_&amp;_category"/>
      <sheetName val="Rein-Final_(Ph_1+Ph2)"/>
      <sheetName val="India_F&amp;S_Template"/>
      <sheetName val="Headings"/>
      <sheetName val="Formulas"/>
      <sheetName val="FUNDFLOW"/>
      <sheetName val="Site wise NADs"/>
      <sheetName val="NPV"/>
      <sheetName val="B@[_x005f_x0000__x005f_x0004_@_x005f_x0000__x0000"/>
      <sheetName val="p&amp;m"/>
      <sheetName val="Quote Sheet"/>
      <sheetName val="HPL"/>
      <sheetName val="Costing"/>
      <sheetName val="col-reinft1"/>
      <sheetName val="220 11  BS "/>
      <sheetName val="Coefficients"/>
      <sheetName val="IS3370"/>
      <sheetName val="IS456"/>
      <sheetName val="Build-up"/>
      <sheetName val="AOR"/>
      <sheetName val="SSR &amp; NSSR Market final"/>
      <sheetName val="2gii"/>
      <sheetName val="MGS"/>
      <sheetName val="attach(2)"/>
      <sheetName val="precast RC element"/>
      <sheetName val="EDWise"/>
      <sheetName val="ComboSheet"/>
      <sheetName val="B@__x005f_x005f_x005f_x0000__x005f_x005f_x005f_x0004_@_"/>
      <sheetName val="B@___x005f_x0004_@_____$__"/>
      <sheetName val="x-items"/>
      <sheetName val="Stress Calculation"/>
      <sheetName val="Qty-Opt1"/>
      <sheetName val="T&amp;M"/>
      <sheetName val="SOR"/>
      <sheetName val="PriceSummary"/>
      <sheetName val="RA RCC F"/>
      <sheetName val="Cal"/>
      <sheetName val="Data"/>
      <sheetName val="Voucher"/>
      <sheetName val="Materials Cost(PCC)"/>
      <sheetName val="Inputs &amp; Summary Output"/>
      <sheetName val="Broad Refresher Model"/>
      <sheetName val="Debits as on 12.04.08"/>
      <sheetName val="[Spt-BH.xls][Spt-BH.xls]B@[_x0004_@"/>
      <sheetName val="[Spt-BH.xls][Spt-BH.xls]B@[?_x0004_@?"/>
      <sheetName val="[Spt-BH.xls][Spt-BH.xls]B@[?@??"/>
      <sheetName val="[Spt-BH.xls][Spt-BH.xls][Spt-BH"/>
      <sheetName val="合成単価作成表-BLDG"/>
      <sheetName val="B@["/>
      <sheetName val="PRRM Dashboard"/>
      <sheetName val="Mappings"/>
      <sheetName val="B@_@__$"/>
      <sheetName val="Report"/>
      <sheetName val="LT Motor catalog"/>
      <sheetName val="Cable cat"/>
      <sheetName val="ELECT"/>
      <sheetName val="pr.cal"/>
      <sheetName val="Tees"/>
      <sheetName val="bricks"/>
      <sheetName val="TRF details"/>
      <sheetName val="BHANDUP"/>
      <sheetName val="Cost of O &amp; O"/>
      <sheetName val="Back"/>
      <sheetName val="Material "/>
      <sheetName val="Labour &amp; Plant"/>
      <sheetName val="Abstract for Variation"/>
      <sheetName val="LBD VARIATION"/>
      <sheetName val="inWords"/>
      <sheetName val="Index "/>
      <sheetName val="Instructions"/>
      <sheetName val="Email Approval Template"/>
      <sheetName val="1 Executive Summary"/>
      <sheetName val="2 Risk Assessment Analysis"/>
      <sheetName val="3 Pre-Approval"/>
      <sheetName val="Map"/>
      <sheetName val="4 CIS"/>
      <sheetName val="5 Change Order"/>
      <sheetName val="5.1  Re-book De-book order"/>
      <sheetName val="6 Contract Re-estimates"/>
      <sheetName val="7a BG Approval Form"/>
      <sheetName val="7b BG Email Approval Template"/>
      <sheetName val="8 LAD Approval Form"/>
      <sheetName val="9 LOI Checklist"/>
      <sheetName val="10 RPS Information Form"/>
      <sheetName val="11 Proj Cashflow "/>
      <sheetName val="11.1 Cash-flow Chart"/>
      <sheetName val="Threshold Calculator"/>
      <sheetName val="Version Control"/>
      <sheetName val="Prebid Review"/>
      <sheetName val="DJC Parameters"/>
      <sheetName val="Offer"/>
      <sheetName val="Selling Summary"/>
      <sheetName val="1-BAS (cost)"/>
      <sheetName val="Controller Configuration"/>
      <sheetName val="IO Summary"/>
      <sheetName val="2-FAS (cost)"/>
      <sheetName val="Cost Summary"/>
      <sheetName val="3-PA (cost)"/>
      <sheetName val="Approved Make"/>
      <sheetName val="Basis of offer"/>
      <sheetName val="High Level Summary"/>
      <sheetName val="4-ACS  (cost)"/>
      <sheetName val="5-CCTV  (cost)"/>
      <sheetName val="6-FFT  (cost)"/>
      <sheetName val="7- Service Retrofit  (cost)"/>
      <sheetName val="8-Service PSA,O&amp;M  (cost)"/>
      <sheetName val="9- Service L&amp;M  (cost)"/>
      <sheetName val="non fixed DJC "/>
      <sheetName val="10-UPG (cost)"/>
      <sheetName val="11-ESG  (cost)"/>
      <sheetName val="12-Products (cost)"/>
      <sheetName val="13-VAV  (cost)"/>
      <sheetName val="14-REF (cost)"/>
      <sheetName val="15 - Local Chiller (cost)"/>
      <sheetName val="Selling-Local Chiller"/>
      <sheetName val="Material Cost JCS"/>
      <sheetName val="Costing USD Chiller"/>
      <sheetName val="Selling-USD Chiller"/>
      <sheetName val="PRICE MATRIX -JCIPL"/>
      <sheetName val="COST SUMMARY- JCIPL"/>
      <sheetName val="1-BAS-JCIPL"/>
      <sheetName val="2-FAS-JCIPL"/>
      <sheetName val="3-PA-JCIPL"/>
      <sheetName val="4-ACS-JCIPL"/>
      <sheetName val="5-CCTV-JCIPL"/>
      <sheetName val="6 -FFT-JCIPL"/>
      <sheetName val="7-Ser Retro -JCIPL"/>
      <sheetName val="8-Ser PSA, O&amp;M -JCIPL"/>
      <sheetName val="9-Ser L&amp;M -JCIPL"/>
      <sheetName val="10-UPG JCIPL"/>
      <sheetName val="11-ESG JCIPL"/>
      <sheetName val="12-Products JCIPL"/>
      <sheetName val="13-VAV JCIPL"/>
      <sheetName val="14-REF JCMRL "/>
      <sheetName val="Proj. DJC-JCIPL"/>
      <sheetName val=" L0 DDC 1"/>
      <sheetName val="L0 DDC-2"/>
      <sheetName val="L16 DDC-3"/>
      <sheetName val="L16-DDC-4"/>
      <sheetName val="L16 DDC-5"/>
      <sheetName val="L17 DDC-6"/>
      <sheetName val="L17 DDC-7 "/>
      <sheetName val="L18 DDC-8"/>
      <sheetName val="L18-DDC-9"/>
      <sheetName val="2-AutoDialer Sys"/>
      <sheetName val="1-BAS1 (cost)"/>
      <sheetName val="2-BAS2 (cost)"/>
      <sheetName val="Deviations-Project Risks"/>
      <sheetName val="IO Schedule"/>
      <sheetName val="3"/>
      <sheetName val="B@__x0004_@_x0000"/>
      <sheetName val="B@__x005f_x0000__x005f_x0004_@_"/>
      <sheetName val="B@___x005f_x005f_x005f_x0004_@_____$__"/>
      <sheetName val="B@__x005f_x005f_x005f_x005f_x005f_x005f_x005f_x0000__x0"/>
      <sheetName val="B@[_x005f_x005f_x005f_x0000__x005f_x005f_x005f_x0004_@_"/>
      <sheetName val="재1"/>
      <sheetName val="SubmitCal"/>
      <sheetName val="Data sheet"/>
      <sheetName val="Summary_05062"/>
      <sheetName val="Summary_0607-_31_MAR2"/>
      <sheetName val="Form_62"/>
      <sheetName val="beam-reinft-IIInd_floor1"/>
      <sheetName val="Fill_this_out_first___1"/>
      <sheetName val="REVISED4A_PROG_PERF-SITE_11"/>
      <sheetName val="BOQ_Direct_selling_cost1"/>
      <sheetName val="Load_Details-220kV1"/>
      <sheetName val="BOQ_(2)1"/>
      <sheetName val="CABLE_DATA1"/>
      <sheetName val="final_abstract1"/>
      <sheetName val="Rev_S1_Abstract1"/>
      <sheetName val="Quantity_Abstract1"/>
      <sheetName val="Staff_Acco_1"/>
      <sheetName val="Pipe_Supports1"/>
      <sheetName val="M-Book_for_Conc1"/>
      <sheetName val="M-Book_for_FW1"/>
      <sheetName val="INPUT_SHEET1"/>
      <sheetName val="Project_Budget_Worksheet1"/>
      <sheetName val="SANJAY_PAL1"/>
      <sheetName val="P_A_SELVAM1"/>
      <sheetName val="ANSARI_1"/>
      <sheetName val="abdesh_pal1"/>
      <sheetName val="sujay_bagchi1"/>
      <sheetName val="S_K_SINHA_BASU1"/>
      <sheetName val="KRISHNA_PRASAD1"/>
      <sheetName val="BARATH_&amp;_CO1"/>
      <sheetName val="L_B_YADAV1"/>
      <sheetName val="DEEPAK_KUMAR1"/>
      <sheetName val="MUKLAL_YADAV1"/>
      <sheetName val="MADHU_SUDHAN1"/>
      <sheetName val="SAUD_ALAM_1"/>
      <sheetName val="RAMESH_BABU1"/>
      <sheetName val="SAILEN_SARKAR1"/>
      <sheetName val="SANJAY_JENA11"/>
      <sheetName val="upendra_saw_1"/>
      <sheetName val="ALLOK_KUMAR_1"/>
      <sheetName val="except_wiring1"/>
      <sheetName val="BOQ_-II_ph_21"/>
      <sheetName val="Site_wise_NADs"/>
      <sheetName val="PRRM_Dashboard"/>
      <sheetName val="Stress_Calculation"/>
      <sheetName val="Quote_Sheet"/>
      <sheetName val="Materials_Cost(PCC)"/>
      <sheetName val="220_11__BS_"/>
      <sheetName val="SSR_&amp;_NSSR_Market_final"/>
      <sheetName val="RA_RCC_F"/>
      <sheetName val="precast_RC_element"/>
      <sheetName val="Index_"/>
      <sheetName val="Email_Approval_Template"/>
      <sheetName val="1_Executive_Summary"/>
      <sheetName val="2_Risk_Assessment_Analysis"/>
      <sheetName val="3_Pre-Approval"/>
      <sheetName val="4_CIS"/>
      <sheetName val="5_Change_Order"/>
      <sheetName val="5_1__Re-book_De-book_order"/>
      <sheetName val="[Spt-BH.xls][Spt-BH.xls]B_____4"/>
      <sheetName val="[Spt-BH.xls][Spt-BH.xls]B_____5"/>
      <sheetName val="[Spt-BH.xls][Spt-BH.xls]B_____6"/>
      <sheetName val="[Spt-BH.xls][Spt-BH.xls]B_____7"/>
      <sheetName val="[Spt-BH.xls][Spt-BH.xls]B_____8"/>
      <sheetName val="[Spt-BH.xls][Spt-BH.xls]B_____9"/>
      <sheetName val="[Spt-BH.xls][Spt-BH.xls]B____10"/>
      <sheetName val="[Spt-BH.xls][Spt-BH.xls]B____11"/>
      <sheetName val="[Spt-BH.xls][Spt-BH.xls]B____12"/>
      <sheetName val="[Spt-BH.xls][Spt-BH.xls]B____13"/>
      <sheetName val="[Spt-BH.xls][Spt-BH.xls]B____14"/>
      <sheetName val="[Spt-BH.xls][Spt-BH.xls]B____15"/>
      <sheetName val="[Spt-BH.xls][Spt-BH.xls]B____16"/>
      <sheetName val="[Spt-BH.xls][Spt-BH.xls]B____17"/>
      <sheetName val="[Spt-BH.xls][Spt-BH.xls]B____18"/>
      <sheetName val="[Spt-BH.xls][Spt-BH.xls]B____19"/>
      <sheetName val="[Spt-BH.xls][Spt-BH.xls]B____20"/>
      <sheetName val="[Spt-BH.xls][Spt-BH.xls]B____21"/>
      <sheetName val="[Spt-BH.xls][Spt-BH.xls]B____22"/>
      <sheetName val="[Spt-BH.xls][Spt-BH.xls]B____23"/>
      <sheetName val="[Spt-BH.xls][Spt-BH.xls]B____24"/>
      <sheetName val="[Spt-BH.xls][Spt-BH.xls]B____25"/>
      <sheetName val="[Spt-BH.xls][Spt-BH.xls]B____26"/>
      <sheetName val="[Spt-BH.xls][Spt-BH.xls]B____27"/>
      <sheetName val="[Spt-BH.xls][Spt-BH.xls]B____28"/>
      <sheetName val="[Spt-BH.xls][Spt-BH.xls]B____29"/>
      <sheetName val="[Spt-BH.xls][Spt-BH.xls]B____32"/>
      <sheetName val="[Spt-BH.xls][Spt-BH.xls]B____33"/>
      <sheetName val="[Spt-BH.xls][Spt-BH.xls]B____30"/>
      <sheetName val="[Spt-BH.xls][Spt-BH.xls]B____31"/>
      <sheetName val="[Spt-BH.xls][Spt-BH.xls]B____34"/>
      <sheetName val="[Spt-BH.xls][Spt-BH.xls]B____35"/>
      <sheetName val="[Spt-BH.xls][Spt-BH.xls]B____44"/>
      <sheetName val="[Spt-BH.xls][Spt-BH.xls]B____45"/>
      <sheetName val="[Spt-BH.xls][Spt-BH.xls]B____36"/>
      <sheetName val="[Spt-BH.xls][Spt-BH.xls]B____37"/>
      <sheetName val="[Spt-BH.xls][Spt-BH.xls]B____38"/>
      <sheetName val="[Spt-BH.xls][Spt-BH.xls]B____39"/>
      <sheetName val="[Spt-BH.xls][Spt-BH.xls]B____40"/>
      <sheetName val="[Spt-BH.xls][Spt-BH.xls]B____41"/>
      <sheetName val="[Spt-BH.xls][Spt-BH.xls]B____42"/>
      <sheetName val="[Spt-BH.xls][Spt-BH.xls]B____43"/>
      <sheetName val="[Spt-BH.xls][Spt-BH.xls]B____62"/>
      <sheetName val="[Spt-BH.xls][Spt-BH.xls]B____63"/>
      <sheetName val="[Spt-BH.xls][Spt-BH.xls]B____60"/>
      <sheetName val="[Spt-BH.xls][Spt-BH.xls]B____61"/>
      <sheetName val="[Spt-BH.xls][Spt-BH.xls]B____54"/>
      <sheetName val="[Spt-BH.xls][Spt-BH.xls]B____55"/>
      <sheetName val="[Spt-BH.xls][Spt-BH.xls]B____52"/>
      <sheetName val="[Spt-BH.xls][Spt-BH.xls]B____53"/>
      <sheetName val="[Spt-BH.xls][Spt-BH.xls]B____46"/>
      <sheetName val="[Spt-BH.xls][Spt-BH.xls]B____47"/>
      <sheetName val="[Spt-BH.xls][Spt-BH.xls]B____50"/>
      <sheetName val="[Spt-BH.xls][Spt-BH.xls]B____51"/>
      <sheetName val="[Spt-BH.xls][Spt-BH.xls]B____48"/>
      <sheetName val="[Spt-BH.xls][Spt-BH.xls]B____49"/>
      <sheetName val="[Spt-BH.xls][Spt-BH.xls]B____58"/>
      <sheetName val="[Spt-BH.xls][Spt-BH.xls]B____59"/>
      <sheetName val="[Spt-BH.xls][Spt-BH.xls]B____56"/>
      <sheetName val="[Spt-BH.xls][Spt-BH.xls]B____57"/>
      <sheetName val="oresreqsum"/>
      <sheetName val="1of7"/>
      <sheetName val="_Spt-BH.xls__Spt-BH.xls_B_____2"/>
      <sheetName val="_Spt-BH.xls__Spt-BH.xls_B_____3"/>
      <sheetName val="_Spt-BH.xls__Spt-BH.xls__Spt__2"/>
      <sheetName val="INFO"/>
      <sheetName val="NOTES "/>
      <sheetName val="[Spt-BH.xls][Spt-BH.xls]B@[_x0000__x0004_@_x0000_"/>
      <sheetName val="B@__x0000__x0004_@_x0000__x0000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/>
      <sheetData sheetId="341" refreshError="1"/>
      <sheetData sheetId="342" refreshError="1"/>
      <sheetData sheetId="343" refreshError="1"/>
      <sheetData sheetId="344" refreshError="1"/>
      <sheetData sheetId="345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 refreshError="1"/>
      <sheetData sheetId="367"/>
      <sheetData sheetId="368"/>
      <sheetData sheetId="369"/>
      <sheetData sheetId="370"/>
      <sheetData sheetId="371"/>
      <sheetData sheetId="372"/>
      <sheetData sheetId="373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harti-PL"/>
      <sheetName val="Bharti-BS"/>
      <sheetName val="Bharti-Businesswise"/>
      <sheetName val="MIS"/>
      <sheetName val="MIS -work"/>
      <sheetName val="Business wise BS"/>
      <sheetName val="Business wise PL"/>
      <sheetName val="RIC-CFLOW-NEW"/>
      <sheetName val="RIC-Businesswise BS"/>
      <sheetName val="RIC-MIS"/>
      <sheetName val="RIC-Businesswise PL"/>
      <sheetName val="RCIL-CFLOW-NEW "/>
      <sheetName val="Infocomm Grp BS"/>
      <sheetName val="Infocomm Grp PL"/>
      <sheetName val="intercompany"/>
      <sheetName val="RCIL-Dec04"/>
      <sheetName val="RCIL Analysis"/>
      <sheetName val="RCIL-Extl"/>
      <sheetName val="RCIL-cover "/>
      <sheetName val="RCIL-BS"/>
      <sheetName val="RCIL-P&amp;L"/>
      <sheetName val="RCIL-Sch"/>
      <sheetName val="RCIL-cf"/>
      <sheetName val="RCIL-BS Work"/>
      <sheetName val="RCIL-PL Work"/>
      <sheetName val="RCIL-Adjt"/>
      <sheetName val="RCIL-FA Sch"/>
      <sheetName val="RCIL-policy"/>
      <sheetName val="RCIL-Notes"/>
      <sheetName val="RCIL-related"/>
      <sheetName val="RCTL-BS"/>
      <sheetName val="RCTL-SCH"/>
      <sheetName val="RCTL-P &amp; L"/>
      <sheetName val="RCTL-Adjt"/>
      <sheetName val="RCTL-BS Work"/>
      <sheetName val="RCTL-PL Work"/>
      <sheetName val="RCTL-FA SCH"/>
      <sheetName val="RCTL-Notes"/>
      <sheetName val="RCTL-Details"/>
      <sheetName val="RCRL-BS"/>
      <sheetName val="RCRL-BS Work"/>
      <sheetName val="RCRL-P &amp; L"/>
      <sheetName val="RCRL-PL Work"/>
      <sheetName val="RCRL-Sch"/>
      <sheetName val="RCRL-Adj"/>
      <sheetName val="Sum"/>
      <sheetName val="Index"/>
      <sheetName val="RIC-DEC 04"/>
      <sheetName val="RIC-Ext Det"/>
      <sheetName val="RIC-cover"/>
      <sheetName val="RIC-BS"/>
      <sheetName val="RIC-P &amp; L"/>
      <sheetName val="RIC-BS Work"/>
      <sheetName val="RIC-Sch"/>
      <sheetName val="RIC-CFlow"/>
      <sheetName val="RIC-PL Work"/>
      <sheetName val="RIC-Adj"/>
      <sheetName val="RIC-FA Sch"/>
      <sheetName val="RWSL-FA"/>
      <sheetName val="Infocomm-FA"/>
      <sheetName val="RIC-Policy"/>
      <sheetName val="RIC-Notes"/>
      <sheetName val="BS RSOLU"/>
      <sheetName val="BS Work  RSOLU"/>
      <sheetName val="P &amp; L  RSOLU"/>
      <sheetName val="PL Work RSOLU"/>
      <sheetName val="Sch RSOLU"/>
      <sheetName val="FA Sch RSOLU"/>
      <sheetName val="Adj RSOLU"/>
      <sheetName val="BS RINVEST"/>
      <sheetName val="P &amp; L  RINVEST"/>
      <sheetName val="PL Work RINVEST"/>
      <sheetName val="Sch RINVEST"/>
      <sheetName val="FA Sch RINVEST"/>
      <sheetName val="Adj RINVEST"/>
      <sheetName val="BS Work  RINVEST"/>
      <sheetName val="FA PARADOX"/>
      <sheetName val="FA NIS"/>
      <sheetName val="BS RII"/>
      <sheetName val="P &amp; L  RII"/>
      <sheetName val="PL Work RII INR"/>
      <sheetName val="Sch RII"/>
      <sheetName val="BS Work  RIIUSD"/>
      <sheetName val="PL Work RII USD"/>
      <sheetName val="Adj RII USD"/>
      <sheetName val="FA Sch RII"/>
      <sheetName val="BS Work  RII INR"/>
      <sheetName val="Adj RII INR"/>
      <sheetName val="BS RGNL"/>
      <sheetName val="P &amp; L  RGNL"/>
      <sheetName val="PL Work  RGNL"/>
      <sheetName val="Sch RGNL"/>
      <sheetName val="RGNL-FA Sch"/>
      <sheetName val="Adj RGNL"/>
      <sheetName val="BS Work  RGNL"/>
      <sheetName val="BS GSIL"/>
      <sheetName val="P &amp; L GSIL"/>
      <sheetName val="Adj-GSIL"/>
      <sheetName val="PL Work  GSIL"/>
      <sheetName val="BS Work GSIL"/>
      <sheetName val="Sch GSIL"/>
      <sheetName val="FA GSIL"/>
      <sheetName val="Exchange rate"/>
      <sheetName val="RCIL_P_L"/>
      <sheetName val="INFO"/>
      <sheetName val="NOTE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 refreshError="1"/>
      <sheetData sheetId="10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esreqsum"/>
      <sheetName val="ikonos"/>
      <sheetName val="GRIDDING"/>
      <sheetName val="Digitisation"/>
      <sheetName val="QAQC"/>
      <sheetName val="fIELD SURVEY"/>
      <sheetName val="edgematching"/>
      <sheetName val="Attribute "/>
      <sheetName val="LANDBASE"/>
      <sheetName val="asbuilt drgs"/>
      <sheetName val="ASBUILT GIS LANDBASE"/>
      <sheetName val="CODIFICATION"/>
      <sheetName val="Summary"/>
      <sheetName val="SCURCUM"/>
      <sheetName val="wavelength"/>
      <sheetName val="Input for codification,bandwidt"/>
      <sheetName val="SCUR-PERIOD"/>
      <sheetName val="Engg summary"/>
      <sheetName val="LM ASBLT"/>
      <sheetName val="LM FIBRE"/>
      <sheetName val="ISP "/>
      <sheetName val="MA,CA-ASBLT"/>
      <sheetName val="Sheet5"/>
      <sheetName val="MA,CA-FIBRE"/>
      <sheetName val="S-curve"/>
      <sheetName val="Level 2 mhrs"/>
      <sheetName val="Level 2 deliverables"/>
      <sheetName val="INPUT SHEET"/>
      <sheetName val="Sheet4"/>
      <sheetName val="P3 CITIES MA,CA"/>
      <sheetName val="P3CITIES LM"/>
      <sheetName val="Sheet1"/>
      <sheetName val="AP MA,CA"/>
      <sheetName val="MUMBAI LM"/>
      <sheetName val="CHENNAI MA,CA"/>
      <sheetName val="CHENNAI LM"/>
      <sheetName val="KOL MA,CA"/>
      <sheetName val="KOL LM"/>
      <sheetName val="BLR MA,CA"/>
      <sheetName val="BLR LM"/>
      <sheetName val="HYD MA,CA"/>
      <sheetName val="HYD LM"/>
      <sheetName val="PUNE MA,CA"/>
      <sheetName val="PUNE LM"/>
      <sheetName val="AHD MA,CA"/>
      <sheetName val="AHD LM"/>
      <sheetName val="SURAT MA,CA"/>
      <sheetName val="SURAT LM"/>
      <sheetName val="VAD MA,CA"/>
      <sheetName val="VAD LM"/>
      <sheetName val="City S-curves"/>
      <sheetName val="Interconn updation sheet"/>
      <sheetName val="Intercon s-curves"/>
      <sheetName val="Sheet2"/>
      <sheetName val="Sheet3"/>
      <sheetName val="Mumbai"/>
      <sheetName val="delhi"/>
      <sheetName val="hyd"/>
      <sheetName val="chn"/>
      <sheetName val="blr"/>
      <sheetName val="Sheet10"/>
      <sheetName val="Ãhty S-curves"/>
      <sheetName val="Kumbai"/>
      <sheetName val="RCTL-SCH"/>
      <sheetName val="COMPARISON"/>
      <sheetName val="cover "/>
      <sheetName val="critical"/>
      <sheetName val="over all s curve"/>
      <sheetName val="ROW STATUS"/>
      <sheetName val="LINKWISE STATUS "/>
      <sheetName val="crossing detailed "/>
      <sheetName val="DETAIL SHEET"/>
      <sheetName val="Progress"/>
      <sheetName val="Const activity list"/>
      <sheetName val="NLD7000-Backup"/>
      <sheetName val="AY-202&amp;270"/>
      <sheetName val="cum"/>
      <sheetName val="SCurv"/>
      <sheetName val="synop"/>
      <sheetName val="ex&amp;mob"/>
      <sheetName val="pi chart"/>
      <sheetName val="IBR (2)"/>
      <sheetName val="NIBR (2)"/>
      <sheetName val="act"/>
      <sheetName val="factors"/>
      <sheetName val="BS"/>
      <sheetName val="DATA"/>
      <sheetName val="Desig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gram Support"/>
      <sheetName val="Front Page"/>
      <sheetName val="Data Assumptions"/>
      <sheetName val="Salarios"/>
      <sheetName val="DATOS"/>
      <sheetName val="product."/>
      <sheetName val="Process Design"/>
      <sheetName val="Process Data"/>
      <sheetName val="Personnel Data"/>
      <sheetName val="FTE Requirement"/>
      <sheetName val="Space Requirement"/>
      <sheetName val="Cost Data"/>
      <sheetName val="Start-Up Costs"/>
      <sheetName val="Quotation"/>
      <sheetName val="Distribution price template PT"/>
      <sheetName val="Distribution price template ES"/>
      <sheetName val="BID TEMPLATE"/>
      <sheetName val="Parameters"/>
      <sheetName val="Indirect Costs"/>
      <sheetName val="P&amp;L"/>
      <sheetName val="Investments"/>
      <sheetName val="Operational Costs"/>
      <sheetName val="Summary"/>
      <sheetName val="Consolidado"/>
      <sheetName val="Nordeste"/>
      <sheetName val="CfyBs"/>
      <sheetName val="ｾｸﾞﾒﾝﾄ"/>
      <sheetName val="Tablexxxxx"/>
      <sheetName val="SPT vs PHI"/>
      <sheetName val="Parts Requiring Orders"/>
      <sheetName val="Equipment"/>
      <sheetName val="P &amp; L SCH"/>
      <sheetName val="BS"/>
      <sheetName val="Miscellaneous Breakdown"/>
      <sheetName val="目次"/>
      <sheetName val="SAP Codes"/>
      <sheetName val="Assumption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s to be made"/>
      <sheetName val="Assumptions"/>
      <sheetName val="Changes"/>
      <sheetName val="EPS"/>
      <sheetName val="Plan"/>
      <sheetName val="Company + Sensitivity"/>
      <sheetName val="Chart2"/>
      <sheetName val="Consolforanalysis"/>
      <sheetName val="Summary"/>
      <sheetName val="Formulation (VS)"/>
      <sheetName val="DomFom"/>
      <sheetName val="ExporTFormTotal"/>
      <sheetName val="Dream P&amp;L"/>
      <sheetName val="Sensitivity"/>
      <sheetName val="Reco-Divisions"/>
      <sheetName val="MS"/>
      <sheetName val="ZIvon"/>
      <sheetName val="EC"/>
      <sheetName val="Cognex"/>
      <sheetName val="Actis"/>
      <sheetName val="PDL"/>
      <sheetName val="nepal"/>
      <sheetName val="Glotek"/>
      <sheetName val="Cardex"/>
      <sheetName val="Carex"/>
      <sheetName val="Cadence"/>
      <sheetName val="Zeeta"/>
      <sheetName val="Biotek"/>
      <sheetName val="CMG"/>
      <sheetName val="CardexExports"/>
      <sheetName val="Exports"/>
      <sheetName val="London"/>
      <sheetName val="VFCD"/>
      <sheetName val="Highseas"/>
      <sheetName val="LD"/>
      <sheetName val="PC"/>
      <sheetName val="XL"/>
      <sheetName val="Allergan"/>
      <sheetName val="NOVADUPHA"/>
      <sheetName val="Boots"/>
      <sheetName val="CHC"/>
      <sheetName val="Tools"/>
      <sheetName val="hmcl"/>
      <sheetName val="Anant+akar+Akshay"/>
      <sheetName val="Akar"/>
      <sheetName val="Akshay"/>
      <sheetName val="Anant"/>
      <sheetName val="Others"/>
      <sheetName val="Factory P&amp;L"/>
      <sheetName val="Expiry"/>
      <sheetName val="ratios"/>
      <sheetName val="Fact OPEX"/>
      <sheetName val="Dividend"/>
      <sheetName val="CRO"/>
      <sheetName val="R&amp;D"/>
      <sheetName val="Bank_Charges"/>
      <sheetName val="G&amp;A_R&amp;D_Schedule (2)"/>
      <sheetName val="Staff Cost"/>
      <sheetName val="Other Income"/>
      <sheetName val="Graphs"/>
      <sheetName val="Base"/>
      <sheetName val="PY05"/>
      <sheetName val="PY04"/>
      <sheetName val="Linking"/>
      <sheetName val="SD"/>
      <sheetName val="MAT Value"/>
      <sheetName val="NEW PRODUCTS"/>
      <sheetName val="Idle Assets"/>
      <sheetName val="gc%"/>
      <sheetName val="Form Gorowth"/>
      <sheetName val="GARECO"/>
      <sheetName val="Salaries"/>
      <sheetName val="RP Based"/>
      <sheetName val="RCIL-P&amp;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Design"/>
      <sheetName val="Guidelines"/>
      <sheetName val="RCIL-P&amp;L"/>
      <sheetName val="Control"/>
      <sheetName val="405"/>
      <sheetName val="427"/>
      <sheetName val="403"/>
      <sheetName val="GN-ST-06(2)(Design Sheet-Ruled)"/>
      <sheetName val="SPT vs PHI"/>
      <sheetName val="Konfiguration"/>
      <sheetName val="GBW"/>
      <sheetName val="#REF"/>
      <sheetName val="Assmpns"/>
      <sheetName val="Daily_Amt"/>
      <sheetName val="Daily_Unit"/>
      <sheetName val="Compare"/>
      <sheetName val="oresreqsum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EPS"/>
      <sheetName val="Company + Sensitivity"/>
      <sheetName val="Chart1"/>
      <sheetName val="Chart2"/>
      <sheetName val="Summary"/>
      <sheetName val="Formulation (VS)"/>
      <sheetName val="DomFom"/>
      <sheetName val="ExporTFormTotal"/>
      <sheetName val="Dream P&amp;L"/>
      <sheetName val="Sensitivity"/>
      <sheetName val="Reco-Divisions"/>
      <sheetName val="MS"/>
      <sheetName val="ZIvon"/>
      <sheetName val="EC"/>
      <sheetName val="Cognex"/>
      <sheetName val="Actis"/>
      <sheetName val="PDL"/>
      <sheetName val="nepal"/>
      <sheetName val="Glotek"/>
      <sheetName val="Cardex"/>
      <sheetName val="Carex"/>
      <sheetName val="Cadence"/>
      <sheetName val="Zeeta"/>
      <sheetName val="Biotek"/>
      <sheetName val="CardexExports"/>
      <sheetName val="CMG"/>
      <sheetName val="Exports"/>
      <sheetName val="VFCD"/>
      <sheetName val="Highseas"/>
      <sheetName val="London"/>
      <sheetName val="LD"/>
      <sheetName val="PC"/>
      <sheetName val="XL"/>
      <sheetName val="Allergan"/>
      <sheetName val="NOVADUPHA"/>
      <sheetName val="Boots"/>
      <sheetName val="CHC"/>
      <sheetName val="Tools"/>
      <sheetName val="hmcl"/>
      <sheetName val="Anant+akar+Akshay"/>
      <sheetName val="Akar"/>
      <sheetName val="Akshay"/>
      <sheetName val="Anant"/>
      <sheetName val="Others"/>
      <sheetName val="Factory P&amp;L"/>
      <sheetName val="Expiry"/>
      <sheetName val="ratios"/>
      <sheetName val="Fact OPEX"/>
      <sheetName val="Dividend"/>
      <sheetName val="R&amp;D"/>
      <sheetName val="G&amp;A_R&amp;D_Schedule (2)"/>
      <sheetName val="Staff Cost"/>
      <sheetName val="Other Income"/>
      <sheetName val="Graphs"/>
      <sheetName val="Base"/>
      <sheetName val="PY05"/>
      <sheetName val="PY04"/>
      <sheetName val="Linking"/>
      <sheetName val="SD"/>
      <sheetName val="MAT Value"/>
      <sheetName val="NEW PRODUCTS"/>
      <sheetName val="Idle Assets"/>
      <sheetName val="gc%"/>
      <sheetName val="Sheet2"/>
      <sheetName val="GARECO"/>
      <sheetName val="Salaries"/>
      <sheetName val="Program Support"/>
      <sheetName val="Master Data"/>
      <sheetName val="INFO"/>
      <sheetName val="Labour &amp; MHE calculator"/>
      <sheetName val="IT Capex &amp; Op Costs"/>
      <sheetName val="Shelf Space"/>
      <sheetName val="MHE &amp; Storage Capex"/>
      <sheetName val="Mondeo"/>
      <sheetName val="Target ML 27 Nov"/>
      <sheetName val="Unit Cos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P &amp; L"/>
      <sheetName val="BS SCH"/>
      <sheetName val="P &amp; L SCH"/>
      <sheetName val="Trial Balance"/>
      <sheetName val="CASH FLOW"/>
      <sheetName val="EPS"/>
      <sheetName val="P _ L SCH"/>
      <sheetName val="SCH -IV OSL-EXPENSES"/>
      <sheetName val="oresreqsum"/>
      <sheetName val="Design"/>
      <sheetName val="Packaging Master Table"/>
      <sheetName val="Part Master"/>
      <sheetName val="Database"/>
      <sheetName val="Cust Info"/>
      <sheetName val="all"/>
      <sheetName val="Mondeo"/>
      <sheetName val="Target ML 27 Nov"/>
      <sheetName val="Unit Costs"/>
      <sheetName val="Summary"/>
      <sheetName val="Tables"/>
      <sheetName val="Revision Log"/>
      <sheetName val="Quote Worksheet"/>
      <sheetName val="Override Tables"/>
      <sheetName val="P &amp; L Details"/>
      <sheetName val="Labor Rate Summary Services"/>
      <sheetName val="Executive Summary"/>
      <sheetName val="Startup Costs"/>
      <sheetName val="Enter Wages"/>
      <sheetName val="INTRO"/>
      <sheetName val="Blue Collar Labor"/>
      <sheetName val="Facility Cost"/>
      <sheetName val="Enter Volum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s"/>
      <sheetName val="Emp Details"/>
      <sheetName val="Mobiles"/>
      <sheetName val="Calcs"/>
      <sheetName val="Workings"/>
      <sheetName val="Civil Boq"/>
      <sheetName val="DETAIL SHEET"/>
      <sheetName val="Design"/>
      <sheetName val="temp"/>
      <sheetName val="DRI-WEFA Annual Sales"/>
      <sheetName val="Annual Sales"/>
      <sheetName val="NLD - Assum"/>
      <sheetName val="1"/>
      <sheetName val="#REF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mpns"/>
      <sheetName val="Sheet3"/>
      <sheetName val="Oum"/>
      <sheetName val="inter cir"/>
      <sheetName val="P&amp;L"/>
      <sheetName val="Fund requirement"/>
      <sheetName val="Cash Flow"/>
      <sheetName val="Balance Sheet"/>
      <sheetName val="IRR"/>
      <sheetName val="Capex"/>
      <sheetName val="Opex"/>
      <sheetName val="BW charges"/>
      <sheetName val="BW chrgs Basis"/>
      <sheetName val="call centre"/>
      <sheetName val="Tax"/>
      <sheetName val="Billing &amp; GA"/>
      <sheetName val="Debt schedule"/>
      <sheetName val="TRAI Tariffs"/>
      <sheetName val="MCUs"/>
      <sheetName val="Working Capital"/>
      <sheetName val="Depn  SLM"/>
      <sheetName val="Depn WDV"/>
      <sheetName val="Program Support"/>
      <sheetName val="Market Summary"/>
      <sheetName val="all"/>
      <sheetName val="BGT97"/>
      <sheetName val="HEADS"/>
      <sheetName val="INFO"/>
      <sheetName val="NOTES "/>
      <sheetName val="EPS"/>
      <sheetName val="Annual Sales"/>
      <sheetName val="DRI-WEFA Annual Sa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in Euro"/>
      <sheetName val="Cust Info"/>
      <sheetName val="Assumption"/>
      <sheetName val="Concept of System"/>
      <sheetName val="AP Cost Estimate"/>
      <sheetName val="Local Cost Estimate"/>
      <sheetName val="Project Timeline"/>
      <sheetName val="Database"/>
      <sheetName val="User Guide"/>
      <sheetName val="BGT97"/>
      <sheetName val="HEADS"/>
      <sheetName val="Design"/>
      <sheetName val="InputSheet"/>
      <sheetName val="YTY Analysis"/>
      <sheetName val="Assmpns"/>
      <sheetName val="P &amp; L SCH"/>
      <sheetName val="#ref"/>
      <sheetName val="WE Annual Sales"/>
      <sheetName val="psohead"/>
      <sheetName val="Market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 Page"/>
      <sheetName val="Salarios 2008"/>
      <sheetName val="Personnel Data Sheet"/>
      <sheetName val="Process Data"/>
      <sheetName val="parametros"/>
      <sheetName val="Estacionalidad y otros"/>
      <sheetName val="product."/>
      <sheetName val="Process Design"/>
      <sheetName val="FTE Requirement"/>
      <sheetName val="VOLUMES"/>
      <sheetName val="Space Requirement"/>
      <sheetName val="Cost Data"/>
      <sheetName val="Start-Up Costs"/>
      <sheetName val="Quotation"/>
      <sheetName val="Cost Projection"/>
      <sheetName val="Indirect Costs"/>
      <sheetName val="P&amp;L"/>
      <sheetName val="Investments"/>
      <sheetName val="Operational Costs"/>
      <sheetName val="Summary"/>
      <sheetName val="P &amp; L SCH"/>
      <sheetName val="Assmpns"/>
      <sheetName val="Workings"/>
      <sheetName val="BGT97"/>
      <sheetName val="HEA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C-Standalone"/>
      <sheetName val="RCIL-Standalone"/>
      <sheetName val="RIC-conso"/>
      <sheetName val="RIC-Conso-details"/>
      <sheetName val="RCIL-conso"/>
      <sheetName val="RCIL-Conso-details"/>
      <sheetName val="Sheet1"/>
      <sheetName val="RCIL_Conso_details"/>
      <sheetName val="Assmpns"/>
      <sheetName val="Taiwan"/>
      <sheetName val="Backup"/>
      <sheetName val="Front Page"/>
      <sheetName val="NLD - Assum"/>
      <sheetName val="Capex-fix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 - bldg"/>
      <sheetName val="BAN"/>
      <sheetName val="SDCA"/>
      <sheetName val="Access-Interconnect-BW"/>
      <sheetName val="OSP cost"/>
      <sheetName val="Manpower"/>
      <sheetName val="S &amp; M"/>
      <sheetName val="capex1"/>
      <sheetName val="Capex"/>
      <sheetName val="power cost"/>
      <sheetName val="assumptions"/>
      <sheetName val="Sheet2"/>
      <sheetName val="Revenue 10 yr"/>
      <sheetName val="Revenue 10 FY"/>
      <sheetName val="Chart1"/>
      <sheetName val="Nw Cost"/>
      <sheetName val="capex workings"/>
      <sheetName val="rollout"/>
      <sheetName val="analysis"/>
      <sheetName val="percentage_analysis"/>
      <sheetName val="Factors-overall"/>
      <sheetName val="Lists"/>
      <sheetName val="Database"/>
      <sheetName val="RCIL-Conso-details"/>
      <sheetName val="Assmpns"/>
      <sheetName val="resul"/>
      <sheetName val="Bi_Week_20_02_11"/>
      <sheetName val="Vols&amp;Fixed Costs"/>
      <sheetName val="Bac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ketdata - Industries-size"/>
      <sheetName val="consumer vl est"/>
      <sheetName val="Subs"/>
      <sheetName val="Kolkata"/>
      <sheetName val="Bangalore"/>
      <sheetName val="Ahd"/>
      <sheetName val="Chennai"/>
      <sheetName val="Delhi"/>
      <sheetName val="Hyderabad"/>
      <sheetName val="Mumbai"/>
      <sheetName val="Pune"/>
      <sheetName val="Surat"/>
      <sheetName val="Vadodara"/>
      <sheetName val="Subs - 10 cities"/>
      <sheetName val="Infocom scope"/>
      <sheetName val="Reliance subs"/>
      <sheetName val="IRR&amp;EV write up"/>
      <sheetName val="Sheet1"/>
      <sheetName val="Usage"/>
      <sheetName val="WLL addressable mkt"/>
      <sheetName val="CDMA-Capex prices"/>
      <sheetName val="CDMA-CAPEX"/>
      <sheetName val="Capex-fixed"/>
      <sheetName val="NLD- Capex"/>
      <sheetName val="Staff-fixed"/>
      <sheetName val="Assumptions-fixed"/>
      <sheetName val="CDMA-Assumptions"/>
      <sheetName val="NLD - Assum"/>
      <sheetName val="P&amp;L-fixed"/>
      <sheetName val="CDMA-BENCHMARKS"/>
      <sheetName val="CDMA-VALUATIONS"/>
      <sheetName val="CDMA-P&amp;L"/>
      <sheetName val="NLD - P&amp;L"/>
      <sheetName val="CDMA-ratios"/>
      <sheetName val="RCPL-P&amp;L"/>
      <sheetName val="RCPL EV"/>
      <sheetName val="EV-WLL"/>
      <sheetName val="EV-fixed"/>
      <sheetName val="EV-NLD"/>
      <sheetName val="TRAI Tariffs"/>
      <sheetName val="MCUs"/>
      <sheetName val="Front Page"/>
      <sheetName val="YTY Analysis"/>
      <sheetName val="Assmpns"/>
      <sheetName val="Voucher"/>
      <sheetName val="Data"/>
      <sheetName val="Cal"/>
      <sheetName val="PROCTOR"/>
      <sheetName val="Financial Statements"/>
      <sheetName val="Bi_Weekly"/>
      <sheetName val="Do not print- input"/>
      <sheetName val="assumptions"/>
      <sheetName val="Database"/>
      <sheetName val="Taiwan"/>
      <sheetName val="Tables"/>
      <sheetName val="Summary"/>
      <sheetName val="Translations"/>
      <sheetName val="Cost Sheet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 refreshError="1"/>
      <sheetData sheetId="28"/>
      <sheetData sheetId="29" refreshError="1"/>
      <sheetData sheetId="30" refreshError="1"/>
      <sheetData sheetId="3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_Week_20_02_11"/>
      <sheetName val="RCIL-Conso-details"/>
      <sheetName val="Financial Statements"/>
      <sheetName val="Taiwan"/>
      <sheetName val="NLD - Assum"/>
      <sheetName val="Capex-fixed"/>
      <sheetName val="Front Page"/>
      <sheetName val="inversión"/>
      <sheetName val="cuenta explotación"/>
      <sheetName val="assumptions"/>
      <sheetName val="Feui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i_Weekly"/>
      <sheetName val="assumptions"/>
      <sheetName val="input"/>
      <sheetName val="Taiwan"/>
      <sheetName val="Bi_Week_20_02_11"/>
      <sheetName val="RCIL-Conso-details"/>
      <sheetName val="Financial Statements"/>
      <sheetName val="zones"/>
      <sheetName val="YTY Analysis"/>
      <sheetName val="Vols&amp;Fixed Co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YS"/>
      <sheetName val="BS"/>
      <sheetName val="TB"/>
      <sheetName val="BL"/>
      <sheetName val="TM"/>
      <sheetName val="MS"/>
      <sheetName val="GW"/>
      <sheetName val="PL"/>
      <sheetName val="EP"/>
      <sheetName val="Head Office"/>
      <sheetName val="Consolidated"/>
      <sheetName val="Summary"/>
      <sheetName val="Bal.Sheet"/>
      <sheetName val="Bal.Sheet(2)"/>
      <sheetName val="Balance Sheet"/>
      <sheetName val="Cash Flow"/>
      <sheetName val="Capex"/>
      <sheetName val="Facilities4Funding"/>
      <sheetName val="Loan details"/>
      <sheetName val="YS-Bud"/>
      <sheetName val="BS-Bud"/>
      <sheetName val="TB-Bud"/>
      <sheetName val="BL-Bud"/>
      <sheetName val="TM-Bud"/>
      <sheetName val="MS-Bud"/>
      <sheetName val="GW-Bud"/>
      <sheetName val="PL-Bud"/>
      <sheetName val="EP-Bud"/>
      <sheetName val="Head Office-Bud"/>
      <sheetName val="YS_Bud"/>
      <sheetName val="BS_Bud"/>
      <sheetName val="TB_Bud"/>
      <sheetName val="BL_Bud"/>
      <sheetName val="TM_Bud"/>
      <sheetName val="MS_Bud"/>
      <sheetName val="GW_Bud"/>
      <sheetName val="PL_Bud"/>
      <sheetName val="Head Office_Bud"/>
      <sheetName val="Excise on RM"/>
      <sheetName val="NLD - Assum"/>
      <sheetName val="Capex-fixed"/>
      <sheetName val="Do not print- input"/>
      <sheetName val="Is"/>
      <sheetName val="Bi_Weekly"/>
      <sheetName val="ALL-IBANK-BRS"/>
      <sheetName val="Bi_Week_20_02_11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in Euro"/>
      <sheetName val="Cust Info"/>
      <sheetName val="Assumption"/>
      <sheetName val="Concept of System"/>
      <sheetName val="AP Cost Estimate"/>
      <sheetName val="Local Cost Estimate"/>
      <sheetName val="Project Timeline"/>
      <sheetName val="Database"/>
      <sheetName val="User Guide"/>
      <sheetName val="BGT97"/>
      <sheetName val="HEADS"/>
      <sheetName val="Design"/>
      <sheetName val="InputSheet"/>
      <sheetName val="YTY Analysis"/>
      <sheetName val="NLD - Assum"/>
      <sheetName val="Capex-fixed"/>
      <sheetName val="Assmpns"/>
      <sheetName val="ca mag par pfr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cc_res"/>
      <sheetName val="CRITERIA3"/>
      <sheetName val="CRITERIA1"/>
      <sheetName val="Bi_Week_20_02_11"/>
      <sheetName val="BL-Bud"/>
      <sheetName val="BS-Bud"/>
      <sheetName val="GW-Bud"/>
      <sheetName val="Head Office-Bud"/>
      <sheetName val="MS-Bud"/>
      <sheetName val="PL-Bud"/>
      <sheetName val="TB-Bud"/>
      <sheetName val="TM-Bud"/>
      <sheetName val="InputSheet"/>
      <sheetName val="Lookup Sheet"/>
      <sheetName val="Bi_Weekly"/>
      <sheetName val="Is"/>
      <sheetName val="YTY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ARY-UPLOAD"/>
      <sheetName val="SALARY-DETAILS"/>
      <sheetName val="ALL-IBANK-BRS"/>
      <sheetName val="ALL_IBANK_BRS"/>
      <sheetName val="Bi_Weekly"/>
      <sheetName val="Sheet"/>
      <sheetName val="Bi_Week_20_02_11"/>
      <sheetName val="Cust Info"/>
      <sheetName val="Database"/>
      <sheetName val="bs"/>
      <sheetName val="Input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Budget Side by Side"/>
      <sheetName val="Network Causal"/>
      <sheetName val="Aberdeen Causal"/>
      <sheetName val="Roanoke Causal"/>
      <sheetName val="Minooka Causal"/>
      <sheetName val="Lathrop Causal"/>
      <sheetName val="Atlanta Causal"/>
      <sheetName val="Causal Worksheet"/>
      <sheetName val="Lookup Sheet"/>
      <sheetName val="BL-Bud"/>
      <sheetName val="BS-Bud"/>
      <sheetName val="GW-Bud"/>
      <sheetName val="Head Office-Bud"/>
      <sheetName val="MS-Bud"/>
      <sheetName val="PL-Bud"/>
      <sheetName val="TB-Bud"/>
      <sheetName val="TM-Bud"/>
      <sheetName val="Eq_Comp"/>
      <sheetName val="Is"/>
      <sheetName val="ALL-IBANK-BRS"/>
      <sheetName val="2009 Budgets - Side by Side v1"/>
      <sheetName val="enter_qu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COVER"/>
      <sheetName val="INDEX"/>
      <sheetName val="BAL"/>
      <sheetName val="P&amp;L"/>
      <sheetName val="NOTES "/>
      <sheetName val="Cust Info"/>
      <sheetName val="Database"/>
      <sheetName val="Eq_Comp"/>
      <sheetName val="Competitors"/>
      <sheetName val="Main workings"/>
      <sheetName val="assumptions"/>
      <sheetName val="Sheet"/>
      <sheetName val="Is"/>
      <sheetName val="ecc_res"/>
      <sheetName val="ALL-IBANK-BRS"/>
      <sheetName val="InterimFinancial statements30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Master"/>
      <sheetName val="Master-CAPEX"/>
      <sheetName val="Master-Manpower_Rent"/>
      <sheetName val="Process Flow "/>
      <sheetName val="VF"/>
      <sheetName val="Warehouse Storage"/>
      <sheetName val="WH Layout "/>
      <sheetName val="WH ORG CHART"/>
      <sheetName val="Manpower Org"/>
      <sheetName val="Volume Flow"/>
      <sheetName val="DA"/>
      <sheetName val="Process Flow"/>
      <sheetName val="Numbers"/>
      <sheetName val="Warehouse Costing"/>
      <sheetName val="Summary"/>
      <sheetName val="3. Driver Forecasts (With)"/>
      <sheetName val="Manpower Cost"/>
      <sheetName val="Cost Break up"/>
      <sheetName val="Capex"/>
      <sheetName val="Opex Cost"/>
      <sheetName val="Carousel Cost "/>
      <sheetName val="Sheet1"/>
      <sheetName val="7. RecMemo (output)"/>
      <sheetName val="ecc_res"/>
      <sheetName val="BL-Bud"/>
      <sheetName val="BS-Bud"/>
      <sheetName val="GW-Bud"/>
      <sheetName val="Head Office-Bud"/>
      <sheetName val="MS-Bud"/>
      <sheetName val="PL-Bud"/>
      <sheetName val="TB-Bud"/>
      <sheetName val="TM-Bud"/>
      <sheetName val="Lookup Sheet"/>
      <sheetName val="cash_in_ba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 - bldg"/>
      <sheetName val="BAN"/>
      <sheetName val="SDCA"/>
      <sheetName val="Access-Interconnect-BW"/>
      <sheetName val="OSP cost"/>
      <sheetName val="Capex"/>
      <sheetName val="Sheet2"/>
      <sheetName val="Interconnect"/>
      <sheetName val="S&amp;M"/>
      <sheetName val="power cost"/>
      <sheetName val="Nw Cost"/>
      <sheetName val="capex1"/>
      <sheetName val="G&amp;A"/>
      <sheetName val="assumptions"/>
      <sheetName val="Manpower"/>
      <sheetName val="Database"/>
      <sheetName val="Main workings"/>
      <sheetName val="monthwise budget"/>
      <sheetName val="Sheet4"/>
      <sheetName val="Sheet1"/>
      <sheetName val="Revenue 10 yr"/>
      <sheetName val="Revenue 10 FY"/>
      <sheetName val="Sheet3"/>
      <sheetName val="percentage_analysis"/>
      <sheetName val="Introduction"/>
      <sheetName val="IDC macro"/>
      <sheetName val="ALL-IBANK-BRS"/>
      <sheetName val="CPIE"/>
      <sheetName val="BP_july 3 2002_rev1.1.citywise"/>
      <sheetName val="fee rate summary"/>
      <sheetName val="Front Page"/>
      <sheetName val="AC Cable Reference"/>
      <sheetName val="Lookup Sheet"/>
      <sheetName val="Sheet"/>
      <sheetName val="Eq_Co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"/>
      <sheetName val="tb21oct"/>
      <sheetName val="p&amp;lsep00"/>
      <sheetName val="Sheet3"/>
      <sheetName val="p&amp;l groupings"/>
      <sheetName val="bsheetsep00"/>
      <sheetName val="comp99-00bs"/>
      <sheetName val="bsheetgroup"/>
      <sheetName val="subschd.bsheet"/>
      <sheetName val="goupg.workg."/>
      <sheetName val="P &amp; L SCH"/>
      <sheetName val="Lookup Sheet"/>
      <sheetName val="Main workings"/>
      <sheetName val="assumptions"/>
      <sheetName val="Summary"/>
      <sheetName val="DCF_inputs"/>
      <sheetName val="financials"/>
      <sheetName val="user"/>
      <sheetName val="manager"/>
      <sheetName val="case"/>
      <sheetName val="valmatrix"/>
      <sheetName val="DCF"/>
      <sheetName val="capg"/>
      <sheetName val="tbsep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 Page"/>
      <sheetName val="Año 2006"/>
      <sheetName val="Volúmenes"/>
      <sheetName val="Salarios"/>
      <sheetName val="Personnel Data Sheet"/>
      <sheetName val="Process Data"/>
      <sheetName val="pick-cjas"/>
      <sheetName val="Process Design"/>
      <sheetName val="FTE Requirement"/>
      <sheetName val="Cost Data"/>
      <sheetName val="Space Requirement"/>
      <sheetName val="Start-Up Costs"/>
      <sheetName val="Quotation"/>
      <sheetName val="TARIFAS"/>
      <sheetName val="Cost Projection"/>
      <sheetName val="Indirect Costs"/>
      <sheetName val="P&amp;L"/>
      <sheetName val="Investments"/>
      <sheetName val="Operational Costs"/>
      <sheetName val="Summary"/>
      <sheetName val="INFO"/>
      <sheetName val="NOTES "/>
      <sheetName val="tb"/>
      <sheetName val="CPIE"/>
      <sheetName val="Customize Your Invoice"/>
      <sheetName val="ALL-IBANK-BRS"/>
      <sheetName val="Lookup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L+RP P&amp;L"/>
      <sheetName val="RPL_adj"/>
      <sheetName val="Consolidation_1"/>
      <sheetName val="P_L"/>
      <sheetName val="consolidated P_L"/>
      <sheetName val="BAL"/>
      <sheetName val="Consolidated BS"/>
      <sheetName val="D"/>
      <sheetName val="Consolidated ratio"/>
      <sheetName val="oth_inc"/>
      <sheetName val="capt"/>
      <sheetName val="capg"/>
      <sheetName val="Cons_Ratios"/>
      <sheetName val="Sheet2"/>
      <sheetName val="Sheet1"/>
      <sheetName val="Investments"/>
      <sheetName val="RIL_Debt"/>
      <sheetName val="RIL_Summ"/>
      <sheetName val="Summary_5yr"/>
      <sheetName val="CF_MDAFORMAT(2)"/>
      <sheetName val="CF_MDAformat"/>
      <sheetName val="RPL_cf"/>
      <sheetName val="RIL_cf"/>
      <sheetName val="Grp_cf"/>
      <sheetName val="CF_SSFORMAT"/>
      <sheetName val="Grpcf_summ"/>
      <sheetName val="Grp_ratio"/>
      <sheetName val="ratio"/>
      <sheetName val="Crisil_grp_gearing"/>
      <sheetName val="Crisil_grp_gearing (2)"/>
      <sheetName val="RILprofit_growth"/>
      <sheetName val="RILprofit_growth (2)"/>
      <sheetName val="Crisil_grp_gearing (3)"/>
      <sheetName val="ecc_res"/>
      <sheetName val="Summary"/>
      <sheetName val="Commonality codes"/>
      <sheetName val="Main workings"/>
      <sheetName val="assumptions"/>
      <sheetName val="Calcns FDB"/>
      <sheetName val="Assns FDB"/>
      <sheetName val="Front P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Customize Your Invoice"/>
      <sheetName val="Invoice"/>
      <sheetName val="Macros"/>
      <sheetName val="ATW"/>
      <sheetName val="Lock"/>
      <sheetName val="Intl Data Table"/>
      <sheetName val="TemplateInformation"/>
      <sheetName val="Main workings"/>
      <sheetName val="assumptions"/>
      <sheetName val="capg"/>
      <sheetName val="DATA"/>
      <sheetName val="all"/>
      <sheetName val="T진도"/>
      <sheetName val="^Base_Data_Gen"/>
      <sheetName val="^Freeform (3)"/>
      <sheetName val="DATABASE"/>
      <sheetName val="ZONE"/>
      <sheetName val="Sheet2"/>
      <sheetName val="Ru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C"/>
      <sheetName val="FLUJOS"/>
      <sheetName val="Salarios ZAZ"/>
      <sheetName val="Salarios GUA"/>
      <sheetName val="Front Page"/>
      <sheetName val="FTE Requirement"/>
      <sheetName val="Process Design"/>
      <sheetName val="Personnel Data Sheet"/>
      <sheetName val="Space Requirement"/>
      <sheetName val="pick-cjas"/>
      <sheetName val="Process Data"/>
      <sheetName val="Cost Data"/>
      <sheetName val="Start-Up Costs"/>
      <sheetName val="Quotation"/>
      <sheetName val="Tarifa Distribución(MAD)"/>
      <sheetName val="Simulación 2010"/>
      <sheetName val="Indirect Costs"/>
      <sheetName val="P&amp;L"/>
      <sheetName val="Investments"/>
      <sheetName val="Operational Costs"/>
      <sheetName val="Summary"/>
      <sheetName val="tb"/>
      <sheetName val="Data"/>
      <sheetName val="LISTS"/>
      <sheetName val="debt schedule"/>
      <sheetName val="RS"/>
      <sheetName val="WS"/>
      <sheetName val="Assumptions"/>
      <sheetName val="Driver Forecasts (Without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Assumptions"/>
      <sheetName val="ABI data"/>
      <sheetName val="building"/>
      <sheetName val="Building Summary"/>
      <sheetName val="summary"/>
      <sheetName val="Businesssummary"/>
      <sheetName val="Kbs summary"/>
      <sheetName val="empsummary"/>
      <sheetName val="tensummary"/>
      <sheetName val="tensummary Stats"/>
      <sheetName val="Single Analysis"/>
      <sheetName val="Multi Analysis"/>
      <sheetName val="A-Property"/>
      <sheetName val="Front Page"/>
      <sheetName val="BS"/>
      <sheetName val="bkcstockval"/>
      <sheetName val="Sheet2"/>
      <sheetName val="Commonality codes"/>
      <sheetName val="RS"/>
      <sheetName val="WS"/>
      <sheetName val="Discount_Cockpit"/>
      <sheetName val="Currency_and_Delivery_Terms"/>
      <sheetName val="Product_Line"/>
      <sheetName val="Offer_Information"/>
      <sheetName val="Level2_Summary"/>
      <sheetName val="Input_Services"/>
      <sheetName val="Citibuild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 schedule"/>
      <sheetName val="debt schedule-tyres"/>
      <sheetName val="debt schedule -sugar"/>
      <sheetName val="debt-IDBI"/>
      <sheetName val="debt -ICICI"/>
      <sheetName val="debt -IFCI"/>
      <sheetName val="debt-SBI"/>
      <sheetName val="debt schedule - Corpo"/>
      <sheetName val="debt schedule - JKDPL"/>
      <sheetName val="debt-sugar"/>
      <sheetName val="debt -tyres"/>
      <sheetName val="debt - Corp"/>
      <sheetName val="BL-Bud"/>
      <sheetName val="BS-Bud"/>
      <sheetName val="GW-Bud"/>
      <sheetName val="Head Office-Bud"/>
      <sheetName val="MS-Bud"/>
      <sheetName val="PL-Bud"/>
      <sheetName val="TB-Bud"/>
      <sheetName val="TM-Bud"/>
      <sheetName val="YS-Bud"/>
      <sheetName val="Ann -1"/>
      <sheetName val="capg"/>
      <sheetName val="Assumptions"/>
      <sheetName val="Data"/>
      <sheetName val="Input"/>
      <sheetName val="Commonality codes"/>
      <sheetName val="Calcns FDB"/>
      <sheetName val="Assns FDB"/>
      <sheetName val="BS"/>
      <sheetName val="RS"/>
      <sheetName val="W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CN connectivity details"/>
      <sheetName val="MCN constructruction details"/>
      <sheetName val="Sheet2"/>
      <sheetName val="Sheet1"/>
      <sheetName val="Data not available"/>
      <sheetName val="MCN Manpower details"/>
      <sheetName val="MCN IT details"/>
      <sheetName val="Miscellenous "/>
      <sheetName val="Annexure 1"/>
      <sheetName val="Annexure 6"/>
      <sheetName val="Annexure 7"/>
      <sheetName val="Annexure 8"/>
      <sheetName val="Annexure 9"/>
      <sheetName val="Annexure 10"/>
      <sheetName val="Annexure 11"/>
      <sheetName val="Annexure 12"/>
      <sheetName val="Annexure 13"/>
      <sheetName val="MCN Addresses"/>
      <sheetName val="Customize Your Invoice"/>
      <sheetName val="Data"/>
      <sheetName val="247 MCN It infra master ver 1"/>
      <sheetName val="AU Zone"/>
      <sheetName val="5 Door Europe CLN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SCurve-Total"/>
      <sheetName val="RLG"/>
      <sheetName val="BND"/>
      <sheetName val="CD"/>
      <sheetName val="SC-RH"/>
      <sheetName val="SC-RK"/>
      <sheetName val="BSN"/>
      <sheetName val="HUD"/>
      <sheetName val="JP"/>
      <sheetName val="JPexclRL"/>
      <sheetName val="JP-RL"/>
      <sheetName val="RMS"/>
      <sheetName val="MDM-TOTAL"/>
      <sheetName val="MDM-RF "/>
      <sheetName val="MDM-RW"/>
      <sheetName val="PBMR"/>
      <sheetName val="BSD"/>
      <sheetName val="ROSData"/>
      <sheetName val="Input"/>
      <sheetName val="COKER S CURVE"/>
      <sheetName val="Sheet1"/>
      <sheetName val="commodity curve COKER"/>
      <sheetName val="front anal cdu"/>
      <sheetName val="piping status cdu"/>
      <sheetName val="mtrl constraints cdu_vdu"/>
      <sheetName val="bal eqpt instts"/>
      <sheetName val="other PCOs"/>
      <sheetName val="assumptions"/>
      <sheetName val="Front Page"/>
      <sheetName val="Cash Flow"/>
      <sheetName val="PostOrdStat"/>
      <sheetName val="#ref"/>
      <sheetName val="진행 data (2)"/>
      <sheetName val="ftr macro"/>
      <sheetName val="Cost Data"/>
      <sheetName val="Data"/>
      <sheetName val="IT_FBT_DDTP"/>
      <sheetName val="Sheet2"/>
      <sheetName val="5 Door Europe CL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 Circles-26GHz"/>
      <sheetName val="Summary_26GHz"/>
      <sheetName val="Planning Tool + RF Opt"/>
      <sheetName val="Unit_Models"/>
      <sheetName val="factors"/>
      <sheetName val="All Circles-10.5"/>
      <sheetName val="Summary_10.5"/>
      <sheetName val="Tools&amp;Test"/>
      <sheetName val="Assumptions"/>
      <sheetName val="Mfg. Cost"/>
      <sheetName val="Sheet2"/>
      <sheetName val="Input"/>
      <sheetName val="STKS"/>
      <sheetName val="SSIP"/>
      <sheetName val="SPT vs PHI"/>
      <sheetName val="Walkair_mode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C"/>
      <sheetName val="Facturación"/>
      <sheetName val="FLUJOS"/>
      <sheetName val="Salarios GUA"/>
      <sheetName val="Front Page"/>
      <sheetName val="FTE Requirement"/>
      <sheetName val="pick-cjas"/>
      <sheetName val="Process Design"/>
      <sheetName val="Personnel Data Sheet"/>
      <sheetName val="Space Requirement"/>
      <sheetName val="Process Data"/>
      <sheetName val="Cost Data"/>
      <sheetName val="Start-Up Costs"/>
      <sheetName val="Quotation"/>
      <sheetName val="Indirect Costs"/>
      <sheetName val="P&amp;L"/>
      <sheetName val="Investments"/>
      <sheetName val="Operational Costs"/>
      <sheetName val="Summary"/>
      <sheetName val="debt schedule"/>
      <sheetName val="^Base_Data_Gen"/>
      <sheetName val="^Freeform (3)"/>
      <sheetName val="factors"/>
      <sheetName val="#ref"/>
      <sheetName val="validationInfo"/>
      <sheetName val="PF1"/>
      <sheetName val="PF3"/>
      <sheetName val="Input"/>
      <sheetName val="Cash Flow"/>
      <sheetName val="Sheet2"/>
      <sheetName val="STKS"/>
      <sheetName val="SSIP"/>
      <sheetName val="Mfg. Cost"/>
      <sheetName val="NM_C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gram Support"/>
      <sheetName val="Front Page"/>
      <sheetName val="Data Assumptions"/>
      <sheetName val="Salarios"/>
      <sheetName val="DATOS"/>
      <sheetName val="product."/>
      <sheetName val="Process Design"/>
      <sheetName val="Process Data"/>
      <sheetName val="Personnel Data"/>
      <sheetName val="FTE Requirement"/>
      <sheetName val="Space Requirement"/>
      <sheetName val="Cost Data"/>
      <sheetName val="Start-Up Costs"/>
      <sheetName val="Quotation"/>
      <sheetName val="Distribution price template PT"/>
      <sheetName val="Distribution price template ES"/>
      <sheetName val="BID TEMPLATE"/>
      <sheetName val="Parameters"/>
      <sheetName val="Indirect Costs"/>
      <sheetName val="P&amp;L"/>
      <sheetName val="Investments"/>
      <sheetName val="Operational Costs"/>
      <sheetName val="Summary"/>
      <sheetName val="Sheet2"/>
      <sheetName val="Company Data"/>
      <sheetName val="Daily_Amt"/>
      <sheetName val="Daily_Unit"/>
      <sheetName val="Compare"/>
      <sheetName val="data"/>
      <sheetName val="legend"/>
      <sheetName val="Mfg. Cost"/>
      <sheetName val="T진도"/>
      <sheetName val="Input"/>
      <sheetName val="FRINGE_BENEFIT_INFO"/>
      <sheetName val="TMasterConsUnit"/>
      <sheetName val="TMasterSeg"/>
      <sheetName val="factors"/>
      <sheetName val="PF1"/>
      <sheetName val="PF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TO DO LIST"/>
      <sheetName val="Assumptions Summary"/>
      <sheetName val="Epidemiology"/>
      <sheetName val="Assumptions"/>
      <sheetName val="DCMinput"/>
      <sheetName val="Sheet1"/>
      <sheetName val="CurrentProfile"/>
      <sheetName val="dConjoint"/>
      <sheetName val="DCM Model"/>
      <sheetName val="DSS-Inputs"/>
      <sheetName val="Summary"/>
      <sheetName val="Tables"/>
      <sheetName val="Factors"/>
      <sheetName val="Calcs"/>
      <sheetName val="DSS Input Variables"/>
      <sheetName val="Coverage"/>
      <sheetName val="Promotionexp"/>
      <sheetName val="Promotion"/>
      <sheetName val="oldPromotion"/>
      <sheetName val="Yearly"/>
      <sheetName val="Monthly"/>
      <sheetName val="Forecasts"/>
      <sheetName val="Graphs"/>
      <sheetName val="Future Events - Mkt"/>
      <sheetName val="Future Events - Product"/>
      <sheetName val="Population"/>
      <sheetName val="Data"/>
      <sheetName val="Market"/>
      <sheetName val="Product Attributes"/>
      <sheetName val="old Promotion for multiple prod"/>
      <sheetName val="old Promotion"/>
      <sheetName val="Future Events"/>
      <sheetName val="Model Assumpt"/>
      <sheetName val="iSummary"/>
      <sheetName val="Scenarios"/>
      <sheetName val="Scratch Pad"/>
      <sheetName val="PL"/>
      <sheetName val="EPIDetails"/>
      <sheetName val="EPIAssum"/>
      <sheetName val="Macros"/>
      <sheetName val="SMM"/>
      <sheetName val="P+L"/>
      <sheetName val="AdHocChartData"/>
      <sheetName val="dAssumption"/>
      <sheetName val="ActHistory"/>
      <sheetName val="ForecastAdj"/>
      <sheetName val="HistoryAdj"/>
      <sheetName val="SetupFcst"/>
      <sheetName val="BrSummary_Mo"/>
      <sheetName val="BrSummary_Yr"/>
      <sheetName val="Competitor_Mo"/>
      <sheetName val="Competitor_Yr"/>
      <sheetName val="Charts"/>
      <sheetName val="AdHocChart"/>
      <sheetName val="Conjoint"/>
      <sheetName val="VBA Related"/>
      <sheetName val="PARAMETERS"/>
      <sheetName val="COST CATEGORIES"/>
      <sheetName val="Cost Assumptions"/>
      <sheetName val="Fill this out first..."/>
      <sheetName val="B6"/>
      <sheetName val="PHARMA_SALES"/>
      <sheetName val="STATUS"/>
      <sheetName val="Input Sales"/>
      <sheetName val="Funding Request"/>
      <sheetName val="Summary BS"/>
      <sheetName val="Comp HC"/>
      <sheetName val="Comp trends"/>
      <sheetName val="Total Trends"/>
      <sheetName val="Comp_"/>
      <sheetName val="Reconciliation"/>
      <sheetName val="conversion"/>
      <sheetName val="dailydata"/>
      <sheetName val="PLANDATA"/>
      <sheetName val="GROSS"/>
      <sheetName val="Input"/>
      <sheetName val="STKS"/>
      <sheetName val="SSIP"/>
      <sheetName val="T진도"/>
      <sheetName val="Gross Block "/>
      <sheetName val="Dep.Fund"/>
      <sheetName val="Trfr out"/>
      <sheetName val="Tr In"/>
      <sheetName val="AU Zone"/>
      <sheetName val="TMasterConsUnit"/>
      <sheetName val="TMasterSeg"/>
      <sheetName val="Company Data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1. Distribution Definitions"/>
      <sheetName val="1a. Distribution Continental EU"/>
      <sheetName val="1b. Distribution GB"/>
      <sheetName val="2.Warehousing Definitions"/>
      <sheetName val="2a. GB - Daventry"/>
      <sheetName val="2b. GB - Leicester"/>
      <sheetName val="2c. GB - Dallam Lane"/>
      <sheetName val="2d. ES - Madrid"/>
      <sheetName val="2e. CN - Las Palmas"/>
      <sheetName val="2f. CN - Tenerife"/>
      <sheetName val="2g. FR - Reims"/>
      <sheetName val="2h.DE AT NL BE LU GDF - Bocholt"/>
      <sheetName val="2i. IT - Milan"/>
      <sheetName val="2j. GR - Athens"/>
      <sheetName val="2k. PT - Lisbon"/>
      <sheetName val="2l. CH - Oftingen"/>
      <sheetName val="2m. DK - Ishoj"/>
      <sheetName val="2n. GSS - Overflow"/>
      <sheetName val="2o. GSS - Glass"/>
      <sheetName val="2p. GB - Runcorn"/>
      <sheetName val="2q. PL - Raszyn"/>
      <sheetName val="3a. Alternative - Warehousing"/>
      <sheetName val="3b. Alt. Distribution Europe2"/>
      <sheetName val="3c. Alt. Distribution GB2"/>
      <sheetName val="Validation"/>
      <sheetName val="TOC"/>
      <sheetName val="validationInfo"/>
      <sheetName val="Input"/>
      <sheetName val="VARIANCE ANALYSIS"/>
      <sheetName val="Cost Data"/>
      <sheetName val="Front Page"/>
      <sheetName val="factors"/>
      <sheetName val="Financials"/>
      <sheetName val="PF1"/>
      <sheetName val="PF3"/>
      <sheetName val="NM_CASH"/>
      <sheetName val="STKS"/>
      <sheetName val="SSIP"/>
      <sheetName val="MS NET"/>
      <sheetName val="Assumptions"/>
      <sheetName val="Data Assumptions"/>
      <sheetName val="Program Support"/>
      <sheetName val="Personnel Data"/>
      <sheetName val="Operational Costs"/>
      <sheetName val="Process Data"/>
      <sheetName val="Process Design"/>
      <sheetName val="Quotation"/>
      <sheetName val="Start-Up Costs"/>
      <sheetName val="Summary"/>
      <sheetName val="^Base_Data_Gen"/>
      <sheetName val="^Freeform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uation"/>
      <sheetName val="Financials"/>
      <sheetName val="Anupam"/>
      <sheetName val="comp rev exp"/>
      <sheetName val="AnuPriyaCapex"/>
      <sheetName val="Excise on RM"/>
      <sheetName val="ecc_res"/>
      <sheetName val="factors"/>
      <sheetName val="T진도"/>
      <sheetName val="Rules"/>
      <sheetName val="Lists"/>
      <sheetName val="validationInfo"/>
      <sheetName val="^Base_Data_Gen"/>
      <sheetName val="^Freeform (3)"/>
      <sheetName val="Company Data"/>
      <sheetName val="Cost Data"/>
      <sheetName val="Front Page"/>
      <sheetName val="Mfg. Cost"/>
      <sheetName val="DATA"/>
      <sheetName val="VARIANCE ANALYSI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 (2)"/>
      <sheetName val="Index"/>
      <sheetName val="BalanceSheet"/>
      <sheetName val="Cash Flow Local"/>
      <sheetName val="CONSO P&amp;L REGION WISE"/>
      <sheetName val="CONSO P&amp;L"/>
      <sheetName val="Comparison with Budget"/>
      <sheetName val="Debtors Ageing Dec 02 M"/>
      <sheetName val="Debtors Summary - Mumbai"/>
      <sheetName val="Debtors Ageing Dec 02 (C)"/>
      <sheetName val="Debtors Summary- Chennai"/>
      <sheetName val="Debtors (Bang)"/>
      <sheetName val="Debtors Bang"/>
      <sheetName val="Debtors Ageing Conso "/>
      <sheetName val="Debtors Summary-Conso"/>
      <sheetName val="Key Performance 1"/>
      <sheetName val="Key Performance 2"/>
      <sheetName val="Key Performance 3"/>
      <sheetName val="CONSO"/>
      <sheetName val="CONSO - TRNSP"/>
      <sheetName val="MUMBAI P&amp;L"/>
      <sheetName val="MUMBAI"/>
      <sheetName val="MUMBAI - TRNSP"/>
      <sheetName val="BANDRA"/>
      <sheetName val="BANDRA - TRANSPORT"/>
      <sheetName val="MAHAPE"/>
      <sheetName val="MAHAPE - TRNSP"/>
      <sheetName val="KANDIVILI PLANT"/>
      <sheetName val="KANDIVILI TRANSPORT"/>
      <sheetName val="PUMP - MUM"/>
      <sheetName val="MU - Clab"/>
      <sheetName val="ADMIN 1 MUMBAI"/>
      <sheetName val="ADMIN 2 MUMBAI"/>
      <sheetName val="MUMBAI REGIONAL"/>
      <sheetName val="CHENNAI P&amp;L"/>
      <sheetName val="THIRU"/>
      <sheetName val="THIRU - TRNSP"/>
      <sheetName val="CHENNAI - PUMPING"/>
      <sheetName val="CH - CLAB"/>
      <sheetName val="KEERAPAKKAM QUARRY"/>
      <sheetName val="QUARRY STOCK"/>
      <sheetName val="CH - ADMIN1"/>
      <sheetName val="CH - ADMIN 2"/>
      <sheetName val="CH - REGIONAL"/>
      <sheetName val="BANGALORE P &amp; L"/>
      <sheetName val="BANGALORE PLANT"/>
      <sheetName val="BANGALORE TRANSPORT"/>
      <sheetName val="BANGALORE PUMPING"/>
      <sheetName val="BANGALORE LAB"/>
      <sheetName val="BANGALORE QUARRY"/>
      <sheetName val="BANG QUARRY PROD"/>
      <sheetName val="BANG QUARRY TRASNPORT"/>
      <sheetName val="BANGALORE ADMIN 1"/>
      <sheetName val="BANGALORE ADMIN 2"/>
      <sheetName val="BANGALORE REGIONAL"/>
      <sheetName val="MU ADMIN1"/>
      <sheetName val="MU ADMIN 2"/>
      <sheetName val="CORPORATE"/>
      <sheetName val="TALOJA"/>
      <sheetName val="INS MUM"/>
      <sheetName val="INS CHENNAI"/>
      <sheetName val="SALARY"/>
      <sheetName val="CHENNAI"/>
      <sheetName val="CHENNAI - QUARRY"/>
      <sheetName val="WORKINGS"/>
      <sheetName val="MUMBAI FAR"/>
      <sheetName val="CHENNAI FAR"/>
      <sheetName val="BANG FAR"/>
      <sheetName val="Cost Data"/>
      <sheetName val="Front Page"/>
      <sheetName val="DATA"/>
      <sheetName val="^Base_Data_Gen"/>
      <sheetName val="^Freeform (3)"/>
      <sheetName val="T진도"/>
      <sheetName val="Data Assumptions"/>
      <sheetName val="Program Support"/>
      <sheetName val="Personnel Data"/>
      <sheetName val="Operational Costs"/>
      <sheetName val="Process Data"/>
      <sheetName val="Process Design"/>
      <sheetName val="Quotation"/>
      <sheetName val="Start-Up Costs"/>
      <sheetName val="Summary"/>
      <sheetName val="DATABASE"/>
      <sheetName val="ZONE"/>
      <sheetName val="factors"/>
      <sheetName val="validation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ue_Chain_ALL"/>
      <sheetName val="Twin_tub_Overview"/>
      <sheetName val="VC_TT_7,5-8"/>
      <sheetName val="VC_TT_7,0"/>
      <sheetName val="VC_TT_6,0-6,5"/>
      <sheetName val="Value_Chain_Dixon_8"/>
      <sheetName val="Value_Chain_Vimal_8_high"/>
      <sheetName val="Value_Chain_Vimal_8_low"/>
      <sheetName val="Value_Chain_Vimal_7,5_high"/>
      <sheetName val="Value_Chain_Vimal_7,5_low"/>
      <sheetName val="Value_Chain_Dixon_7"/>
      <sheetName val="Value_Chain_Vimal_7_low"/>
      <sheetName val="Value_Chain_Vimal_7_High"/>
      <sheetName val="Value_Chain_Lesli_7"/>
      <sheetName val="Value_Chain_Dixon_6,5"/>
      <sheetName val="Value_Chain_Vimal_6,5"/>
      <sheetName val="Value_Chain_Dixon_6"/>
      <sheetName val="Value_Chain_Vimal_6"/>
      <sheetName val="Value_Chain_Lesli_6,2"/>
      <sheetName val="Summary"/>
      <sheetName val="Direct_Cool_Overview"/>
      <sheetName val="VC_DC_150-160"/>
      <sheetName val="VC_DC_175-180"/>
      <sheetName val="VC_DC_204-2015"/>
      <sheetName val="Value_Chain_GEM_215_Low"/>
      <sheetName val="Value_Chain_GEM_215_High"/>
      <sheetName val="Value_Chain_GEM_195"/>
      <sheetName val="Value_Chain_GEM_180"/>
      <sheetName val="Value_Chain_Polytron_180"/>
      <sheetName val="Value_Chain_KEG_175"/>
      <sheetName val="Value_Chain_Hefei_175"/>
      <sheetName val="Value_Chain_Polytron_150"/>
      <sheetName val="Value_Chain_Polytron_160"/>
      <sheetName val="Value_Chain_Hefei_150"/>
      <sheetName val="Value_Chain_KEG_150"/>
      <sheetName val="FX_rate"/>
      <sheetName val="MRP_MOP"/>
      <sheetName val="TT_PriceList"/>
      <sheetName val="DC_PriceList"/>
      <sheetName val="Input&gt;&gt;&gt;"/>
      <sheetName val="Lists"/>
      <sheetName val="Value_Chain_Hefei_204"/>
      <sheetName val="Voltas_VC"/>
      <sheetName val="Prices &amp; Margins&gt;&gt;&gt;"/>
      <sheetName val="Prices_feasibility_pricing"/>
      <sheetName val="ValueChain_Feasibility"/>
      <sheetName val="Transportation cost&gt;&gt;&gt;"/>
      <sheetName val="TransportationCosts"/>
      <sheetName val="DC_Port_to_MWH"/>
      <sheetName val="DC_MWH_to_CWH"/>
      <sheetName val="Loading Qty.&amp;Custom"/>
      <sheetName val="Proposals&gt;&gt;&gt;"/>
      <sheetName val="TT_Kingsun"/>
      <sheetName val="TT_Noble"/>
      <sheetName val="TT_Vimal"/>
      <sheetName val="TT_Sinoeuro"/>
      <sheetName val="TT_Lesli"/>
      <sheetName val="TT_Dixon"/>
      <sheetName val="DC_GEM"/>
      <sheetName val="DC_KEG"/>
      <sheetName val="DC_Hefei"/>
      <sheetName val="DC_Polytron"/>
      <sheetName val="Loading Qty_raw"/>
      <sheetName val="TT_Feasbility_raw"/>
      <sheetName val="Range Comparison"/>
      <sheetName val="GST"/>
      <sheetName val="Cost Data"/>
      <sheetName val="Data Assumptions"/>
      <sheetName val="Front Page"/>
      <sheetName val="Program Support"/>
      <sheetName val="Personnel Data"/>
      <sheetName val="Operational Costs"/>
      <sheetName val="Process Data"/>
      <sheetName val="Process Design"/>
      <sheetName val="Quotation"/>
      <sheetName val="Start-Up Costs"/>
      <sheetName val="plan"/>
      <sheetName val="Financials"/>
      <sheetName val="Factor -local"/>
      <sheetName val="Factor- cables"/>
      <sheetName val="DATA"/>
      <sheetName val="EQUIPMENT COMPARISION.XLS"/>
      <sheetName val="Assumptions"/>
      <sheetName val="Property Tax"/>
      <sheetName val="T진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-Oct07"/>
      <sheetName val="Superficies"/>
      <sheetName val="Cartones"/>
      <sheetName val="Estimación RRHH equiv año "/>
      <sheetName val="m3 Año"/>
      <sheetName val="Pzas Año"/>
      <sheetName val="Hoja1"/>
      <sheetName val="Distancias"/>
      <sheetName val="Resultados"/>
      <sheetName val="CPGoods"/>
      <sheetName val="CPGoods (2)"/>
      <sheetName val="Accesories"/>
      <sheetName val="PHHobs"/>
      <sheetName val="PHnotHobs"/>
      <sheetName val="PK"/>
      <sheetName val="PW-PG"/>
      <sheetName val="BASE"/>
      <sheetName val="Fases de proceso"/>
      <sheetName val="Tiempos"/>
      <sheetName val="Suplementos"/>
      <sheetName val="validationInfo"/>
      <sheetName val="WORKINGS"/>
      <sheetName val="plan"/>
      <sheetName val="summary m3"/>
      <sheetName val="Financials"/>
      <sheetName val="VARIANCE ANALYSIS"/>
      <sheetName val="EQUIPMENT COMPARISION.XLS"/>
      <sheetName val="sheet1"/>
      <sheetName val="DATA"/>
      <sheetName val="Customize Your Invo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ctor -local"/>
      <sheetName val="Factor- cables"/>
      <sheetName val="ACC_DATABASE"/>
      <sheetName val="Factor -Imports (FCA Prices)"/>
      <sheetName val="PRICE_DATABASE"/>
      <sheetName val="Price_list"/>
      <sheetName val="1E1-TOTAL"/>
      <sheetName val="2E1-TOTAL"/>
      <sheetName val="4E1-TOTAL"/>
      <sheetName val="E1+FE-TOTAL"/>
      <sheetName val="2E1+FE-TOTAL"/>
      <sheetName val="24POTS+FE-TOTAL"/>
      <sheetName val="Interface_Cards"/>
      <sheetName val="Planning_Tool"/>
      <sheetName val="TOTAL_28MHz"/>
      <sheetName val="TOTAL_14MHz"/>
      <sheetName val="Summary"/>
      <sheetName val="2E1+FE-TOTAL_WA3K"/>
      <sheetName val="Factor _local"/>
      <sheetName val="Factor_ cables"/>
      <sheetName val="INFO"/>
      <sheetName val="NOTES "/>
      <sheetName val="Financials"/>
      <sheetName val="Tiempos"/>
      <sheetName val="DATA"/>
      <sheetName val="List"/>
      <sheetName val="heads"/>
      <sheetName val="tata daily wages"/>
      <sheetName val="Trading - Madha"/>
      <sheetName val="Customize Your Invoice"/>
      <sheetName val="T진도"/>
      <sheetName val="Assumptions"/>
      <sheetName val="WORKINGS"/>
      <sheetName val="Simulator Detail"/>
      <sheetName val="Dealer Code Lookup Table"/>
      <sheetName val="pla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importes"/>
      <sheetName val="summary m3"/>
      <sheetName val="Hoja1"/>
      <sheetName val="Hoja2"/>
      <sheetName val="Hoja1 (2)"/>
      <sheetName val="WORKINGS"/>
      <sheetName val="군산공장추가구매"/>
      <sheetName val="Lists"/>
      <sheetName val="mondeo"/>
      <sheetName val="10-city points"/>
      <sheetName val="plan"/>
      <sheetName val="Financials"/>
      <sheetName val="MS NET"/>
      <sheetName val="Factor -local"/>
      <sheetName val="Factor- cable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WAGES OT SHEET"/>
      <sheetName val="replacemant (2)"/>
      <sheetName val="all warehouse"/>
      <sheetName val="Madhavaram LAST MONTH ARREARS"/>
      <sheetName val="Sample"/>
      <sheetName val="Trading - Madha"/>
      <sheetName val="sabic (LAST MON ARREARS)"/>
      <sheetName val="sabic"/>
      <sheetName val="Noombal - WW"/>
      <sheetName val="Bayers"/>
      <sheetName val="HCL"/>
      <sheetName val="TRICHY"/>
      <sheetName val="tata daily wages"/>
      <sheetName val="VOLTAS LOADING &amp; UNLOADING"/>
      <sheetName val="TRICHY - LOADING &amp; UNLOADING"/>
      <sheetName val="OT"/>
      <sheetName val=" Trichy - rall"/>
      <sheetName val="CAF"/>
      <sheetName val="Noombal"/>
      <sheetName val="NOOMBAL 2"/>
      <sheetName val="colgate)"/>
      <sheetName val="DI_EFL_CHENNAI"/>
      <sheetName val="Sheet1 (2)"/>
      <sheetName val="ATHUR DAILY WAGES"/>
      <sheetName val="Sheet1"/>
      <sheetName val="Sheet2"/>
      <sheetName val="DI_INDUS SRN_CHENNAI"/>
      <sheetName val="INDUS 2 MANPOWER"/>
      <sheetName val="Sheet3"/>
      <sheetName val="Lists"/>
      <sheetName val="Emp_Cost"/>
      <sheetName val="WORK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dg_Identn_Report_Ph_I"/>
      <sheetName val="SE Data"/>
      <sheetName val="10-city points"/>
      <sheetName val="rollout"/>
      <sheetName val="City Data"/>
      <sheetName val="IDC Services"/>
      <sheetName val="Wireline Data Services"/>
      <sheetName val="Customer Points"/>
      <sheetName val="Dedicated Internet Service"/>
      <sheetName val="Leased Line Services"/>
      <sheetName val="VPN Services"/>
      <sheetName val="A"/>
      <sheetName val="10_city points"/>
      <sheetName val="Tiempos"/>
      <sheetName val="ALT.18-STEP3"/>
      <sheetName val="Dealer Code Lookup Table"/>
      <sheetName val="Final Status &lt;FS&gt; One Pager"/>
      <sheetName val="Lists"/>
      <sheetName val="Data revenue plan 10th August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dt"/>
      <sheetName val="Estimation"/>
      <sheetName val="Fire Alarm-AC"/>
      <sheetName val="Items not included"/>
      <sheetName val="SPECS"/>
      <sheetName val="TERMS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XXXX"/>
      <sheetName val="Est - 1"/>
      <sheetName val="Rev.Est -1"/>
      <sheetName val="Rev.Est -2"/>
      <sheetName val="FINAL EST - REV-3"/>
      <sheetName val="Sheet4"/>
      <sheetName val="FINAL EST - REV-4"/>
      <sheetName val="Ele-Addl.Est"/>
      <sheetName val="FINAL SCOPE"/>
      <sheetName val="Ele-Addl-Bill"/>
      <sheetName val="status report I"/>
      <sheetName val="STATUS REPORT -II"/>
      <sheetName val="STATUS REPORT III"/>
      <sheetName val="STATUS REPORT IV"/>
      <sheetName val="Est-(carpet)"/>
      <sheetName val="ADD BILL"/>
      <sheetName val="TERMS -cafe"/>
      <sheetName val="Bldg.Atmn.Sys"/>
      <sheetName val="EST - CAFE (2)"/>
      <sheetName val="EST - CAFE"/>
      <sheetName val="caf-final"/>
      <sheetName val="Sheet2"/>
      <sheetName val="Sheet1"/>
      <sheetName val="summary m3"/>
      <sheetName val="F-FL."/>
      <sheetName val="Op-Smt"/>
      <sheetName val="10-city points"/>
      <sheetName val="Factors-overall"/>
      <sheetName val="JUNE_03"/>
      <sheetName val="Emp_Cost"/>
      <sheetName val="Expense Assumption"/>
      <sheetName val="Factor -local"/>
      <sheetName val="Factor- cables"/>
      <sheetName val="plan"/>
      <sheetName val="Final Status &lt;FS&gt; One Pager"/>
      <sheetName val="OE_2005_06_"/>
      <sheetName val="Drop Down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PC-Issues"/>
      <sheetName val="MILESTONE-RAIL"/>
      <sheetName val="MILESTONES-LSHS"/>
      <sheetName val="fco"/>
      <sheetName val="BAL_JOB_LIST"/>
      <sheetName val="BAL-INST"/>
      <sheetName val="Rev-Overall"/>
      <sheetName val="PENDING-SYS"/>
      <sheetName val="SYS-OWNERS"/>
      <sheetName val="Rev-Summary"/>
      <sheetName val="LOOP-SPREAD"/>
      <sheetName val="OVERALL-RFSU"/>
      <sheetName val="Phase-1"/>
      <sheetName val="LOOP-PROFILE"/>
      <sheetName val="Overall"/>
      <sheetName val="Sys-Handover"/>
      <sheetName val="MANP-FORMAT"/>
      <sheetName val="MANPOWER-Overall"/>
      <sheetName val="Sheet5"/>
      <sheetName val="concrete-L3"/>
      <sheetName val="pipe-fab-L3"/>
      <sheetName val="pipe-Install-L3"/>
      <sheetName val="Sheet6"/>
      <sheetName val="Rev-1-Lvl-2-Overall"/>
      <sheetName val="Lvl-2-Overall- Latest "/>
      <sheetName val="CONCRETE "/>
      <sheetName val="STRL-STEEL"/>
      <sheetName val="U-G-Piping (1)"/>
      <sheetName val="A-G-PIPING(1)"/>
      <sheetName val="Tankage-Report"/>
      <sheetName val="Tankages-New"/>
      <sheetName val="ARCHBLDG"/>
      <sheetName val="RCB %"/>
      <sheetName val="CIVIL-SITE-IMPR."/>
      <sheetName val="RAIL-ROAD"/>
      <sheetName val="FLARE"/>
      <sheetName val="OVERALL-PKG"/>
      <sheetName val="SSTP-PKG"/>
      <sheetName val="ETP-PKG"/>
      <sheetName val="COKE-PKG"/>
      <sheetName val="CAUSTIC-PKG"/>
      <sheetName val="INSTRUMENT"/>
      <sheetName val="OVERALL-MECH"/>
      <sheetName val="MECH_VESSEL"/>
      <sheetName val="MECH_PUMPS"/>
      <sheetName val="MECH_L-UL"/>
      <sheetName val="MECH_OTHERS"/>
      <sheetName val="TANKAGE-DETAIL"/>
      <sheetName val="Manpower"/>
      <sheetName val="P&amp;M"/>
      <sheetName val="biweek_qty-1"/>
      <sheetName val="biweek_qty-2"/>
      <sheetName val="Front-Analy"/>
      <sheetName val="Hydro-Loop"/>
      <sheetName val="Overall_crit_issues"/>
      <sheetName val="tata daily wages"/>
      <sheetName val="Trading - Madha"/>
      <sheetName val="Estimation"/>
      <sheetName val="Emp_Cost"/>
      <sheetName val="summary m3"/>
      <sheetName val="Drop Downs"/>
      <sheetName val="assmpns"/>
      <sheetName val="legend"/>
      <sheetName val="Spider Preiseingabe"/>
      <sheetName val="Macro1"/>
      <sheetName val="WORK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ctor -local"/>
      <sheetName val="Factor- cables"/>
      <sheetName val="Factor -Imports (FCA Prices)"/>
      <sheetName val="Factors-overall"/>
      <sheetName val="Summary"/>
      <sheetName val="Acc-2E1+eth"/>
      <sheetName val="2E1+eth"/>
      <sheetName val="EMS-2E1+Eth"/>
      <sheetName val="Acc-4E1"/>
      <sheetName val="4E1"/>
      <sheetName val="EMS-4E1"/>
      <sheetName val="Acc-2E1 "/>
      <sheetName val="2E1"/>
      <sheetName val="EMS-2E1"/>
      <sheetName val="Acc-1E1"/>
      <sheetName val="1E1"/>
      <sheetName val="EMS-1E1"/>
      <sheetName val="Optional Accessories"/>
      <sheetName val="Acc-1E1+eth "/>
      <sheetName val="1E1+eth"/>
      <sheetName val="EMS-1E1+eth"/>
      <sheetName val="optimised config-acc"/>
      <sheetName val="optimised config"/>
      <sheetName val="optimised confi EMS"/>
      <sheetName val="interface Cards"/>
      <sheetName val="Factors_overall"/>
      <sheetName val="WORKINGS"/>
      <sheetName val="A-General"/>
      <sheetName val="10-city points"/>
      <sheetName val="fco"/>
      <sheetName val="98 Targets wo yen sharing"/>
      <sheetName val="XX98CALB"/>
      <sheetName val="HLBQParms"/>
      <sheetName val="CIO"/>
      <sheetName val="tata daily wages"/>
      <sheetName val="Trading - Madha"/>
      <sheetName val="Emp_Cost"/>
      <sheetName val="Expense Assumption"/>
      <sheetName val="Estimation"/>
      <sheetName val="96totcstsum"/>
      <sheetName val="Sheet1"/>
      <sheetName val="FP Rev Sum"/>
      <sheetName val="FP Cost Sum"/>
      <sheetName val="FP Price Pos"/>
      <sheetName val="FP Var Market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P"/>
      <sheetName val="Assum"/>
      <sheetName val="Formula"/>
      <sheetName val="RM"/>
      <sheetName val="Wages"/>
      <sheetName val="SV"/>
      <sheetName val="QD"/>
      <sheetName val="DEP"/>
      <sheetName val="WC"/>
      <sheetName val="FR"/>
      <sheetName val="Term Loan"/>
      <sheetName val="Tax"/>
      <sheetName val="Cash Flow"/>
      <sheetName val="PS"/>
      <sheetName val="BS"/>
      <sheetName val="irr"/>
      <sheetName val="Curr. Rates"/>
      <sheetName val="Op-Smt"/>
      <sheetName val="Lib-Smt"/>
      <sheetName val="Ast-Smt"/>
      <sheetName val="Valid"/>
      <sheetName val="Fin-Ind."/>
      <sheetName val="WCC"/>
      <sheetName val="ABF"/>
      <sheetName val="TL_in"/>
      <sheetName val="DPG_in"/>
      <sheetName val="F-FL."/>
      <sheetName val="Sen_Anly"/>
      <sheetName val="Sen DSCR"/>
      <sheetName val="DSCR_SECU"/>
      <sheetName val="ICR_SECU"/>
      <sheetName val="Op_Smt"/>
      <sheetName val="Lib_Smt"/>
      <sheetName val="Ast_Smt"/>
      <sheetName val="Fin_Ind_"/>
      <sheetName val="F_FL_"/>
      <sheetName val="Factor -local"/>
      <sheetName val="Factor- cables"/>
      <sheetName val="Factors-overall"/>
      <sheetName val="CBS"/>
      <sheetName val="temp"/>
      <sheetName val="Tiempos"/>
      <sheetName val="5 door europe cln"/>
      <sheetName val="FRINGE_BENEFIT_INFO"/>
      <sheetName val="FACTORS"/>
      <sheetName val="XX98CALB"/>
      <sheetName val="summary m3"/>
      <sheetName val="NP QUES"/>
      <sheetName val="Wkly-Analysis"/>
      <sheetName val="month"/>
      <sheetName val="Blank CMA TL 650"/>
      <sheetName val="JUNE_03"/>
      <sheetName val="DETAIL STATU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structions"/>
      <sheetName val="P-1A"/>
      <sheetName val="P-2B"/>
      <sheetName val="P-2C"/>
      <sheetName val="P-8A"/>
      <sheetName val="P-9A"/>
      <sheetName val="P-11A"/>
      <sheetName val="P-12E_LC"/>
      <sheetName val="P-12E_USD"/>
      <sheetName val="P-12F"/>
      <sheetName val="P-17B Total"/>
      <sheetName val="P-17B Precedex"/>
      <sheetName val="P-17B Glucerna"/>
      <sheetName val="P-17B Poliful"/>
      <sheetName val="P-17B Hokunalin Tape"/>
      <sheetName val="P-17C"/>
      <sheetName val="P-29A"/>
      <sheetName val="DSO"/>
      <sheetName val="DOH"/>
      <sheetName val="P-16F"/>
      <sheetName val="P-21A"/>
      <sheetName val="P-7C"/>
      <sheetName val="P-7D"/>
      <sheetName val="P-8B"/>
      <sheetName val="P-30B"/>
      <sheetName val="MACROS"/>
      <sheetName val="Adaytum"/>
      <sheetName val="Purch Analysis"/>
      <sheetName val="Keywords"/>
      <sheetName val="#REF"/>
      <sheetName val="P16L"/>
      <sheetName val="SlidesII"/>
      <sheetName val="Report"/>
      <sheetName val="Reconciliation"/>
      <sheetName val="P-17B_Total"/>
      <sheetName val="P-17B_Precedex"/>
      <sheetName val="P-17B_Glucerna"/>
      <sheetName val="P-17B_Poliful"/>
      <sheetName val="P-17B_Hokunalin_Tape"/>
      <sheetName val="Purch_Analysis"/>
      <sheetName val="Beast Link"/>
      <sheetName val="P+L"/>
      <sheetName val="Sales"/>
      <sheetName val="SMM"/>
      <sheetName val="Sheet1"/>
      <sheetName val="CONTROL"/>
      <sheetName val="Hytrin Graphs"/>
      <sheetName val="tata daily wages"/>
      <sheetName val="Trading - Madha"/>
      <sheetName val="fco"/>
      <sheetName val="Estimation"/>
      <sheetName val="UTotal Japan 350 HDQ"/>
    </sheetNames>
    <sheetDataSet>
      <sheetData sheetId="0" refreshError="1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"/>
      <sheetName val="RFQ WO"/>
      <sheetName val="Raw material cost"/>
      <sheetName val="Annealing"/>
      <sheetName val="Wire drawing"/>
      <sheetName val="Heading"/>
      <sheetName val="Tumbling"/>
      <sheetName val="Carburising"/>
      <sheetName val="HT2"/>
      <sheetName val="Product wts calc"/>
      <sheetName val="End-H"/>
      <sheetName val="10-city poi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on"/>
      <sheetName val="Site "/>
      <sheetName val="HLBQParms"/>
      <sheetName val="Sheet2"/>
      <sheetName val="Sheet3"/>
      <sheetName val="Op-Smt"/>
      <sheetName val="F-FL."/>
      <sheetName val="Factors-overall"/>
      <sheetName val="MtE+CO"/>
      <sheetName val="평가자13"/>
      <sheetName val="XX98CALB"/>
      <sheetName val="10-city points"/>
      <sheetName val="Do not print- input"/>
      <sheetName val="rcil-conso-details"/>
      <sheetName val="assumptions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on"/>
      <sheetName val="Site "/>
      <sheetName val="HLBQParms"/>
      <sheetName val="Sheet2"/>
      <sheetName val="Sheet3"/>
      <sheetName val="MtE+CO"/>
      <sheetName val="Op-Smt"/>
      <sheetName val="F-FL."/>
      <sheetName val="Factors-overall"/>
      <sheetName val="XX98CALB"/>
      <sheetName val="평가자13"/>
      <sheetName val="rcil-conso-details"/>
      <sheetName val="assumptions"/>
      <sheetName val="98 Targets wo yen sharing"/>
      <sheetName val="Workings"/>
      <sheetName val="Product wts calc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_SUMMARY"/>
      <sheetName val="PRICE SUMMARY"/>
      <sheetName val="FACTORS"/>
      <sheetName val="("/>
      <sheetName val="M1-O1-10.5GHz"/>
      <sheetName val="M1-O1-3.5GHz"/>
      <sheetName val="M1-O2-10.5GHz"/>
      <sheetName val="M1-O2-3.5GHz"/>
      <sheetName val="M2-10.5GHz"/>
      <sheetName val="M2-3.5GHz "/>
      <sheetName val=")"/>
      <sheetName val="{"/>
      <sheetName val="M1-O1-Acc10.5"/>
      <sheetName val="M1-O1-Acc3.5"/>
      <sheetName val="M1-O2-Acc10.5"/>
      <sheetName val="M1-O2-Acc3.5"/>
      <sheetName val="M2-Acc10.5"/>
      <sheetName val="M2-Acc3.5"/>
      <sheetName val="}"/>
      <sheetName val="&lt;"/>
      <sheetName val="M1-O1-EMS"/>
      <sheetName val="M1-O2-EMS"/>
      <sheetName val="M2-EMS"/>
      <sheetName val="&gt;"/>
      <sheetName val="Planning_Tool"/>
      <sheetName val="Interfaces"/>
      <sheetName val="10-city points"/>
      <sheetName val="Estimation"/>
      <sheetName val="InputSheet"/>
      <sheetName val="HLBQParms"/>
      <sheetName val="option mix"/>
      <sheetName val="define"/>
      <sheetName val="estimate"/>
      <sheetName val="98 Targets wo yen sharing"/>
      <sheetName val="Holidays"/>
      <sheetName val="MtE+CO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SMA_Rules"/>
      <sheetName val="Site Distribution"/>
      <sheetName val="Summary - NonUSD"/>
      <sheetName val="Change Control"/>
      <sheetName val="Five Year Analysis"/>
      <sheetName val="CPR - Actual Variance"/>
      <sheetName val="CPR Summary (Paste Values)"/>
      <sheetName val="CPR Site (Paste Values)"/>
      <sheetName val="CPR Central (Paste Values)"/>
      <sheetName val="External Quotes"/>
      <sheetName val="ITSC HLBQ"/>
      <sheetName val="Exel IT HLBQ"/>
      <sheetName val="Site HLBQ"/>
      <sheetName val="Assumptions"/>
      <sheetName val="Key Indices (Hide)"/>
      <sheetName val="Summary - USD"/>
      <sheetName val="Telecom HLBQ"/>
      <sheetName val="Site HLBQX"/>
      <sheetName val="GSMA_Input"/>
      <sheetName val="Site Investment"/>
      <sheetName val="Central Investment"/>
      <sheetName val="Central_Input"/>
      <sheetName val="Attachments"/>
      <sheetName val="HLBQParms"/>
      <sheetName val="fco"/>
      <sheetName val="lease proforma(Wart.)"/>
      <sheetName val="PRICE STRAT FOR 3F"/>
      <sheetName val="NM Cash SUMMARY"/>
      <sheetName val="bs"/>
      <sheetName val="Sheet2"/>
      <sheetName val="MtE+CO"/>
      <sheetName val="Drop Downs"/>
      <sheetName val="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mate"/>
      <sheetName val="QPL"/>
      <sheetName val="CEM_CONS"/>
      <sheetName val="QTY"/>
      <sheetName val="UNIT"/>
      <sheetName val="qty(cem)"/>
      <sheetName val="cementitems"/>
      <sheetName val="Factors-overall"/>
      <sheetName val="NM Cash SUMMARY"/>
      <sheetName val="Europe PU-1"/>
      <sheetName val="Grunddaten"/>
      <sheetName val="PRECAST lightconc-II"/>
      <sheetName val="Sheet2"/>
      <sheetName val="Civil Boq"/>
      <sheetName val="GBW"/>
      <sheetName val="FT_Faktor"/>
      <sheetName val="Grafikdaten"/>
      <sheetName val="Vorwärtsauswahl"/>
      <sheetName val="Tabelle1"/>
      <sheetName val="Input Data"/>
      <sheetName val="Holidays"/>
      <sheetName val="Product wts calc"/>
      <sheetName val="Facility Cost"/>
      <sheetName val="STD_EST"/>
      <sheetName val="InputSheet"/>
      <sheetName val="OP"/>
      <sheetName val="EFP"/>
      <sheetName val="PD"/>
      <sheetName val="CD"/>
      <sheetName val="Perf"/>
      <sheetName val="GSMA_Ru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(R)"/>
      <sheetName val="07-10"/>
      <sheetName val="Store Details FY08"/>
      <sheetName val="Sheet3"/>
      <sheetName val="Move (R)"/>
      <sheetName val="Jun07"/>
      <sheetName val="Exp"/>
      <sheetName val="MPBF"/>
      <sheetName val="Movements"/>
      <sheetName val="HLBQParms"/>
      <sheetName val="FACTORS"/>
      <sheetName val="MtE+CO"/>
      <sheetName val="DOH"/>
      <sheetName val="Ru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Data"/>
      <sheetName val="Estimate"/>
      <sheetName val="Implementation Plan"/>
      <sheetName val="Sheet1"/>
      <sheetName val="HLBQParms"/>
      <sheetName val="OP"/>
      <sheetName val="EFP"/>
      <sheetName val="PD"/>
      <sheetName val="CD"/>
      <sheetName val="Perf"/>
      <sheetName val="GSMA_Rules"/>
      <sheetName val="Sheet2"/>
      <sheetName val="Product wts calc"/>
      <sheetName val="input"/>
      <sheetName val="Bi_Weekly"/>
      <sheetName val="nld - assum"/>
      <sheetName val="capex-fixed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Data"/>
      <sheetName val="Estimate"/>
      <sheetName val="Implementation Plan"/>
      <sheetName val="Sheet1"/>
      <sheetName val="HLBQParms"/>
      <sheetName val="OP"/>
      <sheetName val="EFP"/>
      <sheetName val="PD"/>
      <sheetName val="CD"/>
      <sheetName val="Perf"/>
      <sheetName val="Sheet2"/>
      <sheetName val="GSMA_Rules"/>
      <sheetName val="nld - assum"/>
      <sheetName val="capex-fixed"/>
      <sheetName val="FP Rev Sum"/>
      <sheetName val="VX62 (9+3)"/>
      <sheetName val="InputSheet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 Part Bolts (Oct092006)"/>
      <sheetName val="GCN"/>
      <sheetName val="GCN2"/>
      <sheetName val="Sundram Previous Quote"/>
      <sheetName val="Bolt with EAU"/>
      <sheetName val="HLBQParms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Assume"/>
      <sheetName val="Cover"/>
      <sheetName val="Wages"/>
      <sheetName val="Maint Calc"/>
      <sheetName val="Cust Profile"/>
      <sheetName val="Profile"/>
      <sheetName val="Pricing - Accessorial"/>
      <sheetName val="Pricing Temp - Accessorial"/>
      <sheetName val="Pricing - Drop Lot Costs"/>
      <sheetName val="Pricing Temp - Drop Lot Costs"/>
      <sheetName val="Pricing - Variable Costs"/>
      <sheetName val="Pricing Temp - Variable"/>
      <sheetName val="Pricing - Fixed Costs"/>
      <sheetName val="Pricing SG&amp;A"/>
      <sheetName val="Pricing Temp - Fixed"/>
      <sheetName val="Pricing Temp - SG&amp;A"/>
      <sheetName val="Summary_Presentation"/>
      <sheetName val="Summary_Cust"/>
      <sheetName val="WLabor"/>
      <sheetName val="WPricing"/>
      <sheetName val="Summary"/>
      <sheetName val="WResource"/>
      <sheetName val="Claw Cost Est"/>
      <sheetName val="Assets"/>
      <sheetName val="IT Summary - old"/>
      <sheetName val="IT Summary"/>
      <sheetName val="WCapital"/>
      <sheetName val="WTMisc"/>
      <sheetName val="WSpace"/>
      <sheetName val="StartUp"/>
      <sheetName val="Budget"/>
      <sheetName val="Multiyear"/>
      <sheetName val="TVar"/>
      <sheetName val="TCapital"/>
      <sheetName val="TStaff"/>
      <sheetName val="TRoutes"/>
      <sheetName val="CapSum"/>
      <sheetName val="States"/>
      <sheetName val="calcs"/>
      <sheetName val="WPricelist"/>
      <sheetName val="TPriceList"/>
      <sheetName val="Version_notes"/>
      <sheetName val="Module1"/>
      <sheetName val="PRICE STRAT FOR 3F"/>
      <sheetName val="M-0003"/>
      <sheetName val="전체실적"/>
      <sheetName val="FACTORS"/>
      <sheetName val="estimate"/>
      <sheetName val="GSMA_Rules"/>
      <sheetName val="CIO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DCMenu"/>
      <sheetName val="SERDCAssume"/>
      <sheetName val="Money"/>
      <sheetName val="Input"/>
      <sheetName val="Control"/>
      <sheetName val="Rates"/>
      <sheetName val="PR40Menu"/>
      <sheetName val="PR40Assume"/>
      <sheetName val="PR40Cover"/>
      <sheetName val="PR40Op Param"/>
      <sheetName val="PR40WLabor"/>
      <sheetName val="PR40WCapital"/>
      <sheetName val="PR40WResource"/>
      <sheetName val="PR40WTMisc"/>
      <sheetName val="PR40WSpace"/>
      <sheetName val="PR40TCapital"/>
      <sheetName val="PR40Budget"/>
      <sheetName val="PR40TStaff"/>
      <sheetName val="PR40StartUp"/>
      <sheetName val="PR40TRoutes"/>
      <sheetName val="PR40TVar"/>
      <sheetName val="PR40CapSum"/>
      <sheetName val="PR40States"/>
      <sheetName val="PR40NFCInput"/>
      <sheetName val="PR40WPricelist"/>
      <sheetName val="PR40TPriceList"/>
      <sheetName val="PR40Version_notes"/>
      <sheetName val="NetOpParam"/>
      <sheetName val="SERDCCover"/>
      <sheetName val="SERDCOp Param"/>
      <sheetName val="SERDCWLabor"/>
      <sheetName val="SERDCWCapital"/>
      <sheetName val="SERDCWResource"/>
      <sheetName val="SERDCWTMisc"/>
      <sheetName val="SERDCWSpace"/>
      <sheetName val="SERDCTCapital"/>
      <sheetName val="SERDCTStaff"/>
      <sheetName val="SERDCBudget"/>
      <sheetName val="SERDCStartUp"/>
      <sheetName val="ROGMenu"/>
      <sheetName val="ROGAssume"/>
      <sheetName val="ROGCover"/>
      <sheetName val="ROGOp Param"/>
      <sheetName val="ROGWLabor"/>
      <sheetName val="ROGWCapital"/>
      <sheetName val="ROGWResource"/>
      <sheetName val="ROGWTMisc"/>
      <sheetName val="ROGWSpace"/>
      <sheetName val="ROGTCapital"/>
      <sheetName val="ROGBudget"/>
      <sheetName val="ROGTStaff"/>
      <sheetName val="ROGStartUp"/>
      <sheetName val="SPRMenu"/>
      <sheetName val="SPRAssume"/>
      <sheetName val="SPRCover"/>
      <sheetName val="SPROp Param"/>
      <sheetName val="SPRWLabor"/>
      <sheetName val="SPRWCapital"/>
      <sheetName val="SPRWResource"/>
      <sheetName val="SPRWTMisc"/>
      <sheetName val="SPRWSpace"/>
      <sheetName val="SPRTCapital"/>
      <sheetName val="SPRBudget"/>
      <sheetName val="SPRTStaff"/>
      <sheetName val="SPRStartUp"/>
      <sheetName val="WHEELMenu"/>
      <sheetName val="WHEELAssume"/>
      <sheetName val="WHEELCover"/>
      <sheetName val="WHEELOp Param"/>
      <sheetName val="WHEELWLabor"/>
      <sheetName val="WHEELWCapital"/>
      <sheetName val="WHEELWResource"/>
      <sheetName val="WHEELWTMisc"/>
      <sheetName val="WHEELWSpace"/>
      <sheetName val="WHEELTCapital"/>
      <sheetName val="WHEELBudget"/>
      <sheetName val="WHEELTStaff"/>
      <sheetName val="WHEELStartUp"/>
      <sheetName val="MENMenu"/>
      <sheetName val="MENAssume"/>
      <sheetName val="MENCover"/>
      <sheetName val="MENOp Param"/>
      <sheetName val="MENWLabor"/>
      <sheetName val="MENWCapital"/>
      <sheetName val="MENWResource"/>
      <sheetName val="MENWTMisc"/>
      <sheetName val="MENWSpace"/>
      <sheetName val="MENTCapital"/>
      <sheetName val="MENBudget"/>
      <sheetName val="MENTStaff"/>
      <sheetName val="MENStartUp"/>
      <sheetName val="PR15Menu"/>
      <sheetName val="PR15Assume"/>
      <sheetName val="PR15Cover"/>
      <sheetName val="PR15Op Param"/>
      <sheetName val="PR15WLabor"/>
      <sheetName val="PR15WCapital"/>
      <sheetName val="PR15WResource"/>
      <sheetName val="PR15WTMisc"/>
      <sheetName val="PR15WSpace"/>
      <sheetName val="PR15TCapital"/>
      <sheetName val="PR15Budget"/>
      <sheetName val="PR15TStaff"/>
      <sheetName val="PR15StartUp"/>
      <sheetName val="PR15TRoutes"/>
      <sheetName val="PR15TVar"/>
      <sheetName val="PR15CapSum"/>
      <sheetName val="PR15States"/>
      <sheetName val="PR15NFCInput"/>
      <sheetName val="PR15WPricelist"/>
      <sheetName val="PR15TPriceList"/>
      <sheetName val="PR15Version_notes"/>
      <sheetName val="MENTRoutes"/>
      <sheetName val="MENTVar"/>
      <sheetName val="MENCapSum"/>
      <sheetName val="MENStates"/>
      <sheetName val="MENNFCInput"/>
      <sheetName val="MENWPricelist"/>
      <sheetName val="MENTPriceList"/>
      <sheetName val="MENVersion_notes"/>
      <sheetName val="WHEELTRoutes"/>
      <sheetName val="WHEELTVar"/>
      <sheetName val="WHEELCapSum"/>
      <sheetName val="WHEELStates"/>
      <sheetName val="WHEELNFCInput"/>
      <sheetName val="WHEELWPricelist"/>
      <sheetName val="WHEELTPriceList"/>
      <sheetName val="WHEELVersion_notes"/>
      <sheetName val="SPRTRoutes"/>
      <sheetName val="SPRTVar"/>
      <sheetName val="SPRCapSum"/>
      <sheetName val="SPRStates"/>
      <sheetName val="SPRNFCInput"/>
      <sheetName val="SPRWPricelist"/>
      <sheetName val="SPRTPriceList"/>
      <sheetName val="SPRVersion_notes"/>
      <sheetName val="ROGTRoutes"/>
      <sheetName val="ROGTVar"/>
      <sheetName val="ROGCapSum"/>
      <sheetName val="ROGStates"/>
      <sheetName val="ROGNFCInput"/>
      <sheetName val="ROGWPricelist"/>
      <sheetName val="ROGTPriceList"/>
      <sheetName val="ROGVersion_notes"/>
      <sheetName val="CARTMenu"/>
      <sheetName val="CARTAssume"/>
      <sheetName val="CARTCover"/>
      <sheetName val="CARTOp Param"/>
      <sheetName val="CARTWLabor"/>
      <sheetName val="CARTWCapital"/>
      <sheetName val="CARTWResource"/>
      <sheetName val="CARTWTMisc"/>
      <sheetName val="CARTWSpace"/>
      <sheetName val="CARTTCapital"/>
      <sheetName val="CARTBudget"/>
      <sheetName val="CARTTStaff"/>
      <sheetName val="CARTStartUp"/>
      <sheetName val="CARTTRoutes"/>
      <sheetName val="CARTTVar"/>
      <sheetName val="CARTCapSum"/>
      <sheetName val="CARTStates"/>
      <sheetName val="CARTNFCInput"/>
      <sheetName val="CARTWPricelist"/>
      <sheetName val="CARTTPriceList"/>
      <sheetName val="CARTVersion_notes"/>
      <sheetName val="AMHMenu"/>
      <sheetName val="AMHAssume"/>
      <sheetName val="AMHCover"/>
      <sheetName val="AMHOp Param"/>
      <sheetName val="AMHWLabor"/>
      <sheetName val="AMHWCapital"/>
      <sheetName val="AMHWResource"/>
      <sheetName val="AMHWTMisc"/>
      <sheetName val="AMHWSpace"/>
      <sheetName val="AMHTCapital"/>
      <sheetName val="AMHBudget"/>
      <sheetName val="AMHTStaff"/>
      <sheetName val="AMHStartUp"/>
      <sheetName val="AMHTRoutes"/>
      <sheetName val="AMHTVar"/>
      <sheetName val="AMHCapSum"/>
      <sheetName val="AMHStates"/>
      <sheetName val="AMHNFCInput"/>
      <sheetName val="AMHWPricelist"/>
      <sheetName val="AMHTPriceList"/>
      <sheetName val="AMHVersion_notes"/>
      <sheetName val="MWRDCMenu"/>
      <sheetName val="MWRDCAssume"/>
      <sheetName val="MWRDCCover"/>
      <sheetName val="MWRDCOp Param"/>
      <sheetName val="MWRDCWLabor"/>
      <sheetName val="MWRDCWCapital"/>
      <sheetName val="MWRDCWResource"/>
      <sheetName val="MWRDCWTMisc"/>
      <sheetName val="MWRDCWSpace"/>
      <sheetName val="MWRDCTCapital"/>
      <sheetName val="MWRDCTStaff"/>
      <sheetName val="MWRDCBudget"/>
      <sheetName val="MWRDCStartUp"/>
      <sheetName val="SWRDCMenu"/>
      <sheetName val="SWRDCAssume"/>
      <sheetName val="SWRDCCover"/>
      <sheetName val="SWRDCOp Param"/>
      <sheetName val="SWRDCWLabor"/>
      <sheetName val="SWRDCWCapital"/>
      <sheetName val="SWRDCWTMisc"/>
      <sheetName val="SWRDCWResource"/>
      <sheetName val="SWRDCWSpace"/>
      <sheetName val="SWRDCTCapital"/>
      <sheetName val="SWRDCBudget"/>
      <sheetName val="SWRDCTStaff"/>
      <sheetName val="SWRDCStartUp"/>
      <sheetName val="Gaps"/>
      <sheetName val="SWRDCTRoutes"/>
      <sheetName val="SWRDCTVar"/>
      <sheetName val="SWRDCCapSum"/>
      <sheetName val="SWRDCStates"/>
      <sheetName val="SWRDCNFCInput"/>
      <sheetName val="SWRDCWPricelist"/>
      <sheetName val="SWRDCTPriceList"/>
      <sheetName val="SWRDCVersion_notes"/>
      <sheetName val="MWRDCTRoutes"/>
      <sheetName val="MWRDCTVar"/>
      <sheetName val="MWRDCCapSum"/>
      <sheetName val="MWRDCStates"/>
      <sheetName val="MWRDCNFCInput"/>
      <sheetName val="MWRDCWPricelist"/>
      <sheetName val="MWRDCTPriceList"/>
      <sheetName val="MWRDCVersion_notes"/>
      <sheetName val="SERDCTRoutes"/>
      <sheetName val="SERDCTVar"/>
      <sheetName val="SERDCCapSum"/>
      <sheetName val="SERDCStates"/>
      <sheetName val="SERDCNFCInput"/>
      <sheetName val="SERDCWPricelist"/>
      <sheetName val="SERDCTPriceList"/>
      <sheetName val="SERDCVersion_notes"/>
      <sheetName val="Module1"/>
      <sheetName val="InputSheet"/>
      <sheetName val="GSMA_Rules"/>
      <sheetName val="OP"/>
      <sheetName val="EFP"/>
      <sheetName val="PD"/>
      <sheetName val="CD"/>
      <sheetName val="Perf"/>
      <sheetName val="진행 DATA (2)"/>
      <sheetName val="J-CAR"/>
      <sheetName val="P-CAR"/>
      <sheetName val="PT개발담당"/>
      <sheetName val="PT개발총괄"/>
      <sheetName val="PT시작시험담당"/>
      <sheetName val="PT시작팀"/>
      <sheetName val="T-CAR"/>
      <sheetName val="TM설계팀"/>
      <sheetName val="U-CAR"/>
      <sheetName val="V-CAR"/>
      <sheetName val="개발계획팀"/>
      <sheetName val="개발기획팀"/>
      <sheetName val="개발시험팀"/>
      <sheetName val="기본설계팀"/>
      <sheetName val="기술개발담당"/>
      <sheetName val="기술개발본부"/>
      <sheetName val="기술관리담당"/>
      <sheetName val="기술기획총괄"/>
      <sheetName val="기술전략팀"/>
      <sheetName val="기술지원담당"/>
      <sheetName val="디젤엔진개발팀"/>
      <sheetName val="배기시험팀"/>
      <sheetName val="부품시험팀"/>
      <sheetName val="샤시설계팀"/>
      <sheetName val="선행엔진개발팀"/>
      <sheetName val="설계개발팀"/>
      <sheetName val="설계관리팀"/>
      <sheetName val="소형엔진개발팀"/>
      <sheetName val="소형제품계획팀"/>
      <sheetName val="시작1팀"/>
      <sheetName val="시작2팀"/>
      <sheetName val="시작시험담당"/>
      <sheetName val="신엔진개발팀"/>
      <sheetName val="안전시험팀"/>
      <sheetName val="엔진시험1팀"/>
      <sheetName val="엔진시험2팀"/>
      <sheetName val="연구관리팀"/>
      <sheetName val="열유체설계팀"/>
      <sheetName val="의장설계팀"/>
      <sheetName val="재료시험팀"/>
      <sheetName val="전장설계팀"/>
      <sheetName val="제어개발팀"/>
      <sheetName val="준중형제품계획팀"/>
      <sheetName val="중대형제품계획팀"/>
      <sheetName val="중형엔진개발팀"/>
      <sheetName val="차량개발총괄"/>
      <sheetName val="차량내구시험팀"/>
      <sheetName val="차량인증및특허팀"/>
      <sheetName val="차량종합평가팀"/>
      <sheetName val="차량해석팀"/>
      <sheetName val="차체설계팀"/>
      <sheetName val="M-0003"/>
      <sheetName val="estim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DCMenu"/>
      <sheetName val="SERDCAssume"/>
      <sheetName val="Money"/>
      <sheetName val="Input"/>
      <sheetName val="Control"/>
      <sheetName val="Rates"/>
      <sheetName val="PR40Menu"/>
      <sheetName val="PR40Assume"/>
      <sheetName val="PR40Cover"/>
      <sheetName val="PR40Op Param"/>
      <sheetName val="PR40WLabor"/>
      <sheetName val="PR40WCapital"/>
      <sheetName val="PR40WResource"/>
      <sheetName val="PR40WTMisc"/>
      <sheetName val="PR40WSpace"/>
      <sheetName val="PR40TCapital"/>
      <sheetName val="PR40Budget"/>
      <sheetName val="PR40TStaff"/>
      <sheetName val="PR40StartUp"/>
      <sheetName val="PR40TRoutes"/>
      <sheetName val="PR40TVar"/>
      <sheetName val="PR40CapSum"/>
      <sheetName val="PR40States"/>
      <sheetName val="PR40NFCInput"/>
      <sheetName val="PR40WPricelist"/>
      <sheetName val="PR40TPriceList"/>
      <sheetName val="PR40Version_notes"/>
      <sheetName val="NetOpParam"/>
      <sheetName val="SERDCCover"/>
      <sheetName val="SERDCOp Param"/>
      <sheetName val="SERDCWLabor"/>
      <sheetName val="SERDCWCapital"/>
      <sheetName val="SERDCWResource"/>
      <sheetName val="SERDCWTMisc"/>
      <sheetName val="SERDCWSpace"/>
      <sheetName val="SERDCTCapital"/>
      <sheetName val="SERDCTStaff"/>
      <sheetName val="SERDCBudget"/>
      <sheetName val="SERDCStartUp"/>
      <sheetName val="ROGMenu"/>
      <sheetName val="ROGAssume"/>
      <sheetName val="ROGCover"/>
      <sheetName val="ROGOp Param"/>
      <sheetName val="ROGWLabor"/>
      <sheetName val="ROGWCapital"/>
      <sheetName val="ROGWResource"/>
      <sheetName val="ROGWTMisc"/>
      <sheetName val="ROGWSpace"/>
      <sheetName val="ROGTCapital"/>
      <sheetName val="ROGBudget"/>
      <sheetName val="ROGTStaff"/>
      <sheetName val="ROGStartUp"/>
      <sheetName val="SPRMenu"/>
      <sheetName val="SPRAssume"/>
      <sheetName val="SPRCover"/>
      <sheetName val="SPROp Param"/>
      <sheetName val="SPRWLabor"/>
      <sheetName val="SPRWCapital"/>
      <sheetName val="SPRWResource"/>
      <sheetName val="SPRWTMisc"/>
      <sheetName val="SPRWSpace"/>
      <sheetName val="SPRTCapital"/>
      <sheetName val="SPRBudget"/>
      <sheetName val="SPRTStaff"/>
      <sheetName val="SPRStartUp"/>
      <sheetName val="WHEELMenu"/>
      <sheetName val="WHEELAssume"/>
      <sheetName val="WHEELCover"/>
      <sheetName val="WHEELOp Param"/>
      <sheetName val="WHEELWLabor"/>
      <sheetName val="WHEELWCapital"/>
      <sheetName val="WHEELWResource"/>
      <sheetName val="WHEELWTMisc"/>
      <sheetName val="WHEELWSpace"/>
      <sheetName val="WHEELTCapital"/>
      <sheetName val="WHEELBudget"/>
      <sheetName val="WHEELTStaff"/>
      <sheetName val="WHEELStartUp"/>
      <sheetName val="MENMenu"/>
      <sheetName val="MENAssume"/>
      <sheetName val="MENCover"/>
      <sheetName val="MENOp Param"/>
      <sheetName val="MENWLabor"/>
      <sheetName val="MENWCapital"/>
      <sheetName val="MENWResource"/>
      <sheetName val="MENWTMisc"/>
      <sheetName val="MENWSpace"/>
      <sheetName val="MENTCapital"/>
      <sheetName val="MENBudget"/>
      <sheetName val="MENTStaff"/>
      <sheetName val="MENStartUp"/>
      <sheetName val="PR15Menu"/>
      <sheetName val="PR15Assume"/>
      <sheetName val="PR15Cover"/>
      <sheetName val="PR15Op Param"/>
      <sheetName val="PR15WLabor"/>
      <sheetName val="PR15WCapital"/>
      <sheetName val="PR15WResource"/>
      <sheetName val="PR15WTMisc"/>
      <sheetName val="PR15WSpace"/>
      <sheetName val="PR15TCapital"/>
      <sheetName val="PR15Budget"/>
      <sheetName val="PR15TStaff"/>
      <sheetName val="PR15StartUp"/>
      <sheetName val="PR15TRoutes"/>
      <sheetName val="PR15TVar"/>
      <sheetName val="PR15CapSum"/>
      <sheetName val="PR15States"/>
      <sheetName val="PR15NFCInput"/>
      <sheetName val="PR15WPricelist"/>
      <sheetName val="PR15TPriceList"/>
      <sheetName val="PR15Version_notes"/>
      <sheetName val="MENTRoutes"/>
      <sheetName val="MENTVar"/>
      <sheetName val="MENCapSum"/>
      <sheetName val="MENStates"/>
      <sheetName val="MENNFCInput"/>
      <sheetName val="MENWPricelist"/>
      <sheetName val="MENTPriceList"/>
      <sheetName val="MENVersion_notes"/>
      <sheetName val="WHEELTRoutes"/>
      <sheetName val="WHEELTVar"/>
      <sheetName val="WHEELCapSum"/>
      <sheetName val="WHEELStates"/>
      <sheetName val="WHEELNFCInput"/>
      <sheetName val="WHEELWPricelist"/>
      <sheetName val="WHEELTPriceList"/>
      <sheetName val="WHEELVersion_notes"/>
      <sheetName val="SPRTRoutes"/>
      <sheetName val="SPRTVar"/>
      <sheetName val="SPRCapSum"/>
      <sheetName val="SPRStates"/>
      <sheetName val="SPRNFCInput"/>
      <sheetName val="SPRWPricelist"/>
      <sheetName val="SPRTPriceList"/>
      <sheetName val="SPRVersion_notes"/>
      <sheetName val="ROGTRoutes"/>
      <sheetName val="ROGTVar"/>
      <sheetName val="ROGCapSum"/>
      <sheetName val="ROGStates"/>
      <sheetName val="ROGNFCInput"/>
      <sheetName val="ROGWPricelist"/>
      <sheetName val="ROGTPriceList"/>
      <sheetName val="ROGVersion_notes"/>
      <sheetName val="CARTMenu"/>
      <sheetName val="CARTAssume"/>
      <sheetName val="CARTCover"/>
      <sheetName val="CARTOp Param"/>
      <sheetName val="CARTWLabor"/>
      <sheetName val="CARTWCapital"/>
      <sheetName val="CARTWResource"/>
      <sheetName val="CARTWTMisc"/>
      <sheetName val="CARTWSpace"/>
      <sheetName val="CARTTCapital"/>
      <sheetName val="CARTBudget"/>
      <sheetName val="CARTTStaff"/>
      <sheetName val="CARTStartUp"/>
      <sheetName val="CARTTRoutes"/>
      <sheetName val="CARTTVar"/>
      <sheetName val="CARTCapSum"/>
      <sheetName val="CARTStates"/>
      <sheetName val="CARTNFCInput"/>
      <sheetName val="CARTWPricelist"/>
      <sheetName val="CARTTPriceList"/>
      <sheetName val="CARTVersion_notes"/>
      <sheetName val="AMHMenu"/>
      <sheetName val="AMHAssume"/>
      <sheetName val="AMHCover"/>
      <sheetName val="AMHOp Param"/>
      <sheetName val="AMHWLabor"/>
      <sheetName val="AMHWCapital"/>
      <sheetName val="AMHWResource"/>
      <sheetName val="AMHWTMisc"/>
      <sheetName val="AMHWSpace"/>
      <sheetName val="AMHTCapital"/>
      <sheetName val="AMHBudget"/>
      <sheetName val="AMHTStaff"/>
      <sheetName val="AMHStartUp"/>
      <sheetName val="AMHTRoutes"/>
      <sheetName val="AMHTVar"/>
      <sheetName val="AMHCapSum"/>
      <sheetName val="AMHStates"/>
      <sheetName val="AMHNFCInput"/>
      <sheetName val="AMHWPricelist"/>
      <sheetName val="AMHTPriceList"/>
      <sheetName val="AMHVersion_notes"/>
      <sheetName val="MWRDCMenu"/>
      <sheetName val="MWRDCAssume"/>
      <sheetName val="MWRDCCover"/>
      <sheetName val="MWRDCOp Param"/>
      <sheetName val="MWRDCWLabor"/>
      <sheetName val="MWRDCWCapital"/>
      <sheetName val="MWRDCWResource"/>
      <sheetName val="MWRDCWTMisc"/>
      <sheetName val="MWRDCWSpace"/>
      <sheetName val="MWRDCTCapital"/>
      <sheetName val="MWRDCTStaff"/>
      <sheetName val="MWRDCBudget"/>
      <sheetName val="MWRDCStartUp"/>
      <sheetName val="SWRDCMenu"/>
      <sheetName val="SWRDCAssume"/>
      <sheetName val="SWRDCCover"/>
      <sheetName val="SWRDCOp Param"/>
      <sheetName val="SWRDCWLabor"/>
      <sheetName val="SWRDCWCapital"/>
      <sheetName val="SWRDCWTMisc"/>
      <sheetName val="SWRDCWResource"/>
      <sheetName val="SWRDCWSpace"/>
      <sheetName val="SWRDCTCapital"/>
      <sheetName val="SWRDCBudget"/>
      <sheetName val="SWRDCTStaff"/>
      <sheetName val="SWRDCStartUp"/>
      <sheetName val="Gaps"/>
      <sheetName val="SWRDCTRoutes"/>
      <sheetName val="SWRDCTVar"/>
      <sheetName val="SWRDCCapSum"/>
      <sheetName val="SWRDCStates"/>
      <sheetName val="SWRDCNFCInput"/>
      <sheetName val="SWRDCWPricelist"/>
      <sheetName val="SWRDCTPriceList"/>
      <sheetName val="SWRDCVersion_notes"/>
      <sheetName val="MWRDCTRoutes"/>
      <sheetName val="MWRDCTVar"/>
      <sheetName val="MWRDCCapSum"/>
      <sheetName val="MWRDCStates"/>
      <sheetName val="MWRDCNFCInput"/>
      <sheetName val="MWRDCWPricelist"/>
      <sheetName val="MWRDCTPriceList"/>
      <sheetName val="MWRDCVersion_notes"/>
      <sheetName val="SERDCTRoutes"/>
      <sheetName val="SERDCTVar"/>
      <sheetName val="SERDCCapSum"/>
      <sheetName val="SERDCStates"/>
      <sheetName val="SERDCNFCInput"/>
      <sheetName val="SERDCWPricelist"/>
      <sheetName val="SERDCTPriceList"/>
      <sheetName val="SERDCVersion_notes"/>
      <sheetName val="Module1"/>
      <sheetName val="GSMA_Rules"/>
      <sheetName val="InputSheet"/>
      <sheetName val="진행 DATA (2)"/>
      <sheetName val="OP"/>
      <sheetName val="EFP"/>
      <sheetName val="PD"/>
      <sheetName val="CD"/>
      <sheetName val="Perf"/>
      <sheetName val="J-CAR"/>
      <sheetName val="P-CAR"/>
      <sheetName val="PT개발담당"/>
      <sheetName val="PT개발총괄"/>
      <sheetName val="PT시작시험담당"/>
      <sheetName val="PT시작팀"/>
      <sheetName val="T-CAR"/>
      <sheetName val="TM설계팀"/>
      <sheetName val="U-CAR"/>
      <sheetName val="V-CAR"/>
      <sheetName val="개발계획팀"/>
      <sheetName val="개발기획팀"/>
      <sheetName val="개발시험팀"/>
      <sheetName val="기본설계팀"/>
      <sheetName val="기술개발담당"/>
      <sheetName val="기술개발본부"/>
      <sheetName val="기술관리담당"/>
      <sheetName val="기술기획총괄"/>
      <sheetName val="기술전략팀"/>
      <sheetName val="기술지원담당"/>
      <sheetName val="디젤엔진개발팀"/>
      <sheetName val="배기시험팀"/>
      <sheetName val="부품시험팀"/>
      <sheetName val="샤시설계팀"/>
      <sheetName val="선행엔진개발팀"/>
      <sheetName val="설계개발팀"/>
      <sheetName val="설계관리팀"/>
      <sheetName val="소형엔진개발팀"/>
      <sheetName val="소형제품계획팀"/>
      <sheetName val="시작1팀"/>
      <sheetName val="시작2팀"/>
      <sheetName val="시작시험담당"/>
      <sheetName val="신엔진개발팀"/>
      <sheetName val="안전시험팀"/>
      <sheetName val="엔진시험1팀"/>
      <sheetName val="엔진시험2팀"/>
      <sheetName val="연구관리팀"/>
      <sheetName val="열유체설계팀"/>
      <sheetName val="의장설계팀"/>
      <sheetName val="재료시험팀"/>
      <sheetName val="전장설계팀"/>
      <sheetName val="제어개발팀"/>
      <sheetName val="준중형제품계획팀"/>
      <sheetName val="중대형제품계획팀"/>
      <sheetName val="중형엔진개발팀"/>
      <sheetName val="차량개발총괄"/>
      <sheetName val="차량내구시험팀"/>
      <sheetName val="차량인증및특허팀"/>
      <sheetName val="차량종합평가팀"/>
      <sheetName val="차량해석팀"/>
      <sheetName val="차체설계팀"/>
      <sheetName val="PRICE STRAT FOR 3F"/>
      <sheetName val="estim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DCSERDCMenu"/>
      <sheetName val="SERDCAssume"/>
      <sheetName val="Invoice"/>
      <sheetName val="Rates"/>
      <sheetName val="Input"/>
      <sheetName val="NetOpParam"/>
      <sheetName val="Control"/>
      <sheetName val="SERDCCover"/>
      <sheetName val="SERDCWLabor"/>
      <sheetName val="SERDCWCapital"/>
      <sheetName val="SERDCWResource"/>
      <sheetName val="SERDCWTMisc"/>
      <sheetName val="SERDCWSpace"/>
      <sheetName val="SERDCBudget"/>
      <sheetName val="SERDCTCapital"/>
      <sheetName val="SERDCTStaff"/>
      <sheetName val="SERDCStartUp"/>
      <sheetName val="Gaps"/>
      <sheetName val="Summary"/>
      <sheetName val="MWRDCMenu"/>
      <sheetName val="MWRDCAssume"/>
      <sheetName val="MWRDCCover"/>
      <sheetName val="MWRDCWLabor"/>
      <sheetName val="MWRDCWCapital"/>
      <sheetName val="MWRDCWResource"/>
      <sheetName val="MWRDCWTMisc"/>
      <sheetName val="MWRDCWSpace"/>
      <sheetName val="MWRDCBudget"/>
      <sheetName val="MWRDCTCapital"/>
      <sheetName val="MWRDCTStaff"/>
      <sheetName val="MWRDCStartUp"/>
      <sheetName val="SWRDCMenu"/>
      <sheetName val="SWRDCAssume"/>
      <sheetName val="SWRDCCover"/>
      <sheetName val="SWRDCWLabor"/>
      <sheetName val="SWRDCWCapital"/>
      <sheetName val="SWRDCWResource"/>
      <sheetName val="SWRDCWTMisc"/>
      <sheetName val="SWRDCWSpace"/>
      <sheetName val="SWRDCBudget"/>
      <sheetName val="SWRDCTCapital"/>
      <sheetName val="SWRDCTStaff"/>
      <sheetName val="SWRDCStartUp"/>
      <sheetName val="NERDCMenu"/>
      <sheetName val="NERDCAssume"/>
      <sheetName val="NERDCCover"/>
      <sheetName val="NERDCWLabor"/>
      <sheetName val="NERDCWCapital"/>
      <sheetName val="NERDCWResource"/>
      <sheetName val="NERDCWTMisc"/>
      <sheetName val="NERDCWSpace"/>
      <sheetName val="NERDCBudget"/>
      <sheetName val="NERDCTCapital"/>
      <sheetName val="NERDCTStaff"/>
      <sheetName val="NERDCStartUp"/>
      <sheetName val="NWRDCMenu"/>
      <sheetName val="NWRDCAssume"/>
      <sheetName val="NWRDCCover"/>
      <sheetName val="NWRDCWLabor"/>
      <sheetName val="NWRDCWCapital"/>
      <sheetName val="NWRDCWResource"/>
      <sheetName val="NWRDCWTMisc"/>
      <sheetName val="NWRDCWSpace"/>
      <sheetName val="NWRDCBudget"/>
      <sheetName val="NWRDCTCapital"/>
      <sheetName val="NWRDCTStaff"/>
      <sheetName val="NWRDCStartUp"/>
      <sheetName val="LARDCMenu"/>
      <sheetName val="LARDCAssume"/>
      <sheetName val="LARDCCover"/>
      <sheetName val="LARDCWLabor"/>
      <sheetName val="LARDCWCapital"/>
      <sheetName val="LARDCWResource"/>
      <sheetName val="LARDCWTMisc"/>
      <sheetName val="LARDCWSpace"/>
      <sheetName val="LARDCBudget"/>
      <sheetName val="LARDCTCapital"/>
      <sheetName val="LARDCTStaff"/>
      <sheetName val="LARDCStartUp"/>
      <sheetName val="LARDCTRoutes"/>
      <sheetName val="LARDCTVar"/>
      <sheetName val="LARDCCapSum"/>
      <sheetName val="LARDCStates"/>
      <sheetName val="LARDCNFCInput"/>
      <sheetName val="LARDCWPricelist"/>
      <sheetName val="LARDCTPriceList"/>
      <sheetName val="LARDCVersion_notes"/>
      <sheetName val="NWRDCTRoutes"/>
      <sheetName val="NWRDCTVar"/>
      <sheetName val="NWRDCCapSum"/>
      <sheetName val="NWRDCStates"/>
      <sheetName val="NWRDCNFCInput"/>
      <sheetName val="NWRDCWPricelist"/>
      <sheetName val="NWRDCTPriceList"/>
      <sheetName val="NWRDCVersion_notes"/>
      <sheetName val="NERDCTRoutes"/>
      <sheetName val="NERDCTVar"/>
      <sheetName val="NERDCCapSum"/>
      <sheetName val="NERDCStates"/>
      <sheetName val="NERDCNFCInput"/>
      <sheetName val="NERDCWPricelist"/>
      <sheetName val="NERDCTPriceList"/>
      <sheetName val="NERDCVersion_notes"/>
      <sheetName val="SWRDCTRoutes"/>
      <sheetName val="SWRDCTVar"/>
      <sheetName val="SWRDCCapSum"/>
      <sheetName val="SWRDCStates"/>
      <sheetName val="SWRDCNFCInput"/>
      <sheetName val="SWRDCWPricelist"/>
      <sheetName val="SWRDCTPriceList"/>
      <sheetName val="SWRDCVersion_notes"/>
      <sheetName val="MWRDCTRoutes"/>
      <sheetName val="MWRDCTVar"/>
      <sheetName val="MWRDCCapSum"/>
      <sheetName val="MWRDCStates"/>
      <sheetName val="MWRDCNFCInput"/>
      <sheetName val="MWRDCWPricelist"/>
      <sheetName val="MWRDCTPriceList"/>
      <sheetName val="MWRDCVersion_notes"/>
      <sheetName val="SERDCTRoutes"/>
      <sheetName val="SERDCTVar"/>
      <sheetName val="SERDCCapSum"/>
      <sheetName val="SERDCStates"/>
      <sheetName val="SERDCNFCInput"/>
      <sheetName val="SERDCWPricelist"/>
      <sheetName val="SERDCTPriceList"/>
      <sheetName val="SERDCVersion_notes"/>
      <sheetName val="Module1"/>
      <sheetName val="estimate"/>
      <sheetName val="WLabor"/>
      <sheetName val="AMHWLabor"/>
      <sheetName val="PR15WLabor"/>
      <sheetName val="PR40WLabor"/>
      <sheetName val="ROGWLabor"/>
      <sheetName val="SPRWLabor"/>
      <sheetName val="WHEELWLabor"/>
      <sheetName val="InputSheet"/>
      <sheetName val="진행 DATA (2)"/>
      <sheetName val="Jun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DCSERDCMenu"/>
      <sheetName val="SERDCAssume"/>
      <sheetName val="Invoice"/>
      <sheetName val="Rates"/>
      <sheetName val="Input"/>
      <sheetName val="NetOpParam"/>
      <sheetName val="Control"/>
      <sheetName val="SERDCCover"/>
      <sheetName val="SERDCWLabor"/>
      <sheetName val="SERDCWCapital"/>
      <sheetName val="SERDCWResource"/>
      <sheetName val="SERDCWTMisc"/>
      <sheetName val="SERDCWSpace"/>
      <sheetName val="SERDCBudget"/>
      <sheetName val="SERDCTCapital"/>
      <sheetName val="SERDCTStaff"/>
      <sheetName val="SERDCStartUp"/>
      <sheetName val="Gaps"/>
      <sheetName val="Summary"/>
      <sheetName val="MWRDCMenu"/>
      <sheetName val="MWRDCAssume"/>
      <sheetName val="MWRDCCover"/>
      <sheetName val="MWRDCWLabor"/>
      <sheetName val="MWRDCWCapital"/>
      <sheetName val="MWRDCWResource"/>
      <sheetName val="MWRDCWTMisc"/>
      <sheetName val="MWRDCWSpace"/>
      <sheetName val="MWRDCBudget"/>
      <sheetName val="MWRDCTCapital"/>
      <sheetName val="MWRDCTStaff"/>
      <sheetName val="MWRDCStartUp"/>
      <sheetName val="SWRDCMenu"/>
      <sheetName val="SWRDCAssume"/>
      <sheetName val="SWRDCCover"/>
      <sheetName val="SWRDCWLabor"/>
      <sheetName val="SWRDCWCapital"/>
      <sheetName val="SWRDCWResource"/>
      <sheetName val="SWRDCWTMisc"/>
      <sheetName val="SWRDCWSpace"/>
      <sheetName val="SWRDCBudget"/>
      <sheetName val="SWRDCTCapital"/>
      <sheetName val="SWRDCTStaff"/>
      <sheetName val="SWRDCStartUp"/>
      <sheetName val="NERDCMenu"/>
      <sheetName val="NERDCAssume"/>
      <sheetName val="NERDCCover"/>
      <sheetName val="NERDCWLabor"/>
      <sheetName val="NERDCWCapital"/>
      <sheetName val="NERDCWResource"/>
      <sheetName val="NERDCWTMisc"/>
      <sheetName val="NERDCWSpace"/>
      <sheetName val="NERDCBudget"/>
      <sheetName val="NERDCTCapital"/>
      <sheetName val="NERDCTStaff"/>
      <sheetName val="NERDCStartUp"/>
      <sheetName val="NWRDCMenu"/>
      <sheetName val="NWRDCAssume"/>
      <sheetName val="NWRDCCover"/>
      <sheetName val="NWRDCWLabor"/>
      <sheetName val="NWRDCWCapital"/>
      <sheetName val="NWRDCWResource"/>
      <sheetName val="NWRDCWTMisc"/>
      <sheetName val="NWRDCWSpace"/>
      <sheetName val="NWRDCBudget"/>
      <sheetName val="NWRDCTCapital"/>
      <sheetName val="NWRDCTStaff"/>
      <sheetName val="NWRDCStartUp"/>
      <sheetName val="LARDCMenu"/>
      <sheetName val="LARDCAssume"/>
      <sheetName val="LARDCCover"/>
      <sheetName val="LARDCWLabor"/>
      <sheetName val="LARDCWCapital"/>
      <sheetName val="LARDCWResource"/>
      <sheetName val="LARDCWTMisc"/>
      <sheetName val="LARDCWSpace"/>
      <sheetName val="LARDCBudget"/>
      <sheetName val="LARDCTCapital"/>
      <sheetName val="LARDCTStaff"/>
      <sheetName val="LARDCStartUp"/>
      <sheetName val="LARDCTRoutes"/>
      <sheetName val="LARDCTVar"/>
      <sheetName val="LARDCCapSum"/>
      <sheetName val="LARDCStates"/>
      <sheetName val="LARDCNFCInput"/>
      <sheetName val="LARDCWPricelist"/>
      <sheetName val="LARDCTPriceList"/>
      <sheetName val="LARDCVersion_notes"/>
      <sheetName val="NWRDCTRoutes"/>
      <sheetName val="NWRDCTVar"/>
      <sheetName val="NWRDCCapSum"/>
      <sheetName val="NWRDCStates"/>
      <sheetName val="NWRDCNFCInput"/>
      <sheetName val="NWRDCWPricelist"/>
      <sheetName val="NWRDCTPriceList"/>
      <sheetName val="NWRDCVersion_notes"/>
      <sheetName val="NERDCTRoutes"/>
      <sheetName val="NERDCTVar"/>
      <sheetName val="NERDCCapSum"/>
      <sheetName val="NERDCStates"/>
      <sheetName val="NERDCNFCInput"/>
      <sheetName val="NERDCWPricelist"/>
      <sheetName val="NERDCTPriceList"/>
      <sheetName val="NERDCVersion_notes"/>
      <sheetName val="SWRDCTRoutes"/>
      <sheetName val="SWRDCTVar"/>
      <sheetName val="SWRDCCapSum"/>
      <sheetName val="SWRDCStates"/>
      <sheetName val="SWRDCNFCInput"/>
      <sheetName val="SWRDCWPricelist"/>
      <sheetName val="SWRDCTPriceList"/>
      <sheetName val="SWRDCVersion_notes"/>
      <sheetName val="MWRDCTRoutes"/>
      <sheetName val="MWRDCTVar"/>
      <sheetName val="MWRDCCapSum"/>
      <sheetName val="MWRDCStates"/>
      <sheetName val="MWRDCNFCInput"/>
      <sheetName val="MWRDCWPricelist"/>
      <sheetName val="MWRDCTPriceList"/>
      <sheetName val="MWRDCVersion_notes"/>
      <sheetName val="SERDCTRoutes"/>
      <sheetName val="SERDCTVar"/>
      <sheetName val="SERDCCapSum"/>
      <sheetName val="SERDCStates"/>
      <sheetName val="SERDCNFCInput"/>
      <sheetName val="SERDCWPricelist"/>
      <sheetName val="SERDCTPriceList"/>
      <sheetName val="SERDCVersion_notes"/>
      <sheetName val="Module1"/>
      <sheetName val="estimate"/>
      <sheetName val="WLabor"/>
      <sheetName val="InputSheet"/>
      <sheetName val="AMHWLabor"/>
      <sheetName val="PR15WLabor"/>
      <sheetName val="PR40WLabor"/>
      <sheetName val="ROGWLabor"/>
      <sheetName val="SPRWLabor"/>
      <sheetName val="WHEELWLabor"/>
      <sheetName val="진행 DATA (2)"/>
      <sheetName val="Jun07"/>
      <sheetName val="Input Data"/>
      <sheetName val="96totcst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SMA_Rules"/>
      <sheetName val="Site Distribution"/>
      <sheetName val="Summary - NonUSD"/>
      <sheetName val="Change Control"/>
      <sheetName val="Five Year Analysis"/>
      <sheetName val="CPR - Actual Variance"/>
      <sheetName val="CPR Summary (Paste Values)"/>
      <sheetName val="CPR Site (Paste Values)"/>
      <sheetName val="CPR Central (Paste Values)"/>
      <sheetName val="External Quotes"/>
      <sheetName val="ITSC HLBQ"/>
      <sheetName val="Exel IT HLBQ"/>
      <sheetName val="Site HLBQ"/>
      <sheetName val="Assumptions"/>
      <sheetName val="Key Indices (Hide)"/>
      <sheetName val="Summary - USD"/>
      <sheetName val="Telecom HLBQ"/>
      <sheetName val="Site HLBQX"/>
      <sheetName val="GSMA_Input"/>
      <sheetName val="Site Investment"/>
      <sheetName val="Central Investment"/>
      <sheetName val="Central_Input"/>
      <sheetName val="Attachments"/>
      <sheetName val="fco"/>
      <sheetName val="HLBQParms"/>
      <sheetName val="lease proforma(Wart.)"/>
      <sheetName val="PRICE STRAT FOR 3F"/>
      <sheetName val="NM Cash SUMMARY"/>
      <sheetName val="NWRDCWLabor"/>
      <sheetName val="SWRDCWLabor"/>
      <sheetName val="Input Data"/>
      <sheetName val="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C"/>
      <sheetName val="Maestro"/>
      <sheetName val="Hoja1"/>
      <sheetName val="Hoja2"/>
      <sheetName val="Inbound"/>
      <sheetName val="Jun07"/>
      <sheetName val="Macro1"/>
      <sheetName val="Input Data"/>
      <sheetName val="EQUIP U152"/>
      <sheetName val="PRICE POSI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esreqsum"/>
      <sheetName val="cover "/>
      <sheetName val="critical"/>
      <sheetName val="over all s curve"/>
      <sheetName val="ROW STATUS"/>
      <sheetName val="LINKWISE STATUS "/>
      <sheetName val="crossing detailed "/>
      <sheetName val="DETAIL SHEET"/>
      <sheetName val="Progress"/>
      <sheetName val="Const activity list"/>
      <sheetName val="NLD7000-Backup"/>
      <sheetName val="AY-202&amp;270"/>
      <sheetName val="cum"/>
      <sheetName val="SCurv"/>
      <sheetName val="synop"/>
      <sheetName val="ex&amp;mob"/>
      <sheetName val="pi chart"/>
      <sheetName val="IBR (2)"/>
      <sheetName val="NIBR (2)"/>
      <sheetName val="act"/>
      <sheetName val="factors"/>
      <sheetName val="Assumptions"/>
      <sheetName val="Input Data"/>
      <sheetName val="form (6)"/>
      <sheetName val="Sheet1"/>
      <sheetName val="LOCAL RATES"/>
      <sheetName val="PLAN_FEB97"/>
      <sheetName val="["/>
      <sheetName val="doq-10"/>
      <sheetName val="Project Budget Worksheet"/>
      <sheetName val="ikonos"/>
      <sheetName val="GRIDDING"/>
      <sheetName val="Digitisation"/>
      <sheetName val="digitisation manpwr"/>
      <sheetName val="QAQC"/>
      <sheetName val="fIELD SURVEY"/>
      <sheetName val="field manpwr"/>
      <sheetName val="edgematching"/>
      <sheetName val="Attribute "/>
      <sheetName val="LANDBASE"/>
      <sheetName val="asbuilt drgs"/>
      <sheetName val="ASBUILT GIS LANDBASE"/>
      <sheetName val="CODIFICATION"/>
      <sheetName val="wavelength"/>
      <sheetName val="Summary"/>
      <sheetName val="Temp"/>
      <sheetName val="SCURCUM"/>
      <sheetName val="Input for codification,bandwidt"/>
      <sheetName val="SCUR-PERIOD"/>
      <sheetName val="MPR_PA_1"/>
      <sheetName val="SALIENT"/>
      <sheetName val="RCC,Ret. Wall"/>
      <sheetName val="BOQ"/>
      <sheetName val="doq"/>
      <sheetName val="FORM7"/>
      <sheetName val="Cal"/>
      <sheetName val="Erection grider"/>
      <sheetName val="Voucher"/>
      <sheetName val="Macro1"/>
      <sheetName val="Input"/>
      <sheetName val="lease proforma(Wart.)"/>
      <sheetName val="Ecos(0+12)"/>
      <sheetName val="_"/>
      <sheetName val="Bolt with EAU"/>
      <sheetName val="OP"/>
      <sheetName val="EFP"/>
      <sheetName val="PD"/>
      <sheetName val="CD"/>
      <sheetName val="Perf"/>
      <sheetName val="LARDCWLabor"/>
      <sheetName val="MWRDCWLabor"/>
      <sheetName val="NERDCWLabor"/>
      <sheetName val="NWRDCWLabor"/>
      <sheetName val="SWRDCWLabor"/>
      <sheetName val="PPG_MOB2"/>
      <sheetName val="국가DATA"/>
      <sheetName val="Miscellaneous Breakdow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 (2)"/>
      <sheetName val="SUMMARY SHEET"/>
      <sheetName val="Index"/>
      <sheetName val="BalanceSheet"/>
      <sheetName val="Cash Flow Local"/>
      <sheetName val="CONSO P&amp;L REGION WISE"/>
      <sheetName val="CONSO P&amp;L"/>
      <sheetName val="Debtors Summary-Dec M"/>
      <sheetName val="Debtors Summary - Mumbai"/>
      <sheetName val="Debtors Summary-Dec C"/>
      <sheetName val="Debtors Summary- Chennai"/>
      <sheetName val="Debtors Summary - DEC (Bang)"/>
      <sheetName val="Debtors Bang"/>
      <sheetName val="Debtors Summary-Conso-Dec"/>
      <sheetName val="Debtors Ageing Conso "/>
      <sheetName val="MUMBAI P&amp;L"/>
      <sheetName val="CONSO MUMBAI"/>
      <sheetName val="CONSO MUMBAI TRANSPORT"/>
      <sheetName val="MAHAPE"/>
      <sheetName val="MAHAPE - TRNSP"/>
      <sheetName val="KANDIVILI PLANT"/>
      <sheetName val="KANDIVILI TRANSPORT"/>
      <sheetName val="KURLA PLANT"/>
      <sheetName val="KURLA TRANSPORT"/>
      <sheetName val="THANE"/>
      <sheetName val="THANE TRANSPORT"/>
      <sheetName val="PUMP - MUM"/>
      <sheetName val="MU - Clab"/>
      <sheetName val="AMBERNATH QUARRY"/>
      <sheetName val="ADMIN 1 MUMBAI"/>
      <sheetName val="ADMIN 2 MUMBAI"/>
      <sheetName val="MUMBAI REGIONAL"/>
      <sheetName val="CHENNAI P&amp;L"/>
      <sheetName val="THIRU"/>
      <sheetName val="THIRU - TRNSP"/>
      <sheetName val="CHENNAI - PUMPING"/>
      <sheetName val="CH - CLAB"/>
      <sheetName val="KEERAPAKKAM QUARRY"/>
      <sheetName val="CH - ADMIN 1"/>
      <sheetName val="CH - ADMIN 2"/>
      <sheetName val="CH - REGIONAL"/>
      <sheetName val="BANGALORE P&amp;L"/>
      <sheetName val="BANGALORE PLANT CONSO"/>
      <sheetName val="BANGALORE TRANSPORT CONSO"/>
      <sheetName val="HARLUR PLANT"/>
      <sheetName val="HARLUR TRANSPORT"/>
      <sheetName val="YELAHANKA PLANT"/>
      <sheetName val="YELAHANKA TRANSPORT"/>
      <sheetName val="BANGALORE PUMPING"/>
      <sheetName val="BANGALORE LAB"/>
      <sheetName val="HARLUR QUARRY"/>
      <sheetName val="HARLUR PRODN"/>
      <sheetName val="HARLUR QUARRY TPT"/>
      <sheetName val="YEL CRUSHER"/>
      <sheetName val="CRUSHER PRODN"/>
      <sheetName val="BANGALORE ADMIN 1"/>
      <sheetName val="BANGALORE ADMIN 2"/>
      <sheetName val="BANGALORE REGIONAL"/>
      <sheetName val="CORP 1"/>
      <sheetName val="CORP 2"/>
      <sheetName val="CORPORATE"/>
      <sheetName val="TALOJA"/>
      <sheetName val="INS MUM"/>
      <sheetName val="SALARY"/>
      <sheetName val="MUMBAI FAR"/>
      <sheetName val="CHENNAI FAR"/>
      <sheetName val="BANG FAR"/>
      <sheetName val="WORKINGS"/>
      <sheetName val="Input Data"/>
      <sheetName val="Miscellaneous Breakdown"/>
      <sheetName val="WLabor"/>
      <sheetName val="국가DATA"/>
      <sheetName val="sheet"/>
      <sheetName val="INFO"/>
      <sheetName val="NOTES "/>
      <sheetName val="Loss tracking Sheet"/>
      <sheetName val="estim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YS"/>
      <sheetName val="BS"/>
      <sheetName val="GW"/>
      <sheetName val="Head office"/>
      <sheetName val="consolidated"/>
      <sheetName val="Consolidated excl pz&amp;gw"/>
      <sheetName val="WLabor"/>
      <sheetName val="EQUIP U152"/>
      <sheetName val="PRICE POSITION"/>
      <sheetName val="SUMMARY SHEET"/>
      <sheetName val="oresreqsum"/>
      <sheetName val="국가DATA"/>
      <sheetName val="Product Info"/>
      <sheetName val="Milestones"/>
      <sheetName val="GSMA_Rules"/>
      <sheetName val="Ecos(0+12)"/>
      <sheetName val="Loss tracking Sheet"/>
      <sheetName val="mgt9900_GE (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ce List"/>
      <sheetName val="Master Price List"/>
      <sheetName val="Configurations2"/>
      <sheetName val="Config-unbundle"/>
      <sheetName val="AMHWLabor"/>
      <sheetName val="SERDCWLabor"/>
      <sheetName val="PR15WLabor"/>
      <sheetName val="PR40WLabor"/>
      <sheetName val="ROGWLabor"/>
      <sheetName val="SPRWLabor"/>
      <sheetName val="SWRDCWLabor"/>
      <sheetName val="WHEELWLabor"/>
      <sheetName val="Input"/>
      <sheetName val="Excise"/>
      <sheetName val="CARTWLabor"/>
      <sheetName val="MENWLabor"/>
      <sheetName val="MWRDCWLabor"/>
      <sheetName val="form (6)"/>
      <sheetName val="01-Master_Price_List_1-1-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ACTIVE-Nov07"/>
      <sheetName val="NEAR EXPIRY"/>
      <sheetName val="ORG"/>
      <sheetName val="CARTWLabor"/>
      <sheetName val="MENWLabor"/>
      <sheetName val="MWRDCWLabor"/>
      <sheetName val="oresreqsum"/>
      <sheetName val="Excise"/>
      <sheetName val="EQUIP U152"/>
      <sheetName val="PRICE POSITION"/>
      <sheetName val="NEAR EXP AND INACTIVE STOCK-NOV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lution Guide"/>
      <sheetName val="Cust Info"/>
      <sheetName val="Product Info"/>
      <sheetName val="Summary"/>
      <sheetName val="WM100"/>
      <sheetName val="Unison Oracle"/>
      <sheetName val="ILS.Net(Hosted)"/>
      <sheetName val="Unison"/>
      <sheetName val="WMOS"/>
      <sheetName val="Prologs"/>
      <sheetName val="Database"/>
      <sheetName val="Data_Input"/>
      <sheetName val="Data_Lookup"/>
      <sheetName val="CARTWLabor"/>
      <sheetName val="MENWLabor"/>
      <sheetName val="MWRDCWLabor"/>
      <sheetName val="DATA"/>
      <sheetName val="Solution Selection Matrix"/>
      <sheetName val="LARDCWLabor"/>
      <sheetName val="NERDCWLabor"/>
      <sheetName val="DMS_Configurator"/>
      <sheetName val="MACRO1"/>
      <sheetName val="Excise"/>
      <sheetName val="전체실적"/>
      <sheetName val="SUMMARY SHEET"/>
      <sheetName val="Input"/>
      <sheetName val="국가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.5GHz"/>
      <sheetName val="Acc_10.5"/>
      <sheetName val="EMS_10.5"/>
      <sheetName val="26GHz"/>
      <sheetName val="Acc_26"/>
      <sheetName val="EMS_26"/>
      <sheetName val="Acc_10_5"/>
      <sheetName val="FACTORS"/>
      <sheetName val="TAX INCOME"/>
      <sheetName val="LARDCWLabor"/>
      <sheetName val="MWRDCWLabor"/>
      <sheetName val="NERDCWLabor"/>
      <sheetName val="Product Info"/>
      <sheetName val="Offer_07.04.02_Ril_rev2_RTTB"/>
      <sheetName val="SUMMARY SHEET"/>
      <sheetName val="lege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MS_Configurator"/>
      <sheetName val="Data"/>
      <sheetName val="NWRDCWLabor"/>
      <sheetName val="SWRDCWLabor"/>
      <sheetName val="TOTAL"/>
      <sheetName val="Master Price List"/>
      <sheetName val="eq_comp"/>
      <sheetName val="CPIE"/>
      <sheetName val="Assumptions"/>
      <sheetName val="국가DATA"/>
      <sheetName val="Loss tracking Sheet"/>
      <sheetName val="InputSheet"/>
      <sheetName val="Capacity Inputs"/>
      <sheetName val="ORG"/>
      <sheetName val="Acc_10.5"/>
      <sheetName val="oresreqs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s to be made"/>
      <sheetName val="Assumptions"/>
      <sheetName val="Changes"/>
      <sheetName val="EPS"/>
      <sheetName val="Plan"/>
      <sheetName val="Company + Sensitivity"/>
      <sheetName val="Chart2"/>
      <sheetName val="Consolforanalysis"/>
      <sheetName val="Summary"/>
      <sheetName val="Formulation (VS)"/>
      <sheetName val="DomFom"/>
      <sheetName val="ExporTFormTotal"/>
      <sheetName val="Dream P&amp;L"/>
      <sheetName val="Sensitivity"/>
      <sheetName val="Reco-Divisions"/>
      <sheetName val="MS"/>
      <sheetName val="ZIvon"/>
      <sheetName val="EC"/>
      <sheetName val="Cognex"/>
      <sheetName val="Actis"/>
      <sheetName val="PDL"/>
      <sheetName val="nepal"/>
      <sheetName val="Glotek"/>
      <sheetName val="Cardex"/>
      <sheetName val="Carex"/>
      <sheetName val="Cadence"/>
      <sheetName val="Zeeta"/>
      <sheetName val="Biotek"/>
      <sheetName val="CMG"/>
      <sheetName val="CardexExports"/>
      <sheetName val="Exports"/>
      <sheetName val="London"/>
      <sheetName val="VFCD"/>
      <sheetName val="Highseas"/>
      <sheetName val="LD"/>
      <sheetName val="PC"/>
      <sheetName val="XL"/>
      <sheetName val="Allergan"/>
      <sheetName val="NOVADUPHA"/>
      <sheetName val="Boots"/>
      <sheetName val="CHC"/>
      <sheetName val="Tools"/>
      <sheetName val="hmcl"/>
      <sheetName val="Anant+akar+Akshay"/>
      <sheetName val="Akar"/>
      <sheetName val="Akshay"/>
      <sheetName val="Anant"/>
      <sheetName val="Others"/>
      <sheetName val="Factory P&amp;L"/>
      <sheetName val="Expiry"/>
      <sheetName val="ratios"/>
      <sheetName val="Fact OPEX"/>
      <sheetName val="Dividend"/>
      <sheetName val="CRO"/>
      <sheetName val="R&amp;D"/>
      <sheetName val="Bank_Charges"/>
      <sheetName val="G&amp;A_R&amp;D_Schedule (2)"/>
      <sheetName val="Staff Cost"/>
      <sheetName val="Other Income"/>
      <sheetName val="Graphs"/>
      <sheetName val="Base"/>
      <sheetName val="PY05"/>
      <sheetName val="PY04"/>
      <sheetName val="Linking"/>
      <sheetName val="SD"/>
      <sheetName val="MAT Value"/>
      <sheetName val="NEW PRODUCTS"/>
      <sheetName val="Idle Assets"/>
      <sheetName val="gc%"/>
      <sheetName val="Form Gorowth"/>
      <sheetName val="GARECO"/>
      <sheetName val="Salaries"/>
      <sheetName val="RP Based"/>
      <sheetName val="GSMA_Rules"/>
      <sheetName val="EXP0203"/>
      <sheetName val="Input"/>
      <sheetName val="SUMMARY SHEET"/>
      <sheetName val="Master Price List"/>
      <sheetName val="Controls"/>
      <sheetName val="J97 CKD"/>
      <sheetName val="DMS_Configurator"/>
      <sheetName val="VOLUM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Assumptions"/>
      <sheetName val="P&amp;L"/>
      <sheetName val="BS"/>
      <sheetName val="Cash Flow"/>
      <sheetName val="Calc"/>
      <sheetName val="Rough"/>
      <sheetName val="GSMA_Rules"/>
      <sheetName val="I2Ioffline"/>
      <sheetName val="Input"/>
      <sheetName val="square1"/>
      <sheetName val="FLSL FF&amp;CC Financial model_ 21 "/>
      <sheetName val="tb"/>
      <sheetName val="Retail History"/>
      <sheetName val="Price Ran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PLANTS"/>
      <sheetName val="TALSTOCKVAL"/>
      <sheetName val="BKCSTOCKVAL"/>
      <sheetName val="MAHSTOCKVAL"/>
      <sheetName val="Maestro"/>
      <sheetName val="VOLUMES"/>
      <sheetName val="DATA"/>
      <sheetName val="Financial State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mbai"/>
      <sheetName val="MUTIL&amp;BUILD-SECURE"/>
      <sheetName val="MUTIL&amp;BUILD-ELEC"/>
      <sheetName val="MUTIL&amp;BUILDCIV-BUILD"/>
      <sheetName val="MUTIL&amp;BUILD-HVAC"/>
      <sheetName val="MELECTRONICS"/>
      <sheetName val="MRACKS"/>
      <sheetName val="MKNOWHOW"/>
      <sheetName val="MMFA"/>
      <sheetName val="Bangalore"/>
      <sheetName val="Cover"/>
      <sheetName val="Index"/>
      <sheetName val="Ex summary"/>
      <sheetName val="Level 0"/>
      <sheetName val="Level2-PoP"/>
      <sheetName val="Level2-B'lore,Mum(2)"/>
      <sheetName val="Level3-Mumbai 11111111111111111"/>
      <sheetName val="Level 3 PoP22222222222222222222"/>
      <sheetName val="backup3333333333333333333333333"/>
      <sheetName val="Level 3-B'lore44444444444444444"/>
      <sheetName val="Assmpns555555555555555555555555"/>
      <sheetName val="IDC computation6666666666666666"/>
      <sheetName val="Employee costs77777777777777777"/>
      <sheetName val="Prelim and preops88888888888888"/>
      <sheetName val="oresreqsum"/>
      <sheetName val="Order PickPackDispatch"/>
      <sheetName val="Inbound Volume"/>
      <sheetName val="TOTAL"/>
      <sheetName val="BKCSTOCKVAL"/>
      <sheetName val="MAHSTOCKVAL"/>
      <sheetName val="legend"/>
      <sheetName val="Data Entry"/>
      <sheetName val="EQUIP U152"/>
      <sheetName val="PRICE 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afety"/>
      <sheetName val="CommCrv"/>
      <sheetName val="Sulphur"/>
      <sheetName val="451S"/>
      <sheetName val="452S"/>
      <sheetName val="453S"/>
      <sheetName val="Wkly-Analysis"/>
      <sheetName val="Manpower"/>
      <sheetName val="Front Analysis"/>
      <sheetName val="R-EQPT"/>
      <sheetName val="UG"/>
      <sheetName val="P&amp;M"/>
      <sheetName val="old file for cuml.plan"/>
      <sheetName val="hydrotesting"/>
      <sheetName val="Sysloops-451"/>
      <sheetName val="Sysloops-452"/>
      <sheetName val="forecast plan"/>
      <sheetName val="Concrete"/>
      <sheetName val="CONCRETE1"/>
      <sheetName val="CONCRETE2"/>
      <sheetName val="S-Curve"/>
      <sheetName val="Piping_fab"/>
      <sheetName val="UG piping"/>
      <sheetName val="Piping_instln"/>
      <sheetName val="Str_steel fab"/>
      <sheetName val="Str_steel"/>
      <sheetName val="Equipment"/>
      <sheetName val="F_heaters, Boilers"/>
      <sheetName val="Electrical"/>
      <sheetName val="Refractory"/>
      <sheetName val="Insulation"/>
      <sheetName val="Instruments"/>
      <sheetName val="Painting"/>
      <sheetName val="critical issues"/>
      <sheetName val="Wkly_Analysis"/>
      <sheetName val="SUMMARY SHEET"/>
      <sheetName val="Level 0"/>
      <sheetName val="lege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 (4)"/>
      <sheetName val="Feuil1 (3)"/>
      <sheetName val="Feuil1 (2)"/>
      <sheetName val="Feuil1"/>
      <sheetName val="Input"/>
      <sheetName val="BRAKE"/>
      <sheetName val="Level 0"/>
      <sheetName val="Key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Assumptions"/>
      <sheetName val="P&amp;L"/>
      <sheetName val="BS"/>
      <sheetName val="Cash Flow"/>
      <sheetName val="Calc"/>
      <sheetName val="Rough"/>
      <sheetName val="Master Price List"/>
      <sheetName val="군산공장추가구매"/>
      <sheetName val="Issue # and Title"/>
      <sheetName val="Arriv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sitivity "/>
      <sheetName val="General assumptions"/>
      <sheetName val="cost of service"/>
      <sheetName val="Assumptions-Wireline"/>
      <sheetName val="CDMA-Assumptions"/>
      <sheetName val="NLD - Assum"/>
      <sheetName val="Assumptions &amp; workings-RICL"/>
      <sheetName val="Scope of project"/>
      <sheetName val="Usage &amp; Tariff Wireline"/>
      <sheetName val="Market share"/>
      <sheetName val="Summary Capex"/>
      <sheetName val="CDMA-Capex prices"/>
      <sheetName val="CDMA-CAPEX"/>
      <sheetName val="CDMA working"/>
      <sheetName val="Reliance subs"/>
      <sheetName val="Capex-Wired"/>
      <sheetName val="Staff-fixed"/>
      <sheetName val="Wireline-working"/>
      <sheetName val="P&amp;L-Wireline"/>
      <sheetName val="NLD working"/>
      <sheetName val="NLD - P&amp;L"/>
      <sheetName val="RCL-P&amp;L"/>
      <sheetName val="RIC P&amp; L"/>
      <sheetName val="Summary biz plan"/>
      <sheetName val="RCPL EV"/>
      <sheetName val="EV-WLL"/>
      <sheetName val="EV-FIXED"/>
      <sheetName val="EV-NLD"/>
      <sheetName val="RICL EV"/>
      <sheetName val="Product Info"/>
      <sheetName val="Summary"/>
      <sheetName val="Plannings DV4TD"/>
      <sheetName val="Assumptions"/>
      <sheetName val="RCL_dec25"/>
      <sheetName val="ORG"/>
      <sheetName val="BRAKE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Changes"/>
      <sheetName val="EPS"/>
      <sheetName val="Company + Sensitivity"/>
      <sheetName val="Chart2"/>
      <sheetName val="Summary"/>
      <sheetName val="Formulation (VS)"/>
      <sheetName val="DomFom"/>
      <sheetName val="ExporTFormTotal"/>
      <sheetName val="Dream P&amp;L"/>
      <sheetName val="Sensitivity"/>
      <sheetName val="Reco-Divisions"/>
      <sheetName val="MS"/>
      <sheetName val="ZIvon"/>
      <sheetName val="EC"/>
      <sheetName val="Cognex"/>
      <sheetName val="Actis"/>
      <sheetName val="PDL"/>
      <sheetName val="nepal"/>
      <sheetName val="Glotek"/>
      <sheetName val="Cardex"/>
      <sheetName val="Carex"/>
      <sheetName val="Cadence"/>
      <sheetName val="Zeeta"/>
      <sheetName val="Biotek"/>
      <sheetName val="CardexExports"/>
      <sheetName val="CMG"/>
      <sheetName val="Exports"/>
      <sheetName val="VFCD"/>
      <sheetName val="Highseas"/>
      <sheetName val="London"/>
      <sheetName val="LD"/>
      <sheetName val="PC"/>
      <sheetName val="XL"/>
      <sheetName val="Allergan"/>
      <sheetName val="NOVADUPHA"/>
      <sheetName val="Boots"/>
      <sheetName val="CHC"/>
      <sheetName val="Tools"/>
      <sheetName val="hmcl"/>
      <sheetName val="Anant+akar+Akshay"/>
      <sheetName val="Akar"/>
      <sheetName val="Akshay"/>
      <sheetName val="Anant"/>
      <sheetName val="Others"/>
      <sheetName val="Factory P&amp;L"/>
      <sheetName val="Expiry"/>
      <sheetName val="ratios"/>
      <sheetName val="Fact OPEX"/>
      <sheetName val="Dividend"/>
      <sheetName val="CRO"/>
      <sheetName val="R&amp;D"/>
      <sheetName val="G&amp;A_R&amp;D_Schedule (2)"/>
      <sheetName val="Staff Cost"/>
      <sheetName val="Other Income"/>
      <sheetName val="Graphs"/>
      <sheetName val="Base"/>
      <sheetName val="PY05"/>
      <sheetName val="PY04"/>
      <sheetName val="Linking"/>
      <sheetName val="SD"/>
      <sheetName val="MAT Value"/>
      <sheetName val="NEW PRODUCTS"/>
      <sheetName val="Idle Assets"/>
      <sheetName val="gc%"/>
      <sheetName val="Form Gorowth"/>
      <sheetName val="GARECO"/>
      <sheetName val="Salaries"/>
      <sheetName val="RP Based"/>
      <sheetName val="Consol"/>
      <sheetName val="Product Info"/>
      <sheetName val="General Settings"/>
      <sheetName val="Consolidation File version 3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lf 1 plus 3"/>
      <sheetName val="Fixed lines"/>
      <sheetName val="Equipment"/>
      <sheetName val="Sheet1"/>
      <sheetName val="Cost summary"/>
      <sheetName val="Acc_10.5"/>
      <sheetName val="SAP Codes"/>
      <sheetName val="month"/>
      <sheetName val="RCTL-SCH"/>
      <sheetName val="TREAD"/>
      <sheetName val="Level 0"/>
      <sheetName val="Dashboard"/>
      <sheetName val="Feuil1"/>
      <sheetName val="M"/>
      <sheetName val="~000388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Navigator"/>
      <sheetName val="Manpower"/>
      <sheetName val="Capex"/>
      <sheetName val="Infra"/>
      <sheetName val="Electrification"/>
      <sheetName val="Running Cost"/>
      <sheetName val="Customer Volume Information"/>
      <sheetName val="Start-up Cost"/>
      <sheetName val="Final Cost"/>
      <sheetName val="DPWN Investment Model Link"/>
      <sheetName val="Project Summary (2)"/>
      <sheetName val="Manpower Summary"/>
      <sheetName val="Asset Summary"/>
      <sheetName val="Overall Summary"/>
      <sheetName val="Project Value"/>
      <sheetName val="Locations, Rent, Manpower"/>
      <sheetName val="Weighted Rates"/>
      <sheetName val="ManpowerCode"/>
      <sheetName val="Names"/>
      <sheetName val="Dashboard"/>
      <sheetName val="Tables"/>
      <sheetName val="INPUTS"/>
      <sheetName val="DMS_Configurator"/>
      <sheetName val="Database"/>
      <sheetName val="Plannings DV4TD"/>
      <sheetName val="Issue # and Title"/>
      <sheetName val="Drop Downs"/>
      <sheetName val="ACTION LOG POI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harti-PL"/>
      <sheetName val="Bharti-BS"/>
      <sheetName val="Bharti-Businesswise"/>
      <sheetName val="MIS"/>
      <sheetName val="MIS -work"/>
      <sheetName val="Business wise BS"/>
      <sheetName val="Business wise PL"/>
      <sheetName val="RIC-CFLOW-NEW"/>
      <sheetName val="RIC-Businesswise BS"/>
      <sheetName val="RIC-MIS"/>
      <sheetName val="RIC-Businesswise PL"/>
      <sheetName val="RCIL-CFLOW-NEW "/>
      <sheetName val="Infocomm Grp BS"/>
      <sheetName val="intercompany"/>
      <sheetName val="Infocomm Grp PL"/>
      <sheetName val="Sum"/>
      <sheetName val="Index"/>
      <sheetName val="RCIL-Dec04"/>
      <sheetName val="RCIL Analysis"/>
      <sheetName val="RCIL-cover "/>
      <sheetName val="RCIL-BS Work"/>
      <sheetName val="RCIL-PL Work"/>
      <sheetName val="RCIL-Extl"/>
      <sheetName val="RCIL-BS"/>
      <sheetName val="RCIL-P&amp;L"/>
      <sheetName val="RCIL-Adjt"/>
      <sheetName val="RCIL-cf"/>
      <sheetName val="RCIL-Sch"/>
      <sheetName val="RIC-Sch"/>
      <sheetName val="RCIL-FA Sch"/>
      <sheetName val="RCIL-Policy"/>
      <sheetName val="RCIL - Notes (New)"/>
      <sheetName val="RCIL-Notes"/>
      <sheetName val="RCIL-related"/>
      <sheetName val="RCTL-BS"/>
      <sheetName val="RCTL-P &amp; L"/>
      <sheetName val="RCTL-SCH"/>
      <sheetName val="RCTL-BS Work"/>
      <sheetName val="RCTL-PL Work"/>
      <sheetName val="RCTL-Adjt"/>
      <sheetName val="RCTL-FA SCH"/>
      <sheetName val="RCTL-Policy"/>
      <sheetName val="RCTL - Notes"/>
      <sheetName val="RCRL-BS"/>
      <sheetName val="RCRL-P &amp; L"/>
      <sheetName val="RCRL-BS Work"/>
      <sheetName val="RCRL-PL Work"/>
      <sheetName val="RCRL-Sch"/>
      <sheetName val="RCRL-Adj"/>
      <sheetName val="RCRL-Policy"/>
      <sheetName val="RCRL-Notes"/>
      <sheetName val="RIC-Ext Det"/>
      <sheetName val="RIC-cover"/>
      <sheetName val="RIC-MAR 05"/>
      <sheetName val="RIC-P &amp; L"/>
      <sheetName val="RIC-BS"/>
      <sheetName val="RIC-BS Work"/>
      <sheetName val="RIC-PL Work"/>
      <sheetName val="RIC-Adj"/>
      <sheetName val="RIC-FA Sch"/>
      <sheetName val="RIC-CFlow"/>
      <sheetName val="Infocomm-FA"/>
      <sheetName val="RWSL-FA"/>
      <sheetName val="GSIL-SLM"/>
      <sheetName val="RIC-Segment"/>
      <sheetName val="RIC-Policy"/>
      <sheetName val="RIC-Notes"/>
      <sheetName val="BS RSOLU"/>
      <sheetName val="P &amp; L  RSOLU"/>
      <sheetName val="BS Work  RSOLU"/>
      <sheetName val="PL Work RSOLU"/>
      <sheetName val="Sch RSOLU"/>
      <sheetName val="Policy RSOLU"/>
      <sheetName val="Notes RSOLU"/>
      <sheetName val="FA Sch RSOLU"/>
      <sheetName val="Adj RSOLU"/>
      <sheetName val="BS RIIL"/>
      <sheetName val="P &amp; L  RIIL"/>
      <sheetName val="PL Work RIIL"/>
      <sheetName val="BS Work  RIIL"/>
      <sheetName val="Sch RIIL"/>
      <sheetName val="Adj RIIL"/>
      <sheetName val="Segment RIIL"/>
      <sheetName val="Policy RIIL"/>
      <sheetName val="FA Sch RIIL"/>
      <sheetName val="Notes RIIL"/>
      <sheetName val="CFlow RIIL"/>
      <sheetName val="FA PARADOX"/>
      <sheetName val="FA NIS"/>
      <sheetName val="BS RI BV"/>
      <sheetName val="BS Work  RI BV INR"/>
      <sheetName val="P &amp; L  RI BV"/>
      <sheetName val="Sch RI BV"/>
      <sheetName val="PL Work RI BV INR"/>
      <sheetName val="Reco - CTR"/>
      <sheetName val="Adj RI BV INR"/>
      <sheetName val="PL Work RI BV USD"/>
      <sheetName val="BS Work  RI BV USD"/>
      <sheetName val="Adj RI BV USD"/>
      <sheetName val="FA Sch RI BV"/>
      <sheetName val="FA RII"/>
      <sheetName val="FA RCI"/>
      <sheetName val="FA HK"/>
      <sheetName val="FA UK"/>
      <sheetName val="FA RNI"/>
      <sheetName val="BS RGNL"/>
      <sheetName val="P &amp; L  RGNL"/>
      <sheetName val="RGNL-Segment"/>
      <sheetName val="Adj RGNL"/>
      <sheetName val="BS Work  RGNL"/>
      <sheetName val="PL Work  RGNL"/>
      <sheetName val="RGNL-FA Sch"/>
      <sheetName val="Sch RGNL"/>
      <sheetName val="FLAG FA Sch"/>
      <sheetName val="RGNL-Policy"/>
      <sheetName val="RGNL-Notes"/>
      <sheetName val="BS GSIL"/>
      <sheetName val="P &amp; L GSIL"/>
      <sheetName val="Sch GSIL"/>
      <sheetName val="FA GSIL WDV"/>
      <sheetName val="BS Work GSIL"/>
      <sheetName val="PL Work  GSIL"/>
      <sheetName val="Adj GSIL"/>
      <sheetName val="Policy GSIL"/>
      <sheetName val="Notes GSIL"/>
      <sheetName val="BS NRL"/>
      <sheetName val="P &amp; L  NRL"/>
      <sheetName val="Sch NRL"/>
      <sheetName val="Adj NRL"/>
      <sheetName val="Policy NRL"/>
      <sheetName val="Notes NRL"/>
      <sheetName val="BS Work  NRL"/>
      <sheetName val="PL Work NRL"/>
      <sheetName val="Exchange rate"/>
      <sheetName val="RCTL_SCH"/>
      <sheetName val="assumptions"/>
      <sheetName val="Article"/>
      <sheetName val="WORKINGS"/>
      <sheetName val="SEPT"/>
      <sheetName val="SAP Codes"/>
      <sheetName val="U"/>
      <sheetName val="Tarifa"/>
      <sheetName val="Summary"/>
      <sheetName val="Wkly-Analysis"/>
      <sheetName val="Plannings DV4TD"/>
      <sheetName val="Sheet2"/>
      <sheetName val="I2Ioffline"/>
      <sheetName val="NLD - Assum"/>
      <sheetName val="Equip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m"/>
      <sheetName val="Glossary"/>
      <sheetName val="Assmpns"/>
      <sheetName val="Voice revenue-intercircle -quar"/>
      <sheetName val="Mkt extrapolation"/>
      <sheetName val="Voice revenue-intercircle"/>
      <sheetName val="Voice revenue-intracircle"/>
      <sheetName val=" BW sale-IDCs"/>
      <sheetName val="BW sale-FSPs"/>
      <sheetName val="BW sale-CSP"/>
      <sheetName val="P&amp;L"/>
      <sheetName val="Tax"/>
      <sheetName val="Fund requirement"/>
      <sheetName val="Capex"/>
      <sheetName val="Normal capex"/>
      <sheetName val="E1 calcn"/>
      <sheetName val="Depn  SLM"/>
      <sheetName val="Depn WDV"/>
      <sheetName val="Opex"/>
      <sheetName val="Working Capital"/>
      <sheetName val="Debt schedule"/>
      <sheetName val="Cash Flow"/>
      <sheetName val="Balance Sheet"/>
      <sheetName val="IRR"/>
      <sheetName val="BKCSTOCKVAL"/>
      <sheetName val="MAHSTOCKVAL"/>
      <sheetName val="month"/>
      <sheetName val="NOVCONSMNTPT"/>
      <sheetName val="NLD - Assum"/>
      <sheetName val="spool"/>
      <sheetName val="Equipment"/>
      <sheetName val="Calc1"/>
      <sheetName val="Achievements_Highlights "/>
      <sheetName val="MTTR-Headend"/>
      <sheetName val="PM_Action "/>
      <sheetName val="Headend Provisioning Report"/>
      <sheetName val="PE Status"/>
      <sheetName val="Inventory"/>
      <sheetName val="Major Events "/>
      <sheetName val="Crtitical Issues"/>
      <sheetName val="RIP"/>
      <sheetName val="Fault Statistics"/>
      <sheetName val="SA faults-Headend "/>
      <sheetName val="Ageing_Pending_ CLeared"/>
      <sheetName val="Fault Cleared After 24Hrs"/>
      <sheetName val="Quote Sereno"/>
      <sheetName val="Boq"/>
      <sheetName val="Rate An"/>
      <sheetName val="BHANDUP"/>
      <sheetName val="RA-markate"/>
      <sheetName val="RCTL-SCH"/>
      <sheetName val="DETAIL SHEET"/>
      <sheetName val="RCIL-P&amp;L"/>
      <sheetName val="군산공장추가구매"/>
      <sheetName val="BRAKE"/>
      <sheetName val="Sheet1"/>
      <sheetName val="DETAIL STATUS"/>
      <sheetName val="Tables"/>
      <sheetName val="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Datos"/>
      <sheetName val="Tarifa"/>
      <sheetName val="Level 0"/>
      <sheetName val="DETAIL STATUS"/>
      <sheetName val="NOVCONSMNTPT"/>
      <sheetName val="BKCSTOCKVAL"/>
      <sheetName val="MAHSTOCKVAL"/>
      <sheetName val="debt schedule"/>
      <sheetName val="#REF"/>
      <sheetName val="Programa_facturacion_tpte"/>
      <sheetName val="Feuil1"/>
      <sheetName val="RCIL-P&amp;L"/>
      <sheetName val="SAP Cod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over all s curve"/>
      <sheetName val="CritIssues"/>
      <sheetName val="DETAIL SHEET"/>
      <sheetName val="ANALYSIS SHEET"/>
      <sheetName val="CONCERNS"/>
      <sheetName val="Performance Para"/>
      <sheetName val="Total Subs"/>
      <sheetName val="Call Attempts"/>
      <sheetName val="MOU"/>
      <sheetName val="MOU_Subscriber"/>
      <sheetName val="CSR (RIM-RIM)"/>
      <sheetName val="CSR (LEX)"/>
      <sheetName val="CSR (TAX)"/>
      <sheetName val="CSR (Others)"/>
      <sheetName val="Call Setup Success"/>
      <sheetName val="RF Failure Rate"/>
      <sheetName val="Dropped Call Rate"/>
      <sheetName val="Summary"/>
      <sheetName val="North"/>
      <sheetName val="East"/>
      <sheetName val="West"/>
      <sheetName val="South "/>
      <sheetName val="A-General"/>
      <sheetName val="Wkly-Analysis"/>
      <sheetName val="AN_Input"/>
      <sheetName val="BKCSTOCKVAL"/>
      <sheetName val="MAHSTOCKVA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 (2)"/>
      <sheetName val="Sheet1"/>
      <sheetName val="Sheet2"/>
      <sheetName val="Sheet3"/>
      <sheetName val="#REF"/>
      <sheetName val="_REF"/>
      <sheetName val="WACC_VDF"/>
      <sheetName val="STI"/>
      <sheetName val="Feuil1"/>
      <sheetName val="PF1"/>
      <sheetName val="Program Support"/>
      <sheetName val="Level 0"/>
      <sheetName val="BASIC SAL CALCULATION"/>
      <sheetName val="CBS"/>
      <sheetName val="DETAIL STATUS"/>
      <sheetName val="Assmp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vil Boq"/>
      <sheetName val="Calculations"/>
      <sheetName val="List"/>
      <sheetName val="Pre-cast"/>
      <sheetName val="Tablexxxxx"/>
      <sheetName val="Consolidado"/>
      <sheetName val="Nordeste"/>
      <sheetName val="CfyBs"/>
      <sheetName val="debt schedule"/>
      <sheetName val="Input"/>
      <sheetName val="Assumptions"/>
      <sheetName val="#REF"/>
      <sheetName val="ANALYSIS"/>
      <sheetName val="SPT vs PHI"/>
      <sheetName val="std.wt."/>
      <sheetName val="Pile cap"/>
      <sheetName val="RA-markate"/>
      <sheetName val="Material "/>
      <sheetName val="Pur"/>
      <sheetName val="Summary"/>
      <sheetName val="Chandrawal -1"/>
      <sheetName val="policies"/>
      <sheetName val="BOQ"/>
      <sheetName val="HDD"/>
      <sheetName val="Works"/>
      <sheetName val="FUSION"/>
      <sheetName val="OFC-Design"/>
      <sheetName val="PCS"/>
      <sheetName val="ETC"/>
      <sheetName val="Guide VAT_ED_Credit"/>
      <sheetName val="JTS"/>
      <sheetName val="AMC &amp; O&amp;M"/>
      <sheetName val="JTS Costing"/>
      <sheetName val="Instructions"/>
      <sheetName val="moments-table(tri)"/>
      <sheetName val="conc-foot-gradeslab"/>
      <sheetName val="floor slab-RS2"/>
      <sheetName val="General Summary"/>
      <sheetName val="PRECAST lightconc-II"/>
      <sheetName val="Design"/>
      <sheetName val="THK"/>
      <sheetName val="switch"/>
      <sheetName val="BOQ_Direct_selling cost"/>
      <sheetName val="dummy"/>
      <sheetName val="E1"/>
      <sheetName val="Civil_Boq"/>
      <sheetName val="149"/>
      <sheetName val="+X &amp; -X DIR PRE"/>
      <sheetName val="Staff Forecast spread"/>
      <sheetName val="Civil_Boq1"/>
      <sheetName val="SPT_vs_PHI"/>
      <sheetName val="std_wt_"/>
      <sheetName val="Pile_cap"/>
      <sheetName val="Material_"/>
      <sheetName val="Chandrawal_-1"/>
      <sheetName val="Guide_VAT_ED_Credit"/>
      <sheetName val="AMC_&amp;_O&amp;M"/>
      <sheetName val="JTS_Costing"/>
      <sheetName val="PIpe Pushing"/>
      <sheetName val="Break up Sheet"/>
      <sheetName val="sept-plan"/>
      <sheetName val="d-safe specs"/>
      <sheetName val="RES-PLANNING"/>
      <sheetName val="Pay_Sep06"/>
      <sheetName val="Legal Risk Analysis"/>
      <sheetName val="COLUMN"/>
      <sheetName val="Abstract Sheet"/>
      <sheetName val="MainSheet"/>
      <sheetName val="1.01 (a)"/>
      <sheetName val="Sheet4"/>
      <sheetName val="Main-Material"/>
      <sheetName val="Footings"/>
      <sheetName val="13. Steel - Ratio"/>
      <sheetName val="girder"/>
      <sheetName val="WPR-IV"/>
      <sheetName val="Labour productivity"/>
      <sheetName val="DETAIL SHEET"/>
      <sheetName val="GBW"/>
      <sheetName val="shuttering"/>
      <sheetName val="FORM7"/>
      <sheetName val="2.1 受電設備棟"/>
      <sheetName val="2.2 受・防火水槽"/>
      <sheetName val="2.3 排水処理設備棟"/>
      <sheetName val="2.4 倉庫棟"/>
      <sheetName val="2.5 守衛棟"/>
      <sheetName val="Balance sheet"/>
      <sheetName val="TASKRSRC (2)"/>
      <sheetName val="TARGET"/>
      <sheetName val="BASELINE"/>
      <sheetName val="spool"/>
      <sheetName val="Supplier"/>
      <sheetName val="CABLE DATA"/>
      <sheetName val="INPUT SHEET"/>
      <sheetName val="Extra Item"/>
      <sheetName val="Fill this out first..."/>
      <sheetName val="Lead"/>
      <sheetName val="Labour &amp; Plant"/>
      <sheetName val="Project Budget Worksheet"/>
      <sheetName val="organi synthesis lab"/>
      <sheetName val="UNIT2"/>
      <sheetName val="Notes"/>
      <sheetName val="V.O.4 - PCC Qty"/>
      <sheetName val="Field Values"/>
      <sheetName val="TBAL9697 -group wise  sdpl"/>
      <sheetName val="BOQ -II ph 2"/>
      <sheetName val="Detail"/>
      <sheetName val="Fin Sum"/>
      <sheetName val="PointNo.5"/>
      <sheetName val="Sheet1"/>
      <sheetName val="1st and 4th flight"/>
      <sheetName val="RCC,Ret. Wall"/>
      <sheetName val="BOQ fire proofing"/>
      <sheetName val="P&amp;L-BDMC"/>
      <sheetName val="T1037 Entire School"/>
      <sheetName val="d-safe DELUXE"/>
      <sheetName val="RMZ Summary"/>
      <sheetName val="Employee List"/>
      <sheetName val="p&amp;m"/>
      <sheetName val="LABOUR"/>
      <sheetName val="Vehicles"/>
      <sheetName val="VCH-SLC"/>
      <sheetName val="except wiring"/>
      <sheetName val="3cd Annexure"/>
      <sheetName val="Plant Cost"/>
      <sheetName val="STAFFSCHED "/>
      <sheetName val="dBase"/>
      <sheetName val="PRECAST lightconc_II"/>
      <sheetName val="Voucher"/>
      <sheetName val="Basement Budget"/>
      <sheetName val="IO LIST"/>
      <sheetName val="Costing"/>
      <sheetName val="Aseet1998"/>
      <sheetName val="PC Master List"/>
      <sheetName val="Storage"/>
      <sheetName val="foot"/>
      <sheetName val="3-3(750)"/>
      <sheetName val="Calc1"/>
      <sheetName val="RECAPITULATION"/>
      <sheetName val="cubes_M20"/>
      <sheetName val="Cal"/>
      <sheetName val="Data"/>
      <sheetName val="Boiler&amp;TG"/>
      <sheetName val="Cover sheet"/>
      <sheetName val="Construction"/>
      <sheetName val="WWR"/>
      <sheetName val="Equipment"/>
      <sheetName val="ORDER BOOKING"/>
      <sheetName val="AOR"/>
      <sheetName val=" "/>
      <sheetName val="BOQ Distribution"/>
      <sheetName val="purpose&amp;input"/>
      <sheetName val="Rate analysis"/>
      <sheetName val="labour coeff"/>
      <sheetName val="Macro1"/>
      <sheetName val="COST"/>
      <sheetName val="Site wise NADs"/>
      <sheetName val="Sheet3"/>
      <sheetName val="Sheet2"/>
      <sheetName val="LANGUAGE"/>
      <sheetName val="tower"/>
      <sheetName val="x-items"/>
      <sheetName val="BOQ_Direct_selling_cost"/>
      <sheetName val="Staff_Forecast_spread"/>
      <sheetName val="floor_slab-RS2"/>
      <sheetName val="PRECAST_lightconc-II"/>
      <sheetName val="PIpe_Pushing"/>
      <sheetName val="d-safe_specs"/>
      <sheetName val="Labour_productivity"/>
      <sheetName val="BOQ (2)"/>
      <sheetName val="main"/>
      <sheetName val="Site Dev BOQ"/>
      <sheetName val="10. &amp; 11. Rate Code &amp; BQ"/>
      <sheetName val="Names&amp;Cases"/>
      <sheetName val="Scope Reconciliation"/>
      <sheetName val="analysis-superstructure"/>
      <sheetName val="loadcal"/>
      <sheetName val="Current Bill MB ref"/>
      <sheetName val="NT LBH"/>
      <sheetName val="Desgn(zone I)"/>
      <sheetName val="Summary_Bank"/>
      <sheetName val="Non-Factory"/>
      <sheetName val="Electrical"/>
      <sheetName val="Build-up"/>
      <sheetName val="Calc_ISC"/>
      <sheetName val="AK-Offertstammblatt"/>
      <sheetName val="Tender Summary"/>
      <sheetName val="BOQ_SERENO"/>
      <sheetName val="T&amp;M"/>
      <sheetName val="M.S."/>
      <sheetName val="INPUT_SHEET"/>
      <sheetName val="@Risk Inputs"/>
      <sheetName val="Intro."/>
      <sheetName val="Wire"/>
      <sheetName val="Block A - BOQ"/>
      <sheetName val="Project Details.."/>
      <sheetName val="Top Line - WWW"/>
      <sheetName val="Staff Acco."/>
      <sheetName val="Publicbuilding"/>
      <sheetName val="Activity Costing Breakup"/>
      <sheetName val="Unit Rate(CIS)"/>
      <sheetName val="Conc Analysis"/>
      <sheetName val="Basic "/>
      <sheetName val="Back-UP IRA (CIS)"/>
      <sheetName val="Precast IRA"/>
      <sheetName val="Precast IRA Backup"/>
      <sheetName val="Precast RA"/>
      <sheetName val="Depreciation Calc"/>
      <sheetName val="Mat_Cost"/>
      <sheetName val="b.s.-p.l.-sch."/>
      <sheetName val="Factors"/>
      <sheetName val="Fee Rate Summary"/>
      <sheetName val="beam-reinft"/>
      <sheetName val="final abstract"/>
      <sheetName val="Summary year Plan"/>
      <sheetName val="BOQ "/>
      <sheetName val="Flooring"/>
      <sheetName val="ELEC_BOQ"/>
      <sheetName val="SC revtrgt"/>
      <sheetName val="Mat &amp; Lab Rate"/>
      <sheetName val="BS Schdl- 1 &amp; 2"/>
      <sheetName val="Invoice"/>
      <sheetName val="POI_MASTER_1"/>
      <sheetName val="Calc"/>
      <sheetName val="master"/>
      <sheetName val="nglrpt042964858"/>
      <sheetName val="Trial Bal"/>
      <sheetName val="目录"/>
      <sheetName val="Detailed Summary (5)"/>
      <sheetName val="Final Summary"/>
      <sheetName val="MTTR-Headend"/>
      <sheetName val="PM_Action "/>
      <sheetName val="PE Status"/>
      <sheetName val="Inventory"/>
      <sheetName val="Major Events "/>
      <sheetName val="Crtitical Issues"/>
      <sheetName val="RIP"/>
      <sheetName val="Fault Statistics"/>
      <sheetName val="Ageing_Pending_ CLeared"/>
      <sheetName val="Fault Cleared After 24Hrs"/>
      <sheetName val="RA_EIL"/>
      <sheetName val="RA_MKT_QUOTE"/>
      <sheetName val="CFForecast detail"/>
      <sheetName val="Assmpns"/>
      <sheetName val="월선수금"/>
      <sheetName val="OHT_Abs"/>
      <sheetName val="Cul_detail"/>
      <sheetName val="Risk &amp; Opportunities"/>
      <sheetName val="radar"/>
      <sheetName val="E &amp; R"/>
      <sheetName val="lookups"/>
      <sheetName val="L3"/>
      <sheetName val="st"/>
      <sheetName val="Chandrawal_-11"/>
      <sheetName val="Guide_VAT_ED_Credit1"/>
      <sheetName val="AMC_&amp;_O&amp;M1"/>
      <sheetName val="JTS_Costing1"/>
      <sheetName val="SPT_vs_PHI1"/>
      <sheetName val="std_wt_1"/>
      <sheetName val="Material_1"/>
      <sheetName val="Pile_cap1"/>
      <sheetName val="d-safe_specs1"/>
      <sheetName val="CABLE_DATA"/>
      <sheetName val="Section Catalogue"/>
      <sheetName val="rev 01"/>
      <sheetName val="Table10"/>
      <sheetName val="Table11"/>
      <sheetName val="Table12"/>
      <sheetName val="Table9"/>
      <sheetName val="3"/>
      <sheetName val="HEAD"/>
      <sheetName val="Cashflow projection"/>
      <sheetName val="M.R.List (2)"/>
      <sheetName val="General_Summary"/>
      <sheetName val="BOQ_fire_proofing"/>
      <sheetName val="Civil_Boq2"/>
      <sheetName val="General_Summary1"/>
      <sheetName val="BOQ_fire_proofing1"/>
      <sheetName val="floor_slab-RS21"/>
      <sheetName val="BOQ_Direct_selling_cost1"/>
      <sheetName val="PRECAST_lightconc-II1"/>
      <sheetName val="+X_&amp;_-X_DIR_PRE"/>
      <sheetName val="Staff_Forecast_spread1"/>
      <sheetName val="PIpe_Pushing1"/>
      <sheetName val="Break_up_Sheet"/>
      <sheetName val="1_01_(a)"/>
      <sheetName val="13__Steel_-_Ratio"/>
      <sheetName val="Labour_productivity1"/>
      <sheetName val="2_1_受電設備棟"/>
      <sheetName val="2_2_受・防火水槽"/>
      <sheetName val="2_3_排水処理設備棟"/>
      <sheetName val="2_4_倉庫棟"/>
      <sheetName val="2_5_守衛棟"/>
      <sheetName val="Balance_sheet"/>
      <sheetName val="Legal_Risk_Analysis"/>
      <sheetName val="Abstract_Sheet"/>
      <sheetName val="DETAIL_SHEET"/>
      <sheetName val="TASKRSRC_(2)"/>
      <sheetName val="Extra_Item"/>
      <sheetName val="Fill_this_out_first___"/>
      <sheetName val="Labour_&amp;_Plant"/>
      <sheetName val="Project_Budget_Worksheet"/>
      <sheetName val="organi_synthesis_lab"/>
      <sheetName val="V_O_4_-_PCC_Qty"/>
      <sheetName val="Field_Values"/>
      <sheetName val="TBAL9697_-group_wise__sdpl"/>
      <sheetName val="BOQ_-II_ph_2"/>
      <sheetName val="Fin_Sum"/>
      <sheetName val="PointNo_5"/>
      <sheetName val="RCC,Ret__Wall"/>
      <sheetName val="T1037_Entire_School"/>
      <sheetName val="d-safe_DELUXE"/>
      <sheetName val="RMZ_Summary"/>
      <sheetName val="Employee_List"/>
      <sheetName val="1st_and_4th_flight"/>
      <sheetName val="Plant_Cost"/>
      <sheetName val="except_wiring"/>
      <sheetName val="3cd_Annexure"/>
      <sheetName val="Intro_"/>
      <sheetName val="ORDER_BOOKING"/>
      <sheetName val="STAFFSCHED_"/>
      <sheetName val="PRECAST_lightconc_II"/>
      <sheetName val="Basement_Budget"/>
      <sheetName val="IO_LIST"/>
      <sheetName val="Site_wise_NADs"/>
      <sheetName val="PC_Master_List"/>
      <sheetName val="10__&amp;_11__Rate_Code_&amp;_BQ"/>
      <sheetName val="labour_coeff"/>
      <sheetName val="Scope_Reconciliation"/>
      <sheetName val="_"/>
      <sheetName val="BOQ_(2)"/>
      <sheetName val="Site_Dev_BOQ"/>
      <sheetName val="Current_Bill_MB_ref"/>
      <sheetName val="NT_LBH"/>
      <sheetName val="Rate_analysis"/>
      <sheetName val="@Risk_Inputs"/>
      <sheetName val="Depreciation_Calc"/>
      <sheetName val="b_s_-p_l_-sch_"/>
      <sheetName val="1_Project_Profile"/>
      <sheetName val="Global factors"/>
      <sheetName val="Sheet 1"/>
      <sheetName val="CLform"/>
      <sheetName val="FORM-W3"/>
      <sheetName val="Wordsdata"/>
      <sheetName val="sq ftg detail"/>
      <sheetName val="lookup"/>
      <sheetName val="R.A"/>
      <sheetName val="Purlin(7m)"/>
      <sheetName val="IS3370"/>
      <sheetName val="IS456"/>
      <sheetName val="DG3285"/>
      <sheetName val="RANGE"/>
      <sheetName val="Indices"/>
      <sheetName val="GUT"/>
      <sheetName val="KH-Q1,Q2,01"/>
      <sheetName val="Abstract - Single Line"/>
      <sheetName val="Material Rate"/>
      <sheetName val=" WORKING"/>
      <sheetName val="inWords"/>
      <sheetName val="RateAnalysis"/>
      <sheetName val="Approved MTD Proj #'s"/>
      <sheetName val="COMP WALL"/>
      <sheetName val="환율"/>
      <sheetName val="Register"/>
      <sheetName val="INPUT_SHEET1"/>
      <sheetName val="SC_revtrgt"/>
      <sheetName val="Cover_sheet"/>
      <sheetName val="Fee_Rate_Summary"/>
      <sheetName val="Tender_Summary"/>
      <sheetName val="Activity_Costing_Breakup"/>
      <sheetName val="Unit_Rate(CIS)"/>
      <sheetName val="Conc_Analysis"/>
      <sheetName val="Basic_"/>
      <sheetName val="Back-UP_IRA_(CIS)"/>
      <sheetName val="Precast_IRA"/>
      <sheetName val="Precast_IRA_Backup"/>
      <sheetName val="Precast_RA"/>
      <sheetName val="Summary_year_Plan"/>
      <sheetName val="Desgn(zone_I)"/>
      <sheetName val="Project_Details__"/>
      <sheetName val="Top_Line_-_WWW"/>
      <sheetName val="Staff_Acco_"/>
      <sheetName val="Trial_Bal"/>
      <sheetName val="Detailed_Summary_(5)"/>
      <sheetName val="Block_A_-_BOQ"/>
      <sheetName val="M_S_"/>
      <sheetName val="Final_Summary"/>
      <sheetName val="Civil_Boq3"/>
      <sheetName val="SPT_vs_PHI2"/>
      <sheetName val="std_wt_2"/>
      <sheetName val="Material_2"/>
      <sheetName val="Chandrawal_-12"/>
      <sheetName val="Guide_VAT_ED_Credit2"/>
      <sheetName val="AMC_&amp;_O&amp;M2"/>
      <sheetName val="JTS_Costing2"/>
      <sheetName val="Pile_cap2"/>
      <sheetName val="BOQ_Direct_selling_cost2"/>
      <sheetName val="Staff_Forecast_spread2"/>
      <sheetName val="floor_slab-RS22"/>
      <sheetName val="+X_&amp;_-X_DIR_PRE1"/>
      <sheetName val="PIpe_Pushing2"/>
      <sheetName val="Break_up_Sheet1"/>
      <sheetName val="PRECAST_lightconc-II2"/>
      <sheetName val="d-safe_specs2"/>
      <sheetName val="Labour_productivity2"/>
      <sheetName val="13__Steel_-_Ratio1"/>
      <sheetName val="2_1_受電設備棟1"/>
      <sheetName val="2_2_受・防火水槽1"/>
      <sheetName val="2_3_排水処理設備棟1"/>
      <sheetName val="2_4_倉庫棟1"/>
      <sheetName val="2_5_守衛棟1"/>
      <sheetName val="Abstract_Sheet1"/>
      <sheetName val="Plant_Cost1"/>
      <sheetName val="DETAIL_SHEET1"/>
      <sheetName val="CABLE_DATA1"/>
      <sheetName val="INPUT_SHEET2"/>
      <sheetName val="Extra_Item1"/>
      <sheetName val="Fill_this_out_first___1"/>
      <sheetName val="Labour_&amp;_Plant1"/>
      <sheetName val="Project_Budget_Worksheet1"/>
      <sheetName val="TASKRSRC_(2)1"/>
      <sheetName val="organi_synthesis_lab1"/>
      <sheetName val="Legal_Risk_Analysis1"/>
      <sheetName val="V_O_4_-_PCC_Qty1"/>
      <sheetName val="Field_Values1"/>
      <sheetName val="TBAL9697_-group_wise__sdpl1"/>
      <sheetName val="BOQ_-II_ph_21"/>
      <sheetName val="PointNo_51"/>
      <sheetName val="1_01_(a)1"/>
      <sheetName val="d-safe_DELUXE1"/>
      <sheetName val="Site_wise_NADs1"/>
      <sheetName val="T1037_Entire_School1"/>
      <sheetName val="PC_Master_List1"/>
      <sheetName val="Balance_sheet1"/>
      <sheetName val="SC_revtrgt1"/>
      <sheetName val="Fin_Sum1"/>
      <sheetName val="RCC,Ret__Wall1"/>
      <sheetName val="_1"/>
      <sheetName val="RMZ_Summary1"/>
      <sheetName val="Employee_List1"/>
      <sheetName val="STAFFSCHED_1"/>
      <sheetName val="PRECAST_lightconc_II1"/>
      <sheetName val="Basement_Budget1"/>
      <sheetName val="IO_LIST1"/>
      <sheetName val="ORDER_BOOKING1"/>
      <sheetName val="except_wiring1"/>
      <sheetName val="3cd_Annexure1"/>
      <sheetName val="BOQ_(2)1"/>
      <sheetName val="Site_Dev_BOQ1"/>
      <sheetName val="1st_and_4th_flight1"/>
      <sheetName val="Cover_sheet1"/>
      <sheetName val="labour_coeff1"/>
      <sheetName val="Fee_Rate_Summary1"/>
      <sheetName val="Rate_analysis1"/>
      <sheetName val="Tender_Summary1"/>
      <sheetName val="10__&amp;_11__Rate_Code_&amp;_BQ1"/>
      <sheetName val="Scope_Reconciliation1"/>
      <sheetName val="Current_Bill_MB_ref1"/>
      <sheetName val="NT_LBH1"/>
      <sheetName val="Activity_Costing_Breakup1"/>
      <sheetName val="Unit_Rate(CIS)1"/>
      <sheetName val="Conc_Analysis1"/>
      <sheetName val="Basic_1"/>
      <sheetName val="Back-UP_IRA_(CIS)1"/>
      <sheetName val="Precast_IRA1"/>
      <sheetName val="Precast_IRA_Backup1"/>
      <sheetName val="Precast_RA1"/>
      <sheetName val="Summary_year_Plan1"/>
      <sheetName val="Desgn(zone_I)1"/>
      <sheetName val="Project_Details__1"/>
      <sheetName val="Top_Line_-_WWW1"/>
      <sheetName val="Depreciation_Calc1"/>
      <sheetName val="Staff_Acco_1"/>
      <sheetName val="Trial_Bal1"/>
      <sheetName val="Detailed_Summary_(5)1"/>
      <sheetName val="Block_A_-_BOQ1"/>
      <sheetName val="b_s_-p_l_-sch_1"/>
      <sheetName val="M_S_1"/>
      <sheetName val="Final_Summary1"/>
      <sheetName val="Database"/>
      <sheetName val="Direct cost shed A-2 "/>
      <sheetName val="Micro"/>
      <sheetName val="Macro"/>
      <sheetName val="Scaff-Rose"/>
      <sheetName val="RFP002"/>
      <sheetName val="Control"/>
      <sheetName val="seT"/>
      <sheetName val="Controls"/>
      <sheetName val="mem-property"/>
      <sheetName val="Final Bill of Material"/>
      <sheetName val="AR"/>
      <sheetName val="Analy_7-10"/>
      <sheetName val="Rate An"/>
      <sheetName val="Sub-str."/>
      <sheetName val="Variation Statement"/>
      <sheetName val="Cd"/>
      <sheetName val="Cs"/>
      <sheetName val="CPIPE"/>
      <sheetName val="CPIPE 1"/>
      <sheetName val="PurchGroup"/>
      <sheetName val="Basic Resources"/>
      <sheetName val="Column Bracket"/>
      <sheetName val="Data-Month"/>
      <sheetName val="Sqn_Abs _G_1"/>
      <sheetName val="Inter unit set off"/>
      <sheetName val="Cor_01Br6_8"/>
      <sheetName val="India F&amp;S Template"/>
      <sheetName val="BOQ-Part1"/>
      <sheetName val="final_abstract"/>
      <sheetName val="BS_Schdl-_1_&amp;_2"/>
      <sheetName val="PM_Action_"/>
      <sheetName val="PE_Status"/>
      <sheetName val="Major_Events_"/>
      <sheetName val="Crtitical_Issues"/>
      <sheetName val="Fault_Statistics"/>
      <sheetName val="Ageing_Pending__CLeared"/>
      <sheetName val="Fault_Cleared_After_24Hrs"/>
      <sheetName val="BOQ_"/>
      <sheetName val="Risk_&amp;_Opportunities"/>
      <sheetName val="E_&amp;_R"/>
      <sheetName val="Mat_&amp;_Lab_Rate"/>
      <sheetName val="CFForecast_detail"/>
      <sheetName val="BOQ_Distribution"/>
      <sheetName val="sq_ftg_detail"/>
      <sheetName val="Sheet_1"/>
      <sheetName val="9. Package split - Cost "/>
      <sheetName val="SPT_vs_PHI3"/>
      <sheetName val="std_wt_3"/>
      <sheetName val="Material_3"/>
      <sheetName val="Chandrawal_-13"/>
      <sheetName val="Guide_VAT_ED_Credit3"/>
      <sheetName val="AMC_&amp;_O&amp;M3"/>
      <sheetName val="JTS_Costing3"/>
      <sheetName val="Pile_cap3"/>
      <sheetName val="d-safe_specs3"/>
      <sheetName val="CABLE_DATA2"/>
      <sheetName val="@Risk_Inputs1"/>
      <sheetName val="final_abstract1"/>
      <sheetName val="BS_Schdl-_1_&amp;_21"/>
      <sheetName val="PM_Action_1"/>
      <sheetName val="PE_Status1"/>
      <sheetName val="Major_Events_1"/>
      <sheetName val="Story Drift-Part 2"/>
      <sheetName val="Performance Report"/>
      <sheetName val="Generic Sum"/>
      <sheetName val="Equpt"/>
      <sheetName val="Pay Rec"/>
      <sheetName val="Certificate"/>
      <sheetName val="Advice"/>
      <sheetName val="Int(Ho con &amp; LH)"/>
      <sheetName val="civil"/>
      <sheetName val="keyword"/>
      <sheetName val="UNIT WT LIST"/>
      <sheetName val="Sheet7"/>
      <sheetName val="Rising Main"/>
      <sheetName val="Rob. elektr."/>
      <sheetName val="SILICATE"/>
      <sheetName val="Civil_Boq4"/>
      <sheetName val="BOQ_Direct_selling_cost3"/>
      <sheetName val="Staff_Forecast_spread3"/>
      <sheetName val="floor_slab-RS23"/>
      <sheetName val="General_Summary2"/>
      <sheetName val="+X_&amp;_-X_DIR_PRE2"/>
      <sheetName val="PIpe_Pushing3"/>
      <sheetName val="Break_up_Sheet2"/>
      <sheetName val="PRECAST_lightconc-II3"/>
      <sheetName val="Labour_productivity3"/>
      <sheetName val="13__Steel_-_Ratio2"/>
      <sheetName val="2_1_受電設備棟2"/>
      <sheetName val="2_2_受・防火水槽2"/>
      <sheetName val="2_3_排水処理設備棟2"/>
      <sheetName val="2_4_倉庫棟2"/>
      <sheetName val="2_5_守衛棟2"/>
      <sheetName val="Abstract_Sheet2"/>
      <sheetName val="Plant_Cost2"/>
      <sheetName val="DETAIL_SHEET2"/>
      <sheetName val="INPUT_SHEET3"/>
      <sheetName val="Extra_Item2"/>
      <sheetName val="Fill_this_out_first___2"/>
      <sheetName val="Labour_&amp;_Plant2"/>
      <sheetName val="Project_Budget_Worksheet2"/>
      <sheetName val="TASKRSRC_(2)2"/>
      <sheetName val="organi_synthesis_lab2"/>
      <sheetName val="Legal_Risk_Analysis2"/>
      <sheetName val="V_O_4_-_PCC_Qty2"/>
      <sheetName val="Field_Values2"/>
      <sheetName val="TBAL9697_-group_wise__sdpl2"/>
      <sheetName val="BOQ_-II_ph_22"/>
      <sheetName val="PointNo_52"/>
      <sheetName val="1_01_(a)2"/>
      <sheetName val="d-safe_DELUXE2"/>
      <sheetName val="Site_wise_NADs2"/>
      <sheetName val="T1037_Entire_School2"/>
      <sheetName val="PC_Master_List2"/>
      <sheetName val="Balance_sheet2"/>
      <sheetName val="OVER HEADS"/>
      <sheetName val="Crtitical_Issues1"/>
      <sheetName val="Fault_Statistics1"/>
      <sheetName val="Ageing_Pending__CLeared1"/>
      <sheetName val="Fault_Cleared_After_24Hrs1"/>
      <sheetName val="BOQ_1"/>
      <sheetName val="Risk_&amp;_Opportunities1"/>
      <sheetName val="E_&amp;_R1"/>
      <sheetName val="Mat_&amp;_Lab_Rate1"/>
      <sheetName val="CFForecast_detail1"/>
      <sheetName val="Intro_1"/>
      <sheetName val="BOQ_Distribution1"/>
      <sheetName val="sq_ftg_detail1"/>
      <sheetName val="Sheet_11"/>
      <sheetName val="SPT_vs_PHI4"/>
      <sheetName val="std_wt_4"/>
      <sheetName val="Material_4"/>
      <sheetName val="Chandrawal_-14"/>
      <sheetName val="Guide_VAT_ED_Credit4"/>
      <sheetName val="AMC_&amp;_O&amp;M4"/>
      <sheetName val="JTS_Costing4"/>
      <sheetName val="Pile_cap4"/>
      <sheetName val="d-safe_specs4"/>
      <sheetName val="CABLE_DATA3"/>
      <sheetName val="Fin_Sum2"/>
      <sheetName val="RMZ_Summary2"/>
      <sheetName val="Employee_List2"/>
      <sheetName val="BOQ_fire_proofing2"/>
      <sheetName val="RCC,Ret__Wall2"/>
      <sheetName val="STAFFSCHED_2"/>
      <sheetName val="PRECAST_lightconc_II2"/>
      <sheetName val="Basement_Budget2"/>
      <sheetName val="IO_LIST2"/>
      <sheetName val="ORDER_BOOKING2"/>
      <sheetName val="except_wiring2"/>
      <sheetName val="3cd_Annexure2"/>
      <sheetName val="labour_coeff2"/>
      <sheetName val="10__&amp;_11__Rate_Code_&amp;_BQ2"/>
      <sheetName val="Scope_Reconciliation2"/>
      <sheetName val="_2"/>
      <sheetName val="BOQ_(2)2"/>
      <sheetName val="Site_Dev_BOQ2"/>
      <sheetName val="Current_Bill_MB_ref2"/>
      <sheetName val="NT_LBH2"/>
      <sheetName val="Desgn(zone_I)2"/>
      <sheetName val="1st_and_4th_flight2"/>
      <sheetName val="Cover_sheet2"/>
      <sheetName val="Tender_Summary2"/>
      <sheetName val="Depreciation_Calc2"/>
      <sheetName val="Project_Details__2"/>
      <sheetName val="Top_Line_-_WWW2"/>
      <sheetName val="Activity_Costing_Breakup2"/>
      <sheetName val="Unit_Rate(CIS)2"/>
      <sheetName val="Conc_Analysis2"/>
      <sheetName val="Basic_2"/>
      <sheetName val="Back-UP_IRA_(CIS)2"/>
      <sheetName val="Precast_IRA2"/>
      <sheetName val="Precast_IRA_Backup2"/>
      <sheetName val="Precast_RA2"/>
      <sheetName val="Staff_Acco_2"/>
      <sheetName val="Block_A_-_BOQ2"/>
      <sheetName val="b_s_-p_l_-sch_2"/>
      <sheetName val="M_S_2"/>
      <sheetName val="Rate_analysis2"/>
      <sheetName val="Fee_Rate_Summary2"/>
      <sheetName val="@Risk_Inputs2"/>
      <sheetName val="final_abstract2"/>
      <sheetName val="BS_Schdl-_1_&amp;_22"/>
      <sheetName val="Summary_year_Plan2"/>
      <sheetName val="SC_revtrgt2"/>
      <sheetName val="PM_Action_2"/>
      <sheetName val="PE_Status2"/>
      <sheetName val="Major_Events_2"/>
      <sheetName val="Crtitical_Issues2"/>
      <sheetName val="Fault_Statistics2"/>
      <sheetName val="Ageing_Pending__CLeared2"/>
      <sheetName val="Fault_Cleared_After_24Hrs2"/>
      <sheetName val="BOQ_2"/>
      <sheetName val="Risk_&amp;_Opportunities2"/>
      <sheetName val="E_&amp;_R2"/>
      <sheetName val="Mat_&amp;_Lab_Rate2"/>
      <sheetName val="CFForecast_detail2"/>
      <sheetName val="Intro_2"/>
      <sheetName val="BOQ_Distribution2"/>
      <sheetName val="Trial_Bal2"/>
      <sheetName val="Detailed_Summary_(5)2"/>
      <sheetName val="Final_Summary2"/>
      <sheetName val="sq_ftg_detail2"/>
      <sheetName val="Sheet_12"/>
      <sheetName val="Civil_Boq5"/>
      <sheetName val="SPT_vs_PHI5"/>
      <sheetName val="std_wt_5"/>
      <sheetName val="Material_5"/>
      <sheetName val="Chandrawal_-15"/>
      <sheetName val="Guide_VAT_ED_Credit5"/>
      <sheetName val="AMC_&amp;_O&amp;M5"/>
      <sheetName val="JTS_Costing5"/>
      <sheetName val="Pile_cap5"/>
      <sheetName val="BOQ_Direct_selling_cost4"/>
      <sheetName val="Staff_Forecast_spread4"/>
      <sheetName val="floor_slab-RS24"/>
      <sheetName val="General_Summary3"/>
      <sheetName val="+X_&amp;_-X_DIR_PRE3"/>
      <sheetName val="PIpe_Pushing4"/>
      <sheetName val="d-safe_specs5"/>
      <sheetName val="Break_up_Sheet3"/>
      <sheetName val="13__Steel_-_Ratio3"/>
      <sheetName val="PRECAST_lightconc-II4"/>
      <sheetName val="Labour_productivity4"/>
      <sheetName val="TASKRSRC_(2)3"/>
      <sheetName val="CABLE_DATA4"/>
      <sheetName val="INPUT_SHEET4"/>
      <sheetName val="Extra_Item3"/>
      <sheetName val="Fill_this_out_first___3"/>
      <sheetName val="Labour_&amp;_Plant3"/>
      <sheetName val="Project_Budget_Worksheet3"/>
      <sheetName val="Abstract_Sheet3"/>
      <sheetName val="Legal_Risk_Analysis3"/>
      <sheetName val="V_O_4_-_PCC_Qty3"/>
      <sheetName val="Field_Values3"/>
      <sheetName val="TBAL9697_-group_wise__sdpl3"/>
      <sheetName val="BOQ_-II_ph_23"/>
      <sheetName val="DETAIL_SHEET3"/>
      <sheetName val="organi_synthesis_lab3"/>
      <sheetName val="Fin_Sum3"/>
      <sheetName val="2_1_受電設備棟3"/>
      <sheetName val="2_2_受・防火水槽3"/>
      <sheetName val="2_3_排水処理設備棟3"/>
      <sheetName val="2_4_倉庫棟3"/>
      <sheetName val="2_5_守衛棟3"/>
      <sheetName val="PointNo_53"/>
      <sheetName val="1_01_(a)3"/>
      <sheetName val="T1037_Entire_School3"/>
      <sheetName val="RMZ_Summary3"/>
      <sheetName val="d-safe_DELUXE3"/>
      <sheetName val="Employee_List3"/>
      <sheetName val="Balance_sheet3"/>
      <sheetName val="BOQ_fire_proofing3"/>
      <sheetName val="RCC,Ret__Wall3"/>
      <sheetName val="Plant_Cost3"/>
      <sheetName val="STAFFSCHED_3"/>
      <sheetName val="PRECAST_lightconc_II3"/>
      <sheetName val="Basement_Budget3"/>
      <sheetName val="IO_LIST3"/>
      <sheetName val="PC_Master_List3"/>
      <sheetName val="ORDER_BOOKING3"/>
      <sheetName val="except_wiring3"/>
      <sheetName val="3cd_Annexure3"/>
      <sheetName val="labour_coeff3"/>
      <sheetName val="10__&amp;_11__Rate_Code_&amp;_BQ3"/>
      <sheetName val="Scope_Reconciliation3"/>
      <sheetName val="_3"/>
      <sheetName val="BOQ_(2)3"/>
      <sheetName val="Site_Dev_BOQ3"/>
      <sheetName val="Current_Bill_MB_ref3"/>
      <sheetName val="NT_LBH3"/>
      <sheetName val="Desgn(zone_I)3"/>
      <sheetName val="1st_and_4th_flight3"/>
      <sheetName val="Cover_sheet3"/>
      <sheetName val="Site_wise_NADs3"/>
      <sheetName val="Tender_Summary3"/>
      <sheetName val="Depreciation_Calc3"/>
      <sheetName val="Project_Details__3"/>
      <sheetName val="Top_Line_-_WWW3"/>
      <sheetName val="Activity_Costing_Breakup3"/>
      <sheetName val="Unit_Rate(CIS)3"/>
      <sheetName val="Conc_Analysis3"/>
      <sheetName val="Basic_3"/>
      <sheetName val="Back-UP_IRA_(CIS)3"/>
      <sheetName val="Precast_IRA3"/>
      <sheetName val="Precast_IRA_Backup3"/>
      <sheetName val="Precast_RA3"/>
      <sheetName val="Staff_Acco_3"/>
      <sheetName val="Block_A_-_BOQ3"/>
      <sheetName val="b_s_-p_l_-sch_3"/>
      <sheetName val="M_S_3"/>
      <sheetName val="Rate_analysis3"/>
      <sheetName val="Fee_Rate_Summary3"/>
      <sheetName val="@Risk_Inputs3"/>
      <sheetName val="final_abstract3"/>
      <sheetName val="BS_Schdl-_1_&amp;_23"/>
      <sheetName val="Summary_year_Plan3"/>
      <sheetName val="SC_revtrgt3"/>
      <sheetName val="PM_Action_3"/>
      <sheetName val="PE_Status3"/>
      <sheetName val="Major_Events_3"/>
      <sheetName val="Crtitical_Issues3"/>
      <sheetName val="Fault_Statistics3"/>
      <sheetName val="Ageing_Pending__CLeared3"/>
      <sheetName val="Fault_Cleared_After_24Hrs3"/>
      <sheetName val="BOQ_3"/>
      <sheetName val="Risk_&amp;_Opportunities3"/>
      <sheetName val="E_&amp;_R3"/>
      <sheetName val="Mat_&amp;_Lab_Rate3"/>
      <sheetName val="CFForecast_detail3"/>
      <sheetName val="Intro_3"/>
      <sheetName val="BOQ_Distribution3"/>
      <sheetName val="Trial_Bal3"/>
      <sheetName val="Detailed_Summary_(5)3"/>
      <sheetName val="Final_Summary3"/>
      <sheetName val="sq_ftg_detail3"/>
      <sheetName val="Sheet_13"/>
      <sheetName val="Civil_Boq6"/>
      <sheetName val="SPT_vs_PHI6"/>
      <sheetName val="std_wt_6"/>
      <sheetName val="Material_6"/>
      <sheetName val="Chandrawal_-16"/>
      <sheetName val="Guide_VAT_ED_Credit6"/>
      <sheetName val="AMC_&amp;_O&amp;M6"/>
      <sheetName val="JTS_Costing6"/>
      <sheetName val="Pile_cap6"/>
      <sheetName val="BOQ_Direct_selling_cost5"/>
      <sheetName val="Staff_Forecast_spread5"/>
      <sheetName val="floor_slab-RS25"/>
      <sheetName val="General_Summary4"/>
      <sheetName val="+X_&amp;_-X_DIR_PRE4"/>
      <sheetName val="PIpe_Pushing5"/>
      <sheetName val="d-safe_specs6"/>
      <sheetName val="Break_up_Sheet4"/>
      <sheetName val="13__Steel_-_Ratio4"/>
      <sheetName val="PRECAST_lightconc-II5"/>
      <sheetName val="Labour_productivity5"/>
      <sheetName val="TASKRSRC_(2)4"/>
      <sheetName val="CABLE_DATA5"/>
      <sheetName val="INPUT_SHEET5"/>
      <sheetName val="Extra_Item4"/>
      <sheetName val="Fill_this_out_first___4"/>
      <sheetName val="Labour_&amp;_Plant4"/>
      <sheetName val="Project_Budget_Worksheet4"/>
      <sheetName val="Abstract_Sheet4"/>
      <sheetName val="Legal_Risk_Analysis4"/>
      <sheetName val="V_O_4_-_PCC_Qty4"/>
      <sheetName val="Field_Values4"/>
      <sheetName val="TBAL9697_-group_wise__sdpl4"/>
      <sheetName val="BOQ_-II_ph_24"/>
      <sheetName val="DETAIL_SHEET4"/>
      <sheetName val="organi_synthesis_lab4"/>
      <sheetName val="Fin_Sum4"/>
      <sheetName val="2_1_受電設備棟4"/>
      <sheetName val="2_2_受・防火水槽4"/>
      <sheetName val="2_3_排水処理設備棟4"/>
      <sheetName val="2_4_倉庫棟4"/>
      <sheetName val="2_5_守衛棟4"/>
      <sheetName val="PointNo_54"/>
      <sheetName val="1_01_(a)4"/>
      <sheetName val="T1037_Entire_School4"/>
      <sheetName val="RMZ_Summary4"/>
      <sheetName val="d-safe_DELUXE4"/>
      <sheetName val="Employee_List4"/>
      <sheetName val="Balance_sheet4"/>
      <sheetName val="BOQ_fire_proofing4"/>
      <sheetName val="RCC,Ret__Wall4"/>
      <sheetName val="Plant_Cost4"/>
      <sheetName val="STAFFSCHED_4"/>
      <sheetName val="PRECAST_lightconc_II4"/>
      <sheetName val="Basement_Budget4"/>
      <sheetName val="IO_LIST4"/>
      <sheetName val="PC_Master_List4"/>
      <sheetName val="ORDER_BOOKING4"/>
      <sheetName val="except_wiring4"/>
      <sheetName val="3cd_Annexure4"/>
      <sheetName val="labour_coeff4"/>
      <sheetName val="10__&amp;_11__Rate_Code_&amp;_BQ4"/>
      <sheetName val="Scope_Reconciliation4"/>
      <sheetName val="_4"/>
      <sheetName val="BOQ_(2)4"/>
      <sheetName val="Site_Dev_BOQ4"/>
      <sheetName val="Current_Bill_MB_ref4"/>
      <sheetName val="NT_LBH4"/>
      <sheetName val="Desgn(zone_I)4"/>
      <sheetName val="1st_and_4th_flight4"/>
      <sheetName val="Cover_sheet4"/>
      <sheetName val="Site_wise_NADs4"/>
      <sheetName val="Tender_Summary4"/>
      <sheetName val="Depreciation_Calc4"/>
      <sheetName val="Project_Details__4"/>
      <sheetName val="Top_Line_-_WWW4"/>
      <sheetName val="Activity_Costing_Breakup4"/>
      <sheetName val="Unit_Rate(CIS)4"/>
      <sheetName val="Conc_Analysis4"/>
      <sheetName val="Basic_4"/>
      <sheetName val="Back-UP_IRA_(CIS)4"/>
      <sheetName val="Precast_IRA4"/>
      <sheetName val="Precast_IRA_Backup4"/>
      <sheetName val="Precast_RA4"/>
      <sheetName val="Staff_Acco_4"/>
      <sheetName val="Block_A_-_BOQ4"/>
      <sheetName val="b_s_-p_l_-sch_4"/>
      <sheetName val="M_S_4"/>
      <sheetName val="Rate_analysis4"/>
      <sheetName val="Fee_Rate_Summary4"/>
      <sheetName val="@Risk_Inputs4"/>
      <sheetName val="final_abstract4"/>
      <sheetName val="BS_Schdl-_1_&amp;_24"/>
      <sheetName val="Summary_year_Plan4"/>
      <sheetName val="SC_revtrgt4"/>
      <sheetName val="PM_Action_4"/>
      <sheetName val="PE_Status4"/>
      <sheetName val="Major_Events_4"/>
      <sheetName val="Crtitical_Issues4"/>
      <sheetName val="Fault_Statistics4"/>
      <sheetName val="Ageing_Pending__CLeared4"/>
      <sheetName val="Fault_Cleared_After_24Hrs4"/>
      <sheetName val="BOQ_4"/>
      <sheetName val="Risk_&amp;_Opportunities4"/>
      <sheetName val="E_&amp;_R4"/>
      <sheetName val="Mat_&amp;_Lab_Rate4"/>
      <sheetName val="CFForecast_detail4"/>
      <sheetName val="Intro_4"/>
      <sheetName val="BOQ_Distribution4"/>
      <sheetName val="Trial_Bal4"/>
      <sheetName val="Detailed_Summary_(5)4"/>
      <sheetName val="Final_Summary4"/>
      <sheetName val="sq_ftg_detail4"/>
      <sheetName val="Sheet_14"/>
      <sheetName val="Abstract_-_Single_Line"/>
      <sheetName val="Section_Catalogue"/>
      <sheetName val="M_R_List_(2)"/>
      <sheetName val="Final_Bill_of_Material"/>
      <sheetName val="Civil_Boq7"/>
      <sheetName val="SPT_vs_PHI7"/>
      <sheetName val="std_wt_7"/>
      <sheetName val="Material_7"/>
      <sheetName val="Chandrawal_-17"/>
      <sheetName val="Guide_VAT_ED_Credit7"/>
      <sheetName val="AMC_&amp;_O&amp;M7"/>
      <sheetName val="JTS_Costing7"/>
      <sheetName val="Pile_cap7"/>
      <sheetName val="BOQ_Direct_selling_cost6"/>
      <sheetName val="Staff_Forecast_spread6"/>
      <sheetName val="floor_slab-RS26"/>
      <sheetName val="General_Summary5"/>
      <sheetName val="+X_&amp;_-X_DIR_PRE5"/>
      <sheetName val="PIpe_Pushing6"/>
      <sheetName val="d-safe_specs7"/>
      <sheetName val="Break_up_Sheet5"/>
      <sheetName val="13__Steel_-_Ratio5"/>
      <sheetName val="PRECAST_lightconc-II6"/>
      <sheetName val="Labour_productivity6"/>
      <sheetName val="TASKRSRC_(2)5"/>
      <sheetName val="CABLE_DATA6"/>
      <sheetName val="INPUT_SHEET6"/>
      <sheetName val="Extra_Item5"/>
      <sheetName val="Fill_this_out_first___5"/>
      <sheetName val="Labour_&amp;_Plant5"/>
      <sheetName val="Project_Budget_Worksheet5"/>
      <sheetName val="Abstract_Sheet5"/>
      <sheetName val="Legal_Risk_Analysis5"/>
      <sheetName val="V_O_4_-_PCC_Qty5"/>
      <sheetName val="Field_Values5"/>
      <sheetName val="TBAL9697_-group_wise__sdpl5"/>
      <sheetName val="BOQ_-II_ph_25"/>
      <sheetName val="DETAIL_SHEET5"/>
      <sheetName val="organi_synthesis_lab5"/>
      <sheetName val="Fin_Sum5"/>
      <sheetName val="2_1_受電設備棟5"/>
      <sheetName val="2_2_受・防火水槽5"/>
      <sheetName val="2_3_排水処理設備棟5"/>
      <sheetName val="2_4_倉庫棟5"/>
      <sheetName val="2_5_守衛棟5"/>
      <sheetName val="PointNo_55"/>
      <sheetName val="1_01_(a)5"/>
      <sheetName val="T1037_Entire_School5"/>
      <sheetName val="RMZ_Summary5"/>
      <sheetName val="d-safe_DELUXE5"/>
      <sheetName val="Employee_List5"/>
      <sheetName val="Balance_sheet5"/>
      <sheetName val="BOQ_fire_proofing5"/>
      <sheetName val="RCC,Ret__Wall5"/>
      <sheetName val="Plant_Cost5"/>
      <sheetName val="STAFFSCHED_5"/>
      <sheetName val="PRECAST_lightconc_II5"/>
      <sheetName val="Basement_Budget5"/>
      <sheetName val="IO_LIST5"/>
      <sheetName val="PC_Master_List5"/>
      <sheetName val="ORDER_BOOKING5"/>
      <sheetName val="except_wiring5"/>
      <sheetName val="3cd_Annexure5"/>
      <sheetName val="labour_coeff5"/>
      <sheetName val="10__&amp;_11__Rate_Code_&amp;_BQ5"/>
      <sheetName val="Scope_Reconciliation5"/>
      <sheetName val="_5"/>
      <sheetName val="BOQ_(2)5"/>
      <sheetName val="Site_Dev_BOQ5"/>
      <sheetName val="Current_Bill_MB_ref5"/>
      <sheetName val="NT_LBH5"/>
      <sheetName val="Desgn(zone_I)5"/>
      <sheetName val="1st_and_4th_flight5"/>
      <sheetName val="Cover_sheet5"/>
      <sheetName val="Site_wise_NADs5"/>
      <sheetName val="Tender_Summary5"/>
      <sheetName val="Depreciation_Calc5"/>
      <sheetName val="Project_Details__5"/>
      <sheetName val="Top_Line_-_WWW5"/>
      <sheetName val="Activity_Costing_Breakup5"/>
      <sheetName val="Unit_Rate(CIS)5"/>
      <sheetName val="Conc_Analysis5"/>
      <sheetName val="Basic_5"/>
      <sheetName val="Back-UP_IRA_(CIS)5"/>
      <sheetName val="Precast_IRA5"/>
      <sheetName val="Precast_IRA_Backup5"/>
      <sheetName val="Precast_RA5"/>
      <sheetName val="Staff_Acco_5"/>
      <sheetName val="Block_A_-_BOQ5"/>
      <sheetName val="b_s_-p_l_-sch_5"/>
      <sheetName val="M_S_5"/>
      <sheetName val="Rate_analysis5"/>
      <sheetName val="Fee_Rate_Summary5"/>
      <sheetName val="@Risk_Inputs5"/>
      <sheetName val="final_abstract5"/>
      <sheetName val="BS_Schdl-_1_&amp;_25"/>
      <sheetName val="Summary_year_Plan5"/>
      <sheetName val="SC_revtrgt5"/>
      <sheetName val="PM_Action_5"/>
      <sheetName val="PE_Status5"/>
      <sheetName val="Major_Events_5"/>
      <sheetName val="Crtitical_Issues5"/>
      <sheetName val="Fault_Statistics5"/>
      <sheetName val="Ageing_Pending__CLeared5"/>
      <sheetName val="Fault_Cleared_After_24Hrs5"/>
      <sheetName val="BOQ_5"/>
      <sheetName val="Risk_&amp;_Opportunities5"/>
      <sheetName val="E_&amp;_R5"/>
      <sheetName val="Mat_&amp;_Lab_Rate5"/>
      <sheetName val="CFForecast_detail5"/>
      <sheetName val="Intro_5"/>
      <sheetName val="BOQ_Distribution5"/>
      <sheetName val="Trial_Bal5"/>
      <sheetName val="Detailed_Summary_(5)5"/>
      <sheetName val="Final_Summary5"/>
      <sheetName val="sq_ftg_detail5"/>
      <sheetName val="Sheet_15"/>
      <sheetName val="Abstract_-_Single_Line1"/>
      <sheetName val="Section_Catalogue1"/>
      <sheetName val="M_R_List_(2)1"/>
      <sheetName val="Final_Bill_of_Material1"/>
      <sheetName val="Civil_Boq8"/>
      <sheetName val="SPT_vs_PHI8"/>
      <sheetName val="std_wt_8"/>
      <sheetName val="Material_8"/>
      <sheetName val="Chandrawal_-18"/>
      <sheetName val="Guide_VAT_ED_Credit8"/>
      <sheetName val="AMC_&amp;_O&amp;M8"/>
      <sheetName val="JTS_Costing8"/>
      <sheetName val="Pile_cap8"/>
      <sheetName val="BOQ_Direct_selling_cost7"/>
      <sheetName val="Staff_Forecast_spread7"/>
      <sheetName val="floor_slab-RS27"/>
      <sheetName val="General_Summary6"/>
      <sheetName val="+X_&amp;_-X_DIR_PRE6"/>
      <sheetName val="PIpe_Pushing7"/>
      <sheetName val="d-safe_specs8"/>
      <sheetName val="Break_up_Sheet6"/>
      <sheetName val="13__Steel_-_Ratio6"/>
      <sheetName val="PRECAST_lightconc-II7"/>
      <sheetName val="Labour_productivity7"/>
      <sheetName val="TASKRSRC_(2)6"/>
      <sheetName val="CABLE_DATA7"/>
      <sheetName val="INPUT_SHEET7"/>
      <sheetName val="Extra_Item6"/>
      <sheetName val="Fill_this_out_first___6"/>
      <sheetName val="Labour_&amp;_Plant6"/>
      <sheetName val="Project_Budget_Worksheet6"/>
      <sheetName val="Abstract_Sheet6"/>
      <sheetName val="Legal_Risk_Analysis6"/>
      <sheetName val="V_O_4_-_PCC_Qty6"/>
      <sheetName val="Field_Values6"/>
      <sheetName val="TBAL9697_-group_wise__sdpl6"/>
      <sheetName val="BOQ_-II_ph_26"/>
      <sheetName val="DETAIL_SHEET6"/>
      <sheetName val="organi_synthesis_lab6"/>
      <sheetName val="Fin_Sum6"/>
      <sheetName val="2_1_受電設備棟6"/>
      <sheetName val="2_2_受・防火水槽6"/>
      <sheetName val="2_3_排水処理設備棟6"/>
      <sheetName val="2_4_倉庫棟6"/>
      <sheetName val="2_5_守衛棟6"/>
      <sheetName val="PointNo_56"/>
      <sheetName val="1_01_(a)6"/>
      <sheetName val="T1037_Entire_School6"/>
      <sheetName val="RMZ_Summary6"/>
      <sheetName val="d-safe_DELUXE6"/>
      <sheetName val="Employee_List6"/>
      <sheetName val="Balance_sheet6"/>
      <sheetName val="BOQ_fire_proofing6"/>
      <sheetName val="RCC,Ret__Wall6"/>
      <sheetName val="Plant_Cost6"/>
      <sheetName val="STAFFSCHED_6"/>
      <sheetName val="PRECAST_lightconc_II6"/>
      <sheetName val="Basement_Budget6"/>
      <sheetName val="IO_LIST6"/>
      <sheetName val="PC_Master_List6"/>
      <sheetName val="ORDER_BOOKING6"/>
      <sheetName val="except_wiring6"/>
      <sheetName val="3cd_Annexure6"/>
      <sheetName val="labour_coeff6"/>
      <sheetName val="10__&amp;_11__Rate_Code_&amp;_BQ6"/>
      <sheetName val="Scope_Reconciliation6"/>
      <sheetName val="_6"/>
      <sheetName val="BOQ_(2)6"/>
      <sheetName val="Site_Dev_BOQ6"/>
      <sheetName val="Current_Bill_MB_ref6"/>
      <sheetName val="NT_LBH6"/>
      <sheetName val="Desgn(zone_I)6"/>
      <sheetName val="1st_and_4th_flight6"/>
      <sheetName val="Cover_sheet6"/>
      <sheetName val="Site_wise_NADs6"/>
      <sheetName val="Tender_Summary6"/>
      <sheetName val="Depreciation_Calc6"/>
      <sheetName val="Project_Details__6"/>
      <sheetName val="Top_Line_-_WWW6"/>
      <sheetName val="Activity_Costing_Breakup6"/>
      <sheetName val="Unit_Rate(CIS)6"/>
      <sheetName val="Conc_Analysis6"/>
      <sheetName val="Basic_6"/>
      <sheetName val="Back-UP_IRA_(CIS)6"/>
      <sheetName val="Precast_IRA6"/>
      <sheetName val="Precast_IRA_Backup6"/>
      <sheetName val="Precast_RA6"/>
      <sheetName val="Staff_Acco_6"/>
      <sheetName val="Block_A_-_BOQ6"/>
      <sheetName val="b_s_-p_l_-sch_6"/>
      <sheetName val="M_S_6"/>
      <sheetName val="Rate_analysis6"/>
      <sheetName val="Fee_Rate_Summary6"/>
      <sheetName val="@Risk_Inputs6"/>
      <sheetName val="final_abstract6"/>
      <sheetName val="BS_Schdl-_1_&amp;_26"/>
      <sheetName val="Summary_year_Plan6"/>
      <sheetName val="SC_revtrgt6"/>
      <sheetName val="PM_Action_6"/>
      <sheetName val="PE_Status6"/>
      <sheetName val="Major_Events_6"/>
      <sheetName val="Crtitical_Issues6"/>
      <sheetName val="Fault_Statistics6"/>
      <sheetName val="Ageing_Pending__CLeared6"/>
      <sheetName val="Fault_Cleared_After_24Hrs6"/>
      <sheetName val="BOQ_6"/>
      <sheetName val="Risk_&amp;_Opportunities6"/>
      <sheetName val="E_&amp;_R6"/>
      <sheetName val="Mat_&amp;_Lab_Rate6"/>
      <sheetName val="CFForecast_detail6"/>
      <sheetName val="Intro_6"/>
      <sheetName val="BOQ_Distribution6"/>
      <sheetName val="Trial_Bal6"/>
      <sheetName val="Detailed_Summary_(5)6"/>
      <sheetName val="Final_Summary6"/>
      <sheetName val="sq_ftg_detail6"/>
      <sheetName val="Sheet_16"/>
      <sheetName val="Abstract_-_Single_Line2"/>
      <sheetName val="Section_Catalogue2"/>
      <sheetName val="M_R_List_(2)2"/>
      <sheetName val="Final_Bill_of_Material2"/>
      <sheetName val="horizontal"/>
      <sheetName val="calcul"/>
      <sheetName val="Variables"/>
      <sheetName val="Labor abs-NMR"/>
      <sheetName val="Basis"/>
      <sheetName val="Sanitary_BOQ"/>
      <sheetName val="Cashflow_projection"/>
      <sheetName val="Abstract"/>
      <sheetName val="parametry"/>
      <sheetName val="rev_01"/>
      <sheetName val="Global_factors"/>
      <sheetName val="R_A"/>
      <sheetName val="INTSHEET"/>
      <sheetName val="INTSHEET3"/>
      <sheetName val="Back_Cal_for OMC"/>
      <sheetName val="SALIENT"/>
      <sheetName val="CASH-FLOW"/>
      <sheetName val="ABB"/>
      <sheetName val="Tie Beams "/>
      <sheetName val="Headings"/>
      <sheetName val="schedule nos"/>
      <sheetName val="SSR _ NSSR Market final"/>
      <sheetName val="syndicate codes"/>
      <sheetName val="LTG-STG"/>
      <sheetName val="Legend"/>
      <sheetName val="FITZ MORT 94"/>
      <sheetName val="Approved_MTD_Proj_#'s"/>
      <sheetName val="_WORKING"/>
      <sheetName val="Sub-str_"/>
      <sheetName val="Variation_Statement"/>
      <sheetName val="Trial Balance"/>
      <sheetName val="auto"/>
      <sheetName val="Rev. 00 - 20.07.04"/>
      <sheetName val="S0"/>
      <sheetName val="Form 6"/>
      <sheetName val="Intake"/>
      <sheetName val="Page 2"/>
      <sheetName val="OVDDETAIL"/>
      <sheetName val="Cable-data"/>
      <sheetName val="Index"/>
      <sheetName val="dyes"/>
      <sheetName val="UTILITY"/>
      <sheetName val="A"/>
      <sheetName val="S1BOQ"/>
      <sheetName val="Estimate"/>
      <sheetName val="num-word"/>
      <sheetName val="office"/>
      <sheetName val="Lab"/>
      <sheetName val="Material&amp;equipment"/>
      <sheetName val="Corbel"/>
      <sheetName val="CIF COST ITEM"/>
      <sheetName val="Measur"/>
      <sheetName val="WP Financial Summary"/>
      <sheetName val="BACKUP DATA"/>
      <sheetName val="sum-all"/>
      <sheetName val="Equip Codes"/>
      <sheetName val="30-3"/>
      <sheetName val="SM DATA with National CBP price"/>
      <sheetName val="Rates"/>
      <sheetName val="concrete"/>
      <sheetName val="Model"/>
      <sheetName val="1612.01AL - INT AM&amp;NIEP"/>
      <sheetName val="Working"/>
      <sheetName val="Delhi"/>
      <sheetName val="Beam at Ground flr lvl(Steel)"/>
      <sheetName val="PLAN_FEB97"/>
      <sheetName val="Measurment"/>
      <sheetName val="DB_ET200(R. A)"/>
      <sheetName val="SIZING"/>
      <sheetName val="Testing"/>
      <sheetName val="손익현황"/>
      <sheetName val="현황CODE"/>
      <sheetName val="SP&amp;ST 제출가"/>
      <sheetName val="石炭性状"/>
      <sheetName val="가격분석@1100(990104)"/>
      <sheetName val="Escalation"/>
      <sheetName val="NCCALC11"/>
      <sheetName val="공정율 기초 Data"/>
      <sheetName val="제출계산서"/>
      <sheetName val="공사내역"/>
      <sheetName val=" Pricing_110512.xlsx"/>
      <sheetName val="당초"/>
      <sheetName val="BQ"/>
      <sheetName val="POWER"/>
      <sheetName val="strand"/>
      <sheetName val="BASIS -DEC 08"/>
      <sheetName val="Sheet1 (2)"/>
      <sheetName val="Code"/>
      <sheetName val="Builtup Area"/>
      <sheetName val="Linked Lead"/>
      <sheetName val="Lead (Final)"/>
      <sheetName val="PCS DATA"/>
      <sheetName val="gen"/>
      <sheetName val="INV"/>
      <sheetName val="Basic Rates"/>
      <sheetName val="upa"/>
      <sheetName val="Summary 0506"/>
      <sheetName val="Summary 0607- 31.MAR"/>
      <sheetName val="sheet6"/>
      <sheetName val="CrRajWMM"/>
      <sheetName val="MB.Prod"/>
      <sheetName val="T"/>
      <sheetName val="Rpr-Jan00"/>
      <sheetName val="head loss calc"/>
      <sheetName val="DATA - Summary"/>
      <sheetName val="Leg 1-1"/>
      <sheetName val="MA"/>
      <sheetName val="Cashflow_projection1"/>
      <sheetName val="Cashflow_projection2"/>
      <sheetName val="Cashflow_projection3"/>
      <sheetName val="Cashflow_projection4"/>
      <sheetName val="Cashflow_projection5"/>
      <sheetName val="Cashflow_projection6"/>
      <sheetName val="Civil_Boq9"/>
      <sheetName val="Abstract_Sheet7"/>
      <sheetName val="RCC,Ret__Wall7"/>
      <sheetName val="floor_slab-RS28"/>
      <sheetName val="General_Summary7"/>
      <sheetName val="BOQ_Direct_selling_cost8"/>
      <sheetName val="Legal_Risk_Analysis7"/>
      <sheetName val="PRECAST_lightconc-II8"/>
      <sheetName val="Staff_Forecast_spread8"/>
      <sheetName val="PIpe_Pushing8"/>
      <sheetName val="13__Steel_-_Ratio7"/>
      <sheetName val="+X_&amp;_-X_DIR_PRE7"/>
      <sheetName val="Break_up_Sheet7"/>
      <sheetName val="1_01_(a)7"/>
      <sheetName val="TASKRSRC_(2)7"/>
      <sheetName val="Labour_productivity8"/>
      <sheetName val="INPUT_SHEET8"/>
      <sheetName val="Extra_Item7"/>
      <sheetName val="Fill_this_out_first___7"/>
      <sheetName val="Labour_&amp;_Plant7"/>
      <sheetName val="Project_Budget_Worksheet7"/>
      <sheetName val="V_O_4_-_PCC_Qty7"/>
      <sheetName val="TBAL9697_-group_wise__sdpl7"/>
      <sheetName val="Field_Values7"/>
      <sheetName val="BOQ_-II_ph_27"/>
      <sheetName val="PRECAST_lightconc_II7"/>
      <sheetName val="2_1_受電設備棟7"/>
      <sheetName val="2_2_受・防火水槽7"/>
      <sheetName val="2_3_排水処理設備棟7"/>
      <sheetName val="2_4_倉庫棟7"/>
      <sheetName val="2_5_守衛棟7"/>
      <sheetName val="organi_synthesis_lab7"/>
      <sheetName val="Fin_Sum7"/>
      <sheetName val="Plant_Cost7"/>
      <sheetName val="PointNo_57"/>
      <sheetName val="BOQ_fire_proofing7"/>
      <sheetName val="Balance_sheet7"/>
      <sheetName val="DETAIL_SHEET7"/>
      <sheetName val="Cashflow_projection7"/>
      <sheetName val="d-safe_DELUXE7"/>
      <sheetName val="_7"/>
      <sheetName val="PC_Master_List7"/>
      <sheetName val="BOQ_(2)7"/>
      <sheetName val="T1037_Entire_School7"/>
      <sheetName val="Site_Dev_BOQ7"/>
      <sheetName val="RMZ_Summary7"/>
      <sheetName val="Employee_List7"/>
      <sheetName val="STAFFSCHED_7"/>
      <sheetName val="Basement_Budget7"/>
      <sheetName val="IO_LIST7"/>
      <sheetName val="except_wiring7"/>
      <sheetName val="3cd_Annexure7"/>
      <sheetName val="ORDER_BOOKING7"/>
      <sheetName val="1st_and_4th_flight7"/>
      <sheetName val="Scope_Reconciliation7"/>
      <sheetName val="labour_coeff7"/>
      <sheetName val="10__&amp;_11__Rate_Code_&amp;_BQ7"/>
      <sheetName val="Tender_Summary7"/>
      <sheetName val="Cover_sheet7"/>
      <sheetName val="Site_wise_NADs7"/>
      <sheetName val="Current_Bill_MB_ref7"/>
      <sheetName val="NT_LBH7"/>
      <sheetName val="Desgn(zone_I)7"/>
      <sheetName val="Rate_analysis7"/>
      <sheetName val="Fee_Rate_Summary7"/>
      <sheetName val="SC_revtrgt7"/>
      <sheetName val="M_S_7"/>
      <sheetName val="BOQ_Distribution7"/>
      <sheetName val="@Risk_Inputs7"/>
      <sheetName val="Depreciation_Calc7"/>
      <sheetName val="b_s_-p_l_-sch_7"/>
      <sheetName val="Activity_Costing_Breakup7"/>
      <sheetName val="Unit_Rate(CIS)7"/>
      <sheetName val="Conc_Analysis7"/>
      <sheetName val="Basic_7"/>
      <sheetName val="Back-UP_IRA_(CIS)7"/>
      <sheetName val="Precast_IRA7"/>
      <sheetName val="Precast_IRA_Backup7"/>
      <sheetName val="Precast_RA7"/>
      <sheetName val="Summary_year_Plan7"/>
      <sheetName val="Project_Details__7"/>
      <sheetName val="Top_Line_-_WWW7"/>
      <sheetName val="Staff_Acco_7"/>
      <sheetName val="Trial_Bal7"/>
      <sheetName val="Detailed_Summary_(5)7"/>
      <sheetName val="Block_A_-_BOQ7"/>
      <sheetName val="Civil_Boq10"/>
      <sheetName val="SPT_vs_PHI9"/>
      <sheetName val="Chandrawal_-19"/>
      <sheetName val="Guide_VAT_ED_Credit9"/>
      <sheetName val="AMC_&amp;_O&amp;M9"/>
      <sheetName val="JTS_Costing9"/>
      <sheetName val="std_wt_9"/>
      <sheetName val="Material_9"/>
      <sheetName val="Pile_cap9"/>
      <sheetName val="Abstract_Sheet8"/>
      <sheetName val="RCC,Ret__Wall8"/>
      <sheetName val="floor_slab-RS29"/>
      <sheetName val="General_Summary8"/>
      <sheetName val="BOQ_Direct_selling_cost9"/>
      <sheetName val="Legal_Risk_Analysis8"/>
      <sheetName val="PRECAST_lightconc-II9"/>
      <sheetName val="Staff_Forecast_spread9"/>
      <sheetName val="d-safe_specs9"/>
      <sheetName val="PIpe_Pushing9"/>
      <sheetName val="13__Steel_-_Ratio8"/>
      <sheetName val="+X_&amp;_-X_DIR_PRE8"/>
      <sheetName val="Break_up_Sheet8"/>
      <sheetName val="1_01_(a)8"/>
      <sheetName val="TASKRSRC_(2)8"/>
      <sheetName val="Labour_productivity9"/>
      <sheetName val="CABLE_DATA8"/>
      <sheetName val="INPUT_SHEET9"/>
      <sheetName val="Extra_Item8"/>
      <sheetName val="Fill_this_out_first___8"/>
      <sheetName val="Labour_&amp;_Plant8"/>
      <sheetName val="Project_Budget_Worksheet8"/>
      <sheetName val="V_O_4_-_PCC_Qty8"/>
      <sheetName val="TBAL9697_-group_wise__sdpl8"/>
      <sheetName val="Field_Values8"/>
      <sheetName val="BOQ_-II_ph_28"/>
      <sheetName val="PRECAST_lightconc_II8"/>
      <sheetName val="2_1_受電設備棟8"/>
      <sheetName val="2_2_受・防火水槽8"/>
      <sheetName val="2_3_排水処理設備棟8"/>
      <sheetName val="2_4_倉庫棟8"/>
      <sheetName val="2_5_守衛棟8"/>
      <sheetName val="organi_synthesis_lab8"/>
      <sheetName val="Fin_Sum8"/>
      <sheetName val="Plant_Cost8"/>
      <sheetName val="PointNo_58"/>
      <sheetName val="BOQ_fire_proofing8"/>
      <sheetName val="Balance_sheet8"/>
      <sheetName val="DETAIL_SHEET8"/>
      <sheetName val="Cashflow_projection8"/>
      <sheetName val="d-safe_DELUXE8"/>
      <sheetName val="_8"/>
      <sheetName val="PC_Master_List8"/>
      <sheetName val="BOQ_(2)8"/>
      <sheetName val="T1037_Entire_School8"/>
      <sheetName val="Site_Dev_BOQ8"/>
      <sheetName val="RMZ_Summary8"/>
      <sheetName val="Employee_List8"/>
      <sheetName val="STAFFSCHED_8"/>
      <sheetName val="Basement_Budget8"/>
      <sheetName val="IO_LIST8"/>
      <sheetName val="except_wiring8"/>
      <sheetName val="3cd_Annexure8"/>
      <sheetName val="ORDER_BOOKING8"/>
      <sheetName val="1st_and_4th_flight8"/>
      <sheetName val="Scope_Reconciliation8"/>
      <sheetName val="labour_coeff8"/>
      <sheetName val="10__&amp;_11__Rate_Code_&amp;_BQ8"/>
      <sheetName val="Tender_Summary8"/>
      <sheetName val="Cover_sheet8"/>
      <sheetName val="Site_wise_NADs8"/>
      <sheetName val="Current_Bill_MB_ref8"/>
      <sheetName val="NT_LBH8"/>
      <sheetName val="Desgn(zone_I)8"/>
      <sheetName val="Rate_analysis8"/>
      <sheetName val="Fee_Rate_Summary8"/>
      <sheetName val="SC_revtrgt8"/>
      <sheetName val="M_S_8"/>
      <sheetName val="BOQ_Distribution8"/>
      <sheetName val="@Risk_Inputs8"/>
      <sheetName val="Depreciation_Calc8"/>
      <sheetName val="b_s_-p_l_-sch_8"/>
      <sheetName val="Activity_Costing_Breakup8"/>
      <sheetName val="Unit_Rate(CIS)8"/>
      <sheetName val="Conc_Analysis8"/>
      <sheetName val="Basic_8"/>
      <sheetName val="Back-UP_IRA_(CIS)8"/>
      <sheetName val="Precast_IRA8"/>
      <sheetName val="Precast_IRA_Backup8"/>
      <sheetName val="Precast_RA8"/>
      <sheetName val="Summary_year_Plan8"/>
      <sheetName val="Project_Details__8"/>
      <sheetName val="Top_Line_-_WWW8"/>
      <sheetName val="Staff_Acco_8"/>
      <sheetName val="Trial_Bal8"/>
      <sheetName val="Detailed_Summary_(5)8"/>
      <sheetName val="Block_A_-_BOQ8"/>
      <sheetName val="ABUT MASTER"/>
      <sheetName val="7 Other Costs"/>
      <sheetName val="sand"/>
      <sheetName val="stone"/>
      <sheetName val="#REF!"/>
      <sheetName val="leads"/>
      <sheetName val="SSR &amp; NSSR Market final"/>
      <sheetName val="RawMatCost"/>
      <sheetName val="Heads"/>
      <sheetName val="DMUU Inputs"/>
      <sheetName val="UK P&amp;L"/>
      <sheetName val="Ire P&amp;L"/>
      <sheetName val="Fr P&amp;L"/>
      <sheetName val="ES P&amp;L"/>
      <sheetName val="GR P&amp;L"/>
      <sheetName val="PT P&amp;L"/>
      <sheetName val="fitoutconfcentre"/>
      <sheetName val="Rates_PVC"/>
      <sheetName val="AREAS"/>
      <sheetName val="Sheet3 (2)"/>
      <sheetName val="계정"/>
      <sheetName val="Mktg"/>
      <sheetName val="Sheet5"/>
      <sheetName val="2gii"/>
      <sheetName val="cul-invSUBMITTED"/>
      <sheetName val="STD"/>
      <sheetName val="BLOCK WORK B2"/>
      <sheetName val="Civil Works"/>
      <sheetName val="P.Well( RCC)"/>
      <sheetName val="prsch"/>
      <sheetName val="Cost Index"/>
      <sheetName val="PackSize"/>
      <sheetName val="PackagingType"/>
      <sheetName val="ProductHierarchy"/>
      <sheetName val="Sub-brand"/>
      <sheetName val="UOM"/>
      <sheetName val="Variant"/>
      <sheetName val="소상 &quot;1&quot;"/>
      <sheetName val="NLD - Assum"/>
      <sheetName val="Pivots"/>
      <sheetName val="Service Function"/>
      <sheetName val="I-CO"/>
      <sheetName val="PL-Area &amp; Perimeter"/>
      <sheetName val="MBQ"/>
      <sheetName val="drg study"/>
      <sheetName val="RA"/>
      <sheetName val="basic"/>
      <sheetName val="block"/>
      <sheetName val="BP"/>
      <sheetName val="Technicla manpower"/>
      <sheetName val="Mixer"/>
      <sheetName val="ANALYSIS(CIVIL)"/>
      <sheetName val="GRAND SUMMARY"/>
      <sheetName val="ANa=Str"/>
      <sheetName val="Str.S &amp; Roofing"/>
      <sheetName val="Background"/>
      <sheetName val="Actuals"/>
      <sheetName val="DETAILED  BOQ"/>
      <sheetName val="Leg!l Risk Analysis"/>
      <sheetName val="Formulas"/>
      <sheetName val="CGL"/>
      <sheetName val="Mahendra hills"/>
      <sheetName val="Side wall dsn Formula"/>
      <sheetName val="SW Formula"/>
      <sheetName val="sheeet7"/>
      <sheetName val="item"/>
      <sheetName val="THA"/>
      <sheetName val="Emp Details"/>
      <sheetName val="TB"/>
      <sheetName val="Defined List"/>
      <sheetName val="xSeries255"/>
      <sheetName val="Summ"/>
      <sheetName val="Occ, Other Rev, Exp, Dispo"/>
      <sheetName val="RA_markate"/>
      <sheetName val="Basement  Works"/>
      <sheetName val="ICO_budzet_97"/>
      <sheetName val="BOQ_7"/>
      <sheetName val="Risk_&amp;_Opportunities7"/>
      <sheetName val="CFForecast_detail7"/>
      <sheetName val="E_&amp;_R7"/>
      <sheetName val="Approved_MTD_Proj_#'s1"/>
      <sheetName val="final_abstract7"/>
      <sheetName val="BS_Schdl-_1_&amp;_27"/>
      <sheetName val="Final_Summary7"/>
      <sheetName val="Sheet_17"/>
      <sheetName val="Mat_&amp;_Lab_Rate7"/>
      <sheetName val="PM_Action_7"/>
      <sheetName val="PE_Status7"/>
      <sheetName val="Major_Events_7"/>
      <sheetName val="Crtitical_Issues7"/>
      <sheetName val="Fault_Statistics7"/>
      <sheetName val="Ageing_Pending__CLeared7"/>
      <sheetName val="Fault_Cleared_After_24Hrs7"/>
      <sheetName val="Intro_7"/>
      <sheetName val="sq_ftg_detail7"/>
      <sheetName val="Section_Catalogue3"/>
      <sheetName val="_WORKING1"/>
      <sheetName val="Abstract_-_Single_Line3"/>
      <sheetName val="M_R_List_(2)3"/>
      <sheetName val="Final_Bill_of_Material3"/>
      <sheetName val="Column_Bracket"/>
      <sheetName val="Sqn_Abs__G_1"/>
      <sheetName val="Inter_unit_set_off"/>
      <sheetName val="Material_Rate"/>
      <sheetName val="9__Package_split_-_Cost_"/>
      <sheetName val="Basic_Resources"/>
      <sheetName val="Variation_Statement1"/>
      <sheetName val="India_F&amp;S_Template"/>
      <sheetName val="Form_6"/>
      <sheetName val="OVER_HEADS"/>
      <sheetName val="Rob__elektr_"/>
      <sheetName val="COMP_WALL"/>
      <sheetName val="FITZ_MORT_94"/>
      <sheetName val="Sub-str_1"/>
      <sheetName val="Rising_Main"/>
      <sheetName val="Performance_Report"/>
      <sheetName val="Generic_Sum"/>
      <sheetName val="CPIPE_1"/>
      <sheetName val="Rate_An"/>
      <sheetName val="Tie_Beams_"/>
      <sheetName val="SSR___NSSR_Market_final"/>
      <sheetName val="Labor_abs-NMR"/>
      <sheetName val="UNIT_WT_LIST"/>
      <sheetName val="Pay_Rec"/>
      <sheetName val="Int(Ho_con_&amp;_LH)"/>
      <sheetName val="schedule_nos"/>
      <sheetName val="syndicate_codes"/>
      <sheetName val="HPL"/>
      <sheetName val="Estimation"/>
      <sheetName val="PEDESB"/>
      <sheetName val="datas"/>
      <sheetName val="PL"/>
      <sheetName val="SCH4 to 6"/>
      <sheetName val="Bank Rev"/>
      <sheetName val="sum"/>
      <sheetName val="PROJV"/>
      <sheetName val="INFO"/>
      <sheetName val="NOTES "/>
      <sheetName val="Grouping TB"/>
      <sheetName val="FORM-16"/>
      <sheetName val="DSUM2004"/>
      <sheetName val="Other"/>
      <sheetName val="crs"/>
      <sheetName val="Desc "/>
      <sheetName val="2.Valuation"/>
      <sheetName val="3.Summary"/>
      <sheetName val="Cost of DM Water"/>
      <sheetName val="ANNEXURE -15."/>
      <sheetName val="Ward areas"/>
      <sheetName val="Quote Sheet"/>
      <sheetName val="Name List"/>
      <sheetName val="WORK TABLE"/>
      <sheetName val="Cover"/>
      <sheetName val="Financials"/>
      <sheetName val="NOPAT_VDF"/>
      <sheetName val="Invested capital_VDF"/>
      <sheetName val="Input1"/>
      <sheetName val="2A"/>
      <sheetName val="Budget-Breakup"/>
      <sheetName val="Overview"/>
      <sheetName val="Sales Report-Apr - Sept 08"/>
      <sheetName val="Supplier No."/>
      <sheetName val="List of Rem Entries PY"/>
      <sheetName val="FT-05-02IsoBOM"/>
      <sheetName val="Mat. Rates"/>
      <sheetName val="Control premium"/>
      <sheetName val="Achievements_Highlights "/>
      <sheetName val="Headend Provisioning Report"/>
      <sheetName val="SA faults-Headend "/>
      <sheetName val="BHANDUP"/>
      <sheetName val="Fm 3CD"/>
      <sheetName val="MASTER_RATE ANALYSIS"/>
      <sheetName val="Statuses"/>
      <sheetName val="Accounts w Tax Ind"/>
      <sheetName val="Technology"/>
      <sheetName val="Proposal"/>
      <sheetName val="A-General"/>
      <sheetName val="REL"/>
      <sheetName val="實際值-2006.02.06"/>
      <sheetName val="Basic Rate"/>
      <sheetName val="site fab&amp;ernstr"/>
      <sheetName val="BR2(5)"/>
      <sheetName val="8. Non Provision"/>
      <sheetName val="5. MR"/>
      <sheetName val="grid"/>
      <sheetName val=""/>
      <sheetName val="Data Base"/>
      <sheetName val="HOC"/>
      <sheetName val="intr stool brkup"/>
      <sheetName val="vb 9&amp;10"/>
      <sheetName val="section"/>
      <sheetName val="500 kVA DG BOQ"/>
      <sheetName val="std_wt__x0010_"/>
      <sheetName val="BS-mar-06"/>
      <sheetName val="Operations"/>
      <sheetName val="Beam_at_Ground_flr_lvl(Steel)"/>
      <sheetName val="Ward_areas"/>
      <sheetName val="Slab thickness entry"/>
      <sheetName val="TABLE2"/>
      <sheetName val="Drop Down List"/>
      <sheetName val="DI-ESTI"/>
      <sheetName val="JAN"/>
      <sheetName val="GM &amp; TA"/>
      <sheetName val="Summary - Flr wise"/>
      <sheetName val="Area Statement"/>
      <sheetName val="beam-reinft-IIInd floor"/>
      <sheetName val="Joineries"/>
      <sheetName val="precast RC element"/>
      <sheetName val="tables"/>
      <sheetName val="Detail-Singly"/>
      <sheetName val="DsnConcept"/>
      <sheetName val="PS1"/>
      <sheetName val="detailed calc"/>
      <sheetName val="Non debit-RMC"/>
      <sheetName val="Material"/>
      <sheetName val="Plant &amp;  Machinery"/>
      <sheetName val="Level 0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/>
      <sheetData sheetId="264" refreshError="1"/>
      <sheetData sheetId="265" refreshError="1"/>
      <sheetData sheetId="266" refreshError="1"/>
      <sheetData sheetId="267" refreshError="1"/>
      <sheetData sheetId="268"/>
      <sheetData sheetId="269" refreshError="1"/>
      <sheetData sheetId="270"/>
      <sheetData sheetId="271" refreshError="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 refreshError="1"/>
      <sheetData sheetId="395"/>
      <sheetData sheetId="396"/>
      <sheetData sheetId="397"/>
      <sheetData sheetId="398"/>
      <sheetData sheetId="399"/>
      <sheetData sheetId="400"/>
      <sheetData sheetId="401"/>
      <sheetData sheetId="402" refreshError="1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 refreshError="1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 refreshError="1"/>
      <sheetData sheetId="454" refreshError="1"/>
      <sheetData sheetId="455" refreshError="1"/>
      <sheetData sheetId="456" refreshError="1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/>
      <sheetData sheetId="486"/>
      <sheetData sheetId="487"/>
      <sheetData sheetId="488"/>
      <sheetData sheetId="489" refreshError="1"/>
      <sheetData sheetId="490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/>
      <sheetData sheetId="548"/>
      <sheetData sheetId="549" refreshError="1"/>
      <sheetData sheetId="550" refreshError="1"/>
      <sheetData sheetId="551" refreshError="1"/>
      <sheetData sheetId="552" refreshError="1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/>
      <sheetData sheetId="1165" refreshError="1"/>
      <sheetData sheetId="1166" refreshError="1"/>
      <sheetData sheetId="1167" refreshError="1"/>
      <sheetData sheetId="1168" refreshError="1"/>
      <sheetData sheetId="1169"/>
      <sheetData sheetId="1170"/>
      <sheetData sheetId="1171"/>
      <sheetData sheetId="1172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/>
      <sheetData sheetId="1550" refreshError="1"/>
      <sheetData sheetId="1551" refreshError="1"/>
      <sheetData sheetId="1552" refreshError="1"/>
      <sheetData sheetId="1553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BS"/>
      <sheetName val="NLD - Assum"/>
      <sheetName val="LD100 (2)"/>
      <sheetName val="NOVCONSMNTPT"/>
      <sheetName val="Wkly-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Tags"/>
      <sheetName val="CntrlVlv"/>
      <sheetName val="FlowMtr"/>
      <sheetName val="IsolnVlv"/>
      <sheetName val="MOVs"/>
      <sheetName val="RelVlvs"/>
      <sheetName val="Overall"/>
      <sheetName val="ETASlippage"/>
      <sheetName val="BND-Merox-LNUU"/>
      <sheetName val="BSD-CPP"/>
      <sheetName val="BSN-Arom"/>
      <sheetName val="CD-FCC"/>
      <sheetName val="JP-Os&amp;Us"/>
      <sheetName val="JP-R_RLoading"/>
      <sheetName val="MDM-SHP_TAME"/>
      <sheetName val="MDM-RURW"/>
      <sheetName val="PBMR-Marine&amp;MTF"/>
      <sheetName val="RLG-CrudeHTrtr"/>
      <sheetName val="RMS-Utility"/>
      <sheetName val="SC-ATU_SWS"/>
      <sheetName val="SC-Coker"/>
      <sheetName val="InputActDelETA"/>
      <sheetName val="ProfileETAQrys"/>
      <sheetName val="InputPO_Del"/>
      <sheetName val="ProfilePO_DelQrys"/>
      <sheetName val="ChtData"/>
      <sheetName val="ChtData2"/>
      <sheetName val="Module1"/>
      <sheetName val="Module2"/>
      <sheetName val="Sale 30-4-2006"/>
      <sheetName val="Input"/>
      <sheetName val="Equipment"/>
      <sheetName val="Feui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単独"/>
      <sheetName val="連結"/>
      <sheetName val="期中"/>
      <sheetName val="valu"/>
      <sheetName val="増減分析"/>
      <sheetName val="新素材"/>
      <sheetName val="子会社"/>
      <sheetName val="環境"/>
      <sheetName val="製錬拠点"/>
      <sheetName val="ﾃｨｻﾊﾟ"/>
      <sheetName val="ﾚｲﾃﾞﾌﾟﾗﾀ"/>
      <sheetName val="小坂"/>
      <sheetName val="中計"/>
      <sheetName val="cash"/>
      <sheetName val="ｾｸﾞﾒﾝﾄ"/>
      <sheetName val="含み益"/>
      <sheetName val="capx"/>
      <sheetName val="dep"/>
      <sheetName val="人"/>
      <sheetName val="exp"/>
      <sheetName val="Valuation Matrix"/>
      <sheetName val="HANDOUT"/>
      <sheetName val="Interm-Euro"/>
      <sheetName val="SCATTER DATA"/>
      <sheetName val="10 Yr DCF"/>
      <sheetName val="Annual-Euro"/>
      <sheetName val="Residual Income Model"/>
      <sheetName val="P"/>
      <sheetName val="EARNMOD"/>
      <sheetName val="A-100전제"/>
      <sheetName val="Names"/>
      <sheetName val="Consolidado"/>
      <sheetName val="Nordeste"/>
      <sheetName val="CfyBs"/>
      <sheetName val="Feuil1"/>
      <sheetName val="3w1h"/>
      <sheetName val="Workings"/>
      <sheetName val="RCTL-SCH"/>
      <sheetName val="Key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&amp;MCapex"/>
      <sheetName val="S&amp;M assumptions"/>
      <sheetName val="opex"/>
      <sheetName val="network assumptions"/>
      <sheetName val="assptions"/>
      <sheetName val="Qtrly"/>
      <sheetName val="FWT realization"/>
      <sheetName val="interconnect"/>
      <sheetName val="data.exp"/>
      <sheetName val="Qtrly PresN"/>
      <sheetName val="FY"/>
      <sheetName val="month wise"/>
      <sheetName val="data_exp"/>
      <sheetName val="Article"/>
      <sheetName val="Sheet3 (2)"/>
      <sheetName val="RCTL-SCH"/>
      <sheetName val="hdnSheet"/>
      <sheetName val="GSMA_Rules"/>
      <sheetName val="Assumptions"/>
      <sheetName val="Feuil1"/>
      <sheetName val="~3093716"/>
      <sheetName val="Unit Costs"/>
      <sheetName val="Civil 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NSITY"/>
      <sheetName val="TALOJA"/>
      <sheetName val="BANDRA"/>
      <sheetName val="MAHAPE"/>
      <sheetName val="THIRU"/>
      <sheetName val="RATE"/>
      <sheetName val="VALUE"/>
      <sheetName val="COMPARISON"/>
      <sheetName val="Model (Not Merged)"/>
      <sheetName val="Page1"/>
      <sheetName val="Macro1"/>
      <sheetName val="Assmpns"/>
      <sheetName val="data.exp"/>
      <sheetName val="NLD - As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SMA_Rules"/>
      <sheetName val="Summary - NonUSD"/>
      <sheetName val="Change Control"/>
      <sheetName val="Site Distribution"/>
      <sheetName val="GMI Summary"/>
      <sheetName val="IT Implementation"/>
      <sheetName val="MITC Summary"/>
      <sheetName val="Summary - USD"/>
      <sheetName val="HLBQ"/>
      <sheetName val="HLBQX"/>
      <sheetName val="Assumptions"/>
      <sheetName val="GSMA_Input"/>
      <sheetName val="Site Investment"/>
      <sheetName val="Central Investment"/>
      <sheetName val="Central_Input"/>
      <sheetName val="Reference"/>
      <sheetName val="Tarifa"/>
      <sheetName val="Absol"/>
      <sheetName val="hdnSheet"/>
      <sheetName val="COMPARISON"/>
      <sheetName val="data.exp"/>
      <sheetName val="NLD - As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meya Ukarande" id="{7C2EF1AB-C231-426F-B6BE-66ACE7B4605C}" userId="S::ameya.ukarande@tvsscs.com::bf7b0565-b63e-42e2-a190-098c99910b7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eya Ukarande" refreshedDate="45827.58237708333" createdVersion="8" refreshedVersion="8" minRefreshableVersion="3" recordCount="146" xr:uid="{74E5AB31-9D7E-4FD4-8E8E-92C3CE09D9F6}">
  <cacheSource type="worksheet">
    <worksheetSource ref="A2:AI148" sheet="CB SKU Wise Data"/>
  </cacheSource>
  <cacheFields count="36">
    <cacheField name="Row Labels" numFmtId="0">
      <sharedItems/>
    </cacheField>
    <cacheField name="Grand Total" numFmtId="0">
      <sharedItems containsSemiMixedTypes="0" containsString="0" containsNumber="1" containsInteger="1" minValue="10" maxValue="250378"/>
    </cacheField>
    <cacheField name="Average" numFmtId="2">
      <sharedItems containsSemiMixedTypes="0" containsString="0" containsNumber="1" minValue="10" maxValue="20921.833333333332"/>
    </cacheField>
    <cacheField name="New Average" numFmtId="0">
      <sharedItems containsSemiMixedTypes="0" containsString="0" containsNumber="1" containsInteger="1" minValue="10" maxValue="20922"/>
    </cacheField>
    <cacheField name="80 Percentile" numFmtId="0">
      <sharedItems containsSemiMixedTypes="0" containsString="0" containsNumber="1" containsInteger="1" minValue="10" maxValue="23187"/>
    </cacheField>
    <cacheField name="Contri %" numFmtId="10">
      <sharedItems containsSemiMixedTypes="0" containsString="0" containsNumber="1" minValue="3.8695946599593694E-5" maxValue="8.0959659475669923E-2"/>
    </cacheField>
    <cacheField name="No of Day" numFmtId="0">
      <sharedItems containsSemiMixedTypes="0" containsString="0" containsNumber="1" containsInteger="1" minValue="26" maxValue="26"/>
    </cacheField>
    <cacheField name="Daily Box" numFmtId="0">
      <sharedItems containsSemiMixedTypes="0" containsString="0" containsNumber="1" containsInteger="1" minValue="1" maxValue="892"/>
    </cacheField>
    <cacheField name="Avg. Box weight kg" numFmtId="0">
      <sharedItems containsSemiMixedTypes="0" containsString="0" containsNumber="1" containsInteger="1" minValue="15" maxValue="15"/>
    </cacheField>
    <cacheField name="CFT Weight" numFmtId="2">
      <sharedItems containsSemiMixedTypes="0" containsString="0" containsNumber="1" minValue="0" maxValue="151.10051135456601"/>
    </cacheField>
    <cacheField name="Total Box weight Kg" numFmtId="0">
      <sharedItems containsSemiMixedTypes="0" containsString="0" containsNumber="1" containsInteger="1" minValue="15" maxValue="13380"/>
    </cacheField>
    <cacheField name="Avg. Pallet weight kg)" numFmtId="0">
      <sharedItems containsSemiMixedTypes="0" containsString="0" containsNumber="1" containsInteger="1" minValue="600" maxValue="600"/>
    </cacheField>
    <cacheField name="Pallets Daily" numFmtId="0">
      <sharedItems containsSemiMixedTypes="0" containsString="0" containsNumber="1" containsInteger="1" minValue="1" maxValue="23"/>
    </cacheField>
    <cacheField name="L" numFmtId="0">
      <sharedItems containsSemiMixedTypes="0" containsString="0" containsNumber="1" minValue="105" maxValue="2032"/>
    </cacheField>
    <cacheField name="W" numFmtId="0">
      <sharedItems containsSemiMixedTypes="0" containsString="0" containsNumber="1" minValue="90" maxValue="1955.8"/>
    </cacheField>
    <cacheField name="H" numFmtId="0">
      <sharedItems containsSemiMixedTypes="0" containsString="0" containsNumber="1" minValue="7" maxValue="3048"/>
    </cacheField>
    <cacheField name="L2" numFmtId="0">
      <sharedItems containsSemiMixedTypes="0" containsString="0" containsNumber="1" containsInteger="1" minValue="1200" maxValue="2050"/>
    </cacheField>
    <cacheField name="W2" numFmtId="0">
      <sharedItems containsSemiMixedTypes="0" containsString="0" containsNumber="1" containsInteger="1" minValue="1080" maxValue="2000"/>
    </cacheField>
    <cacheField name="H2" numFmtId="0">
      <sharedItems containsSemiMixedTypes="0" containsString="0" containsNumber="1" containsInteger="1" minValue="1200" maxValue="1200"/>
    </cacheField>
    <cacheField name="Box Stacking hight" numFmtId="0">
      <sharedItems containsSemiMixedTypes="0" containsString="0" containsNumber="1" containsInteger="1" minValue="0" maxValue="171"/>
    </cacheField>
    <cacheField name="L3" numFmtId="0">
      <sharedItems containsSemiMixedTypes="0" containsString="0" containsNumber="1" containsInteger="1" minValue="1" maxValue="11"/>
    </cacheField>
    <cacheField name="W3" numFmtId="0">
      <sharedItems containsSemiMixedTypes="0" containsString="0" containsNumber="1" containsInteger="1" minValue="1" maxValue="10"/>
    </cacheField>
    <cacheField name="H3" numFmtId="0">
      <sharedItems containsSemiMixedTypes="0" containsString="0" containsNumber="1" containsInteger="1" minValue="0" maxValue="171"/>
    </cacheField>
    <cacheField name="Total" numFmtId="0">
      <sharedItems containsSemiMixedTypes="0" containsString="0" containsNumber="1" containsInteger="1" minValue="0" maxValue="770"/>
    </cacheField>
    <cacheField name="CFT Pallet Weight" numFmtId="1">
      <sharedItems containsSemiMixedTypes="0" containsString="0" containsNumber="1" minValue="0" maxValue="528.64583333333326"/>
    </cacheField>
    <cacheField name="Hight FT" numFmtId="2">
      <sharedItems containsSemiMixedTypes="0" containsString="0" containsNumber="1" minValue="3.9370078740157481" maxValue="3.9370078740157481"/>
    </cacheField>
    <cacheField name="Pallets Daily2" numFmtId="0">
      <sharedItems containsSemiMixedTypes="0" containsString="0" containsNumber="1" containsInteger="1" minValue="0" maxValue="70"/>
    </cacheField>
    <cacheField name="A" numFmtId="0">
      <sharedItems containsSemiMixedTypes="0" containsString="0" containsNumber="1" minValue="1287000" maxValue="12113317708.800001"/>
    </cacheField>
    <cacheField name="CFT" numFmtId="0">
      <sharedItems containsSemiMixedTypes="0" containsString="0" containsNumber="1" minValue="0" maxValue="20.146734847275468"/>
    </cacheField>
    <cacheField name="Pallet" numFmtId="0">
      <sharedItems count="4">
        <s v="A"/>
        <s v="A3"/>
        <s v="A1"/>
        <s v="A2"/>
      </sharedItems>
    </cacheField>
    <cacheField name="Inventory on Pallet" numFmtId="0">
      <sharedItems containsSemiMixedTypes="0" containsString="0" containsNumber="1" containsInteger="1" minValue="0" maxValue="350"/>
    </cacheField>
    <cacheField name="50%" numFmtId="0">
      <sharedItems containsSemiMixedTypes="0" containsString="0" containsNumber="1" minValue="0" maxValue="35"/>
    </cacheField>
    <cacheField name="20%" numFmtId="0">
      <sharedItems containsSemiMixedTypes="0" containsString="0" containsNumber="1" minValue="0" maxValue="42"/>
    </cacheField>
    <cacheField name="20%2" numFmtId="0">
      <sharedItems containsSemiMixedTypes="0" containsString="0" containsNumber="1" minValue="0" maxValue="98"/>
    </cacheField>
    <cacheField name="10%" numFmtId="0">
      <sharedItems containsSemiMixedTypes="0" containsString="0" containsNumber="1" minValue="0" maxValue="420"/>
    </cacheField>
    <cacheField name="Total Pallets" numFmtId="0">
      <sharedItems containsSemiMixedTypes="0" containsString="0" containsNumber="1" minValue="0" maxValue="5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eya Ukarande" refreshedDate="45827.582377314815" createdVersion="8" refreshedVersion="8" minRefreshableVersion="3" recordCount="16" xr:uid="{88993745-B368-48ED-88C7-F910CFBF0B4D}">
  <cacheSource type="worksheet">
    <worksheetSource ref="A2:AK18" sheet="PP Plant"/>
  </cacheSource>
  <cacheFields count="37">
    <cacheField name="Row Labels" numFmtId="0">
      <sharedItems containsBlank="1"/>
    </cacheField>
    <cacheField name="Total" numFmtId="2">
      <sharedItems containsString="0" containsBlank="1" containsNumber="1" minValue="42" maxValue="86209"/>
    </cacheField>
    <cacheField name="Average" numFmtId="2">
      <sharedItems containsString="0" containsBlank="1" containsNumber="1" minValue="14" maxValue="6631.4615384615381"/>
    </cacheField>
    <cacheField name="New Average" numFmtId="0">
      <sharedItems containsString="0" containsBlank="1" containsNumber="1" containsInteger="1" minValue="14" maxValue="6632"/>
    </cacheField>
    <cacheField name="80 Percentile" numFmtId="0">
      <sharedItems containsString="0" containsBlank="1" containsNumber="1" containsInteger="1" minValue="20" maxValue="7308"/>
    </cacheField>
    <cacheField name="Days" numFmtId="0">
      <sharedItems containsString="0" containsBlank="1" containsNumber="1" containsInteger="1" minValue="26" maxValue="26"/>
    </cacheField>
    <cacheField name="Daily Boxes" numFmtId="0">
      <sharedItems containsString="0" containsBlank="1" containsNumber="1" containsInteger="1" minValue="1" maxValue="282"/>
    </cacheField>
    <cacheField name="Avg. weight of box kg" numFmtId="0">
      <sharedItems containsString="0" containsBlank="1" containsNumber="1" containsInteger="1" minValue="18" maxValue="18"/>
    </cacheField>
    <cacheField name="CFT Weight" numFmtId="0">
      <sharedItems containsSemiMixedTypes="0" containsString="0" containsNumber="1" minValue="7.6279680118415358" maxValue="38.404700059618847"/>
    </cacheField>
    <cacheField name="Total Box weight" numFmtId="0">
      <sharedItems containsString="0" containsBlank="1" containsNumber="1" containsInteger="1" minValue="18" maxValue="5076"/>
    </cacheField>
    <cacheField name="Avg. Pallet weight kg)" numFmtId="0">
      <sharedItems containsString="0" containsBlank="1" containsNumber="1" containsInteger="1" minValue="600" maxValue="600"/>
    </cacheField>
    <cacheField name="Pallets Daily" numFmtId="0">
      <sharedItems containsString="0" containsBlank="1" containsNumber="1" containsInteger="1" minValue="1" maxValue="9"/>
    </cacheField>
    <cacheField name="%" numFmtId="9">
      <sharedItems containsSemiMixedTypes="0" containsString="0" containsNumber="1" minValue="0.16600000000000001" maxValue="1"/>
    </cacheField>
    <cacheField name="Daily Boxes2" numFmtId="0">
      <sharedItems containsSemiMixedTypes="0" containsString="0" containsNumber="1" containsInteger="1" minValue="1" maxValue="188"/>
    </cacheField>
    <cacheField name="L" numFmtId="0">
      <sharedItems containsSemiMixedTypes="0" containsString="0" containsNumber="1" containsInteger="1" minValue="400" maxValue="1450"/>
    </cacheField>
    <cacheField name="W" numFmtId="0">
      <sharedItems containsSemiMixedTypes="0" containsString="0" containsNumber="1" minValue="300" maxValue="600"/>
    </cacheField>
    <cacheField name="H" numFmtId="0">
      <sharedItems containsSemiMixedTypes="0" containsString="0" containsNumber="1" minValue="160" maxValue="360"/>
    </cacheField>
    <cacheField name="L2" numFmtId="0">
      <sharedItems containsSemiMixedTypes="0" containsString="0" containsNumber="1" containsInteger="1" minValue="1200" maxValue="1500"/>
    </cacheField>
    <cacheField name="W2" numFmtId="0">
      <sharedItems containsSemiMixedTypes="0" containsString="0" containsNumber="1" containsInteger="1" minValue="1080" maxValue="1080"/>
    </cacheField>
    <cacheField name="H2" numFmtId="0">
      <sharedItems containsSemiMixedTypes="0" containsString="0" containsNumber="1" containsInteger="1" minValue="1200" maxValue="1200"/>
    </cacheField>
    <cacheField name="Box Stacking hight" numFmtId="0">
      <sharedItems containsSemiMixedTypes="0" containsString="0" containsNumber="1" containsInteger="1" minValue="3" maxValue="7"/>
    </cacheField>
    <cacheField name="L3" numFmtId="0">
      <sharedItems containsSemiMixedTypes="0" containsString="0" containsNumber="1" containsInteger="1" minValue="1" maxValue="3"/>
    </cacheField>
    <cacheField name="W3" numFmtId="0">
      <sharedItems containsSemiMixedTypes="0" containsString="0" containsNumber="1" containsInteger="1" minValue="1" maxValue="3"/>
    </cacheField>
    <cacheField name="H3" numFmtId="0">
      <sharedItems containsSemiMixedTypes="0" containsString="0" containsNumber="1" containsInteger="1" minValue="3" maxValue="7"/>
    </cacheField>
    <cacheField name="Total2" numFmtId="0">
      <sharedItems containsSemiMixedTypes="0" containsString="0" containsNumber="1" containsInteger="1" minValue="5" maxValue="42"/>
    </cacheField>
    <cacheField name="Pallet Weight" numFmtId="1">
      <sharedItems containsSemiMixedTypes="0" containsString="0" containsNumber="1" minValue="69.923040108547411" maxValue="587.35353691179819"/>
    </cacheField>
    <cacheField name="Hight FT" numFmtId="2">
      <sharedItems containsSemiMixedTypes="0" containsString="0" containsNumber="1" minValue="3.9370078740157481" maxValue="3.9370078740157481"/>
    </cacheField>
    <cacheField name="Pallets Daily2" numFmtId="0">
      <sharedItems containsSemiMixedTypes="0" containsString="0" containsNumber="1" containsInteger="1" minValue="1" maxValue="10"/>
    </cacheField>
    <cacheField name="A" numFmtId="0">
      <sharedItems containsSemiMixedTypes="0" containsString="0" containsNumber="1" minValue="28800000" maxValue="145000000"/>
    </cacheField>
    <cacheField name="CFT" numFmtId="0">
      <sharedItems containsSemiMixedTypes="0" containsString="0" containsNumber="1" minValue="1.0170624015788714" maxValue="5.1206266746158464"/>
    </cacheField>
    <cacheField name="Pallet Type" numFmtId="0">
      <sharedItems count="2">
        <s v="A"/>
        <s v="A4"/>
      </sharedItems>
    </cacheField>
    <cacheField name="Inventory" numFmtId="0">
      <sharedItems containsSemiMixedTypes="0" containsString="0" containsNumber="1" containsInteger="1" minValue="10" maxValue="100"/>
    </cacheField>
    <cacheField name="50%" numFmtId="1">
      <sharedItems containsSemiMixedTypes="0" containsString="0" containsNumber="1" minValue="0.5" maxValue="5"/>
    </cacheField>
    <cacheField name="20%" numFmtId="1">
      <sharedItems containsSemiMixedTypes="0" containsString="0" containsNumber="1" minValue="0.60000000000000009" maxValue="6"/>
    </cacheField>
    <cacheField name="20%2" numFmtId="1">
      <sharedItems containsSemiMixedTypes="0" containsString="0" containsNumber="1" minValue="1.4000000000000001" maxValue="14"/>
    </cacheField>
    <cacheField name="10%" numFmtId="1">
      <sharedItems containsSemiMixedTypes="0" containsString="0" containsNumber="1" minValue="6" maxValue="60"/>
    </cacheField>
    <cacheField name="Total PP" numFmtId="1">
      <sharedItems containsSemiMixedTypes="0" containsString="0" containsNumber="1" minValue="8.5" maxValue="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eya Ukarande" refreshedDate="45827.582377777777" createdVersion="8" refreshedVersion="8" minRefreshableVersion="3" recordCount="17" xr:uid="{4988AF00-DDB3-4F3E-A7D9-A68F996B7C64}">
  <cacheSource type="worksheet">
    <worksheetSource ref="A2:AO19" sheet="Wooden box"/>
  </cacheSource>
  <cacheFields count="41">
    <cacheField name="Type" numFmtId="0">
      <sharedItems/>
    </cacheField>
    <cacheField name="Wight" numFmtId="0">
      <sharedItems containsString="0" containsBlank="1" containsNumber="1" containsInteger="1" minValue="200" maxValue="500"/>
    </cacheField>
    <cacheField name="Iteam Descripation" numFmtId="0">
      <sharedItems/>
    </cacheField>
    <cacheField name="Size" numFmtId="0">
      <sharedItems containsBlank="1"/>
    </cacheField>
    <cacheField name="Apr 2024" numFmtId="0">
      <sharedItems containsString="0" containsBlank="1" containsNumber="1" containsInteger="1" minValue="10" maxValue="1365"/>
    </cacheField>
    <cacheField name="Aug 2024" numFmtId="0">
      <sharedItems containsString="0" containsBlank="1" containsNumber="1" containsInteger="1" minValue="5" maxValue="1360"/>
    </cacheField>
    <cacheField name="Dec 2024" numFmtId="0">
      <sharedItems containsString="0" containsBlank="1" containsNumber="1" containsInteger="1" minValue="5" maxValue="957"/>
    </cacheField>
    <cacheField name="Feb 2025" numFmtId="0">
      <sharedItems containsString="0" containsBlank="1" containsNumber="1" containsInteger="1" minValue="10" maxValue="1305"/>
    </cacheField>
    <cacheField name="Jan 2025" numFmtId="0">
      <sharedItems containsString="0" containsBlank="1" containsNumber="1" containsInteger="1" minValue="5" maxValue="915"/>
    </cacheField>
    <cacheField name="Jul 2024" numFmtId="0">
      <sharedItems containsString="0" containsBlank="1" containsNumber="1" containsInteger="1" minValue="10" maxValue="1665"/>
    </cacheField>
    <cacheField name="Jun 2024" numFmtId="0">
      <sharedItems containsString="0" containsBlank="1" containsNumber="1" containsInteger="1" minValue="15" maxValue="1430"/>
    </cacheField>
    <cacheField name="Mar 2024" numFmtId="0">
      <sharedItems containsString="0" containsBlank="1" containsNumber="1" containsInteger="1" minValue="10" maxValue="1500"/>
    </cacheField>
    <cacheField name="Mar 2025" numFmtId="0">
      <sharedItems containsString="0" containsBlank="1" containsNumber="1" containsInteger="1" minValue="2" maxValue="1046"/>
    </cacheField>
    <cacheField name="May 2024" numFmtId="0">
      <sharedItems containsString="0" containsBlank="1" containsNumber="1" containsInteger="1" minValue="10" maxValue="1480"/>
    </cacheField>
    <cacheField name="Nov 2024" numFmtId="0">
      <sharedItems containsString="0" containsBlank="1" containsNumber="1" containsInteger="1" minValue="10" maxValue="940"/>
    </cacheField>
    <cacheField name="Oct 2024" numFmtId="0">
      <sharedItems containsString="0" containsBlank="1" containsNumber="1" containsInteger="1" minValue="10" maxValue="1265"/>
    </cacheField>
    <cacheField name="Sep 2024" numFmtId="0">
      <sharedItems containsString="0" containsBlank="1" containsNumber="1" containsInteger="1" minValue="30" maxValue="1370"/>
    </cacheField>
    <cacheField name="Grand Total" numFmtId="0">
      <sharedItems containsSemiMixedTypes="0" containsString="0" containsNumber="1" containsInteger="1" minValue="2" maxValue="16598"/>
    </cacheField>
    <cacheField name="% of total purchase" numFmtId="216">
      <sharedItems containsSemiMixedTypes="0" containsString="0" containsNumber="1" minValue="6.69904538603249E-5" maxValue="0.55595377658683642"/>
    </cacheField>
    <cacheField name="Monthly_x000a_Nos" numFmtId="216">
      <sharedItems containsSemiMixedTypes="0" containsString="0" containsNumber="1" minValue="2" maxValue="1276.7692307692307"/>
    </cacheField>
    <cacheField name="Daily_x000a_Nos" numFmtId="216">
      <sharedItems containsSemiMixedTypes="0" containsString="0" containsNumber="1" minValue="7.6923076923076927E-2" maxValue="49.106508875739642"/>
    </cacheField>
    <cacheField name="L" numFmtId="0">
      <sharedItems containsSemiMixedTypes="0" containsString="0" containsNumber="1" minValue="760" maxValue="2438.4"/>
    </cacheField>
    <cacheField name="W" numFmtId="0">
      <sharedItems containsSemiMixedTypes="0" containsString="0" containsNumber="1" minValue="736.6" maxValue="1447.8"/>
    </cacheField>
    <cacheField name="H" numFmtId="0">
      <sharedItems containsSemiMixedTypes="0" containsString="0" containsNumber="1" minValue="125" maxValue="1200"/>
    </cacheField>
    <cacheField name="L2" numFmtId="0">
      <sharedItems containsSemiMixedTypes="0" containsString="0" containsNumber="1" containsInteger="1" minValue="1200" maxValue="1200"/>
    </cacheField>
    <cacheField name="W2" numFmtId="0">
      <sharedItems containsSemiMixedTypes="0" containsString="0" containsNumber="1" containsInteger="1" minValue="1080" maxValue="1080"/>
    </cacheField>
    <cacheField name="H2" numFmtId="0">
      <sharedItems containsSemiMixedTypes="0" containsString="0" containsNumber="1" containsInteger="1" minValue="1200" maxValue="1200"/>
    </cacheField>
    <cacheField name="Box Stacking hight" numFmtId="0">
      <sharedItems containsNonDate="0" containsString="0" containsBlank="1"/>
    </cacheField>
    <cacheField name="L3" numFmtId="0">
      <sharedItems containsSemiMixedTypes="0" containsString="0" containsNumber="1" containsInteger="1" minValue="0" maxValue="1"/>
    </cacheField>
    <cacheField name="W3" numFmtId="0">
      <sharedItems containsSemiMixedTypes="0" containsString="0" containsNumber="1" containsInteger="1" minValue="0" maxValue="1"/>
    </cacheField>
    <cacheField name="H3" numFmtId="0">
      <sharedItems containsSemiMixedTypes="0" containsString="0" containsNumber="1" containsInteger="1" minValue="1" maxValue="9"/>
    </cacheField>
    <cacheField name="Total" numFmtId="0">
      <sharedItems containsSemiMixedTypes="0" containsString="0" containsNumber="1" containsInteger="1" minValue="0" maxValue="9"/>
    </cacheField>
    <cacheField name="Pallet Weight" numFmtId="0">
      <sharedItems containsSemiMixedTypes="0" containsString="0" containsNumber="1" containsInteger="1" minValue="0" maxValue="500"/>
    </cacheField>
    <cacheField name="Pallets Daily" numFmtId="164">
      <sharedItems containsSemiMixedTypes="0" containsString="0" containsNumber="1" containsInteger="1" minValue="0" maxValue="50"/>
    </cacheField>
    <cacheField name="Pallet Type" numFmtId="0">
      <sharedItems count="10">
        <s v="A"/>
        <s v="A5"/>
        <s v="A7"/>
        <s v="A11"/>
        <s v="A9"/>
        <s v="A10"/>
        <s v="A12"/>
        <s v="A13"/>
        <s v="A6"/>
        <s v="A8"/>
      </sharedItems>
    </cacheField>
    <cacheField name="Inventory" numFmtId="164">
      <sharedItems containsSemiMixedTypes="0" containsString="0" containsNumber="1" minValue="2.4038461538461537" maxValue="500"/>
    </cacheField>
    <cacheField name="50%" numFmtId="216">
      <sharedItems containsSemiMixedTypes="0" containsString="0" containsNumber="1" minValue="0.1201923076923077" maxValue="25"/>
    </cacheField>
    <cacheField name="20%" numFmtId="216">
      <sharedItems containsSemiMixedTypes="0" containsString="0" containsNumber="1" minValue="0.14423076923076925" maxValue="30"/>
    </cacheField>
    <cacheField name="20%2" numFmtId="216">
      <sharedItems containsSemiMixedTypes="0" containsString="0" containsNumber="1" minValue="0.33653846153846156" maxValue="70"/>
    </cacheField>
    <cacheField name="10%" numFmtId="216">
      <sharedItems containsSemiMixedTypes="0" containsString="0" containsNumber="1" minValue="1.4423076923076923" maxValue="300"/>
    </cacheField>
    <cacheField name="Total Pallets" numFmtId="216">
      <sharedItems containsSemiMixedTypes="0" containsString="0" containsNumber="1" minValue="2.0432692307692308" maxValue="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eya Ukarande" refreshedDate="45827.582378009261" createdVersion="8" refreshedVersion="8" minRefreshableVersion="3" recordCount="146" xr:uid="{C53AB17F-BD8E-4C81-B3D1-0B40B756CC0A}">
  <cacheSource type="worksheet">
    <worksheetSource ref="A2:AO148" sheet="CB SKU Wise Data (2)"/>
  </cacheSource>
  <cacheFields count="41">
    <cacheField name="Row Labels" numFmtId="0">
      <sharedItems/>
    </cacheField>
    <cacheField name="Grand Total" numFmtId="0">
      <sharedItems containsSemiMixedTypes="0" containsString="0" containsNumber="1" containsInteger="1" minValue="10" maxValue="250378"/>
    </cacheField>
    <cacheField name="Average" numFmtId="2">
      <sharedItems containsSemiMixedTypes="0" containsString="0" containsNumber="1" minValue="10" maxValue="20921.833333333332"/>
    </cacheField>
    <cacheField name="New Average" numFmtId="0">
      <sharedItems containsSemiMixedTypes="0" containsString="0" containsNumber="1" containsInteger="1" minValue="10" maxValue="20922"/>
    </cacheField>
    <cacheField name="75 Percentile" numFmtId="0">
      <sharedItems containsSemiMixedTypes="0" containsString="0" containsNumber="1" containsInteger="1" minValue="10" maxValue="23187"/>
    </cacheField>
    <cacheField name="Contri %" numFmtId="10">
      <sharedItems containsSemiMixedTypes="0" containsString="0" containsNumber="1" minValue="3.8695946599593694E-5" maxValue="8.0959659475669923E-2"/>
    </cacheField>
    <cacheField name="No of Day" numFmtId="0">
      <sharedItems containsSemiMixedTypes="0" containsString="0" containsNumber="1" containsInteger="1" minValue="26" maxValue="26"/>
    </cacheField>
    <cacheField name="Daily Box" numFmtId="0">
      <sharedItems containsSemiMixedTypes="0" containsString="0" containsNumber="1" containsInteger="1" minValue="1" maxValue="892"/>
    </cacheField>
    <cacheField name="Avg. Box weight kg" numFmtId="0">
      <sharedItems containsSemiMixedTypes="0" containsString="0" containsNumber="1" containsInteger="1" minValue="15" maxValue="15"/>
    </cacheField>
    <cacheField name="CFT Weight" numFmtId="2">
      <sharedItems containsSemiMixedTypes="0" containsString="0" containsNumber="1" minValue="0" maxValue="151.10051135456601"/>
    </cacheField>
    <cacheField name="Total Box weight Kg" numFmtId="0">
      <sharedItems containsSemiMixedTypes="0" containsString="0" containsNumber="1" containsInteger="1" minValue="15" maxValue="13380"/>
    </cacheField>
    <cacheField name="Avg. Pallet weight kg)" numFmtId="0">
      <sharedItems containsSemiMixedTypes="0" containsString="0" containsNumber="1" containsInteger="1" minValue="600" maxValue="600"/>
    </cacheField>
    <cacheField name="Pallets Daily" numFmtId="0">
      <sharedItems containsSemiMixedTypes="0" containsString="0" containsNumber="1" containsInteger="1" minValue="1" maxValue="23"/>
    </cacheField>
    <cacheField name="L" numFmtId="0">
      <sharedItems containsSemiMixedTypes="0" containsString="0" containsNumber="1" minValue="105" maxValue="2032"/>
    </cacheField>
    <cacheField name="W" numFmtId="0">
      <sharedItems containsSemiMixedTypes="0" containsString="0" containsNumber="1" minValue="90" maxValue="1955.8"/>
    </cacheField>
    <cacheField name="H" numFmtId="0">
      <sharedItems containsSemiMixedTypes="0" containsString="0" containsNumber="1" minValue="7" maxValue="3048"/>
    </cacheField>
    <cacheField name="L2" numFmtId="0">
      <sharedItems containsSemiMixedTypes="0" containsString="0" containsNumber="1" containsInteger="1" minValue="1200" maxValue="2050"/>
    </cacheField>
    <cacheField name="W2" numFmtId="0">
      <sharedItems containsSemiMixedTypes="0" containsString="0" containsNumber="1" containsInteger="1" minValue="1080" maxValue="2000"/>
    </cacheField>
    <cacheField name="H2" numFmtId="0">
      <sharedItems containsSemiMixedTypes="0" containsString="0" containsNumber="1" containsInteger="1" minValue="1200" maxValue="1200"/>
    </cacheField>
    <cacheField name="Box Stacking hight" numFmtId="0">
      <sharedItems containsSemiMixedTypes="0" containsString="0" containsNumber="1" containsInteger="1" minValue="0" maxValue="171"/>
    </cacheField>
    <cacheField name="L3" numFmtId="0">
      <sharedItems containsSemiMixedTypes="0" containsString="0" containsNumber="1" containsInteger="1" minValue="1" maxValue="11"/>
    </cacheField>
    <cacheField name="W3" numFmtId="0">
      <sharedItems containsSemiMixedTypes="0" containsString="0" containsNumber="1" containsInteger="1" minValue="1" maxValue="10"/>
    </cacheField>
    <cacheField name="H3" numFmtId="0">
      <sharedItems containsSemiMixedTypes="0" containsString="0" containsNumber="1" containsInteger="1" minValue="0" maxValue="171"/>
    </cacheField>
    <cacheField name="Total" numFmtId="0">
      <sharedItems containsSemiMixedTypes="0" containsString="0" containsNumber="1" containsInteger="1" minValue="0" maxValue="770"/>
    </cacheField>
    <cacheField name="CFT Pallet Weight" numFmtId="1">
      <sharedItems containsSemiMixedTypes="0" containsString="0" containsNumber="1" minValue="0" maxValue="528.64583333333326"/>
    </cacheField>
    <cacheField name="Hight FT" numFmtId="2">
      <sharedItems containsSemiMixedTypes="0" containsString="0" containsNumber="1" minValue="3.9370078740157481" maxValue="3.9370078740157481"/>
    </cacheField>
    <cacheField name="Pallets Daily2" numFmtId="0">
      <sharedItems containsSemiMixedTypes="0" containsString="0" containsNumber="1" containsInteger="1" minValue="0" maxValue="70"/>
    </cacheField>
    <cacheField name="A" numFmtId="0">
      <sharedItems containsSemiMixedTypes="0" containsString="0" containsNumber="1" minValue="1287000" maxValue="12113317708.800001"/>
    </cacheField>
    <cacheField name="CFT" numFmtId="0">
      <sharedItems containsSemiMixedTypes="0" containsString="0" containsNumber="1" minValue="0" maxValue="20.146734847275468"/>
    </cacheField>
    <cacheField name="Pallet" numFmtId="0">
      <sharedItems count="4">
        <s v="A"/>
        <s v="A3"/>
        <s v="A1"/>
        <s v="A2"/>
      </sharedItems>
    </cacheField>
    <cacheField name="Inventory on Pallet" numFmtId="0">
      <sharedItems containsSemiMixedTypes="0" containsString="0" containsNumber="1" containsInteger="1" minValue="0" maxValue="350"/>
    </cacheField>
    <cacheField name="50%" numFmtId="1">
      <sharedItems containsSemiMixedTypes="0" containsString="0" containsNumber="1" minValue="0.5" maxValue="446"/>
    </cacheField>
    <cacheField name="20%" numFmtId="1">
      <sharedItems containsSemiMixedTypes="0" containsString="0" containsNumber="1" minValue="0.2" maxValue="178.4"/>
    </cacheField>
    <cacheField name="20%2" numFmtId="1">
      <sharedItems containsSemiMixedTypes="0" containsString="0" containsNumber="1" minValue="0.2" maxValue="178.4"/>
    </cacheField>
    <cacheField name="10%" numFmtId="1">
      <sharedItems containsSemiMixedTypes="0" containsString="0" containsNumber="1" minValue="0.1" maxValue="89.2"/>
    </cacheField>
    <cacheField name="Total Boxes" numFmtId="0">
      <sharedItems containsSemiMixedTypes="0" containsString="0" containsNumber="1" minValue="0.99999999999999989" maxValue="892"/>
    </cacheField>
    <cacheField name="D" numFmtId="1">
      <sharedItems containsSemiMixedTypes="0" containsString="0" containsNumber="1" containsInteger="1" minValue="0" maxValue="33"/>
    </cacheField>
    <cacheField name="D2" numFmtId="1">
      <sharedItems containsSemiMixedTypes="0" containsString="0" containsNumber="1" containsInteger="1" minValue="0" maxValue="40"/>
    </cacheField>
    <cacheField name="D3" numFmtId="1">
      <sharedItems containsSemiMixedTypes="0" containsString="0" containsNumber="1" containsInteger="1" minValue="0" maxValue="93"/>
    </cacheField>
    <cacheField name="D4" numFmtId="1">
      <sharedItems containsSemiMixedTypes="0" containsString="0" containsNumber="1" containsInteger="1" minValue="0" maxValue="397"/>
    </cacheField>
    <cacheField name="Total pallets" numFmtId="1">
      <sharedItems containsSemiMixedTypes="0" containsString="0" containsNumber="1" containsInteger="1" minValue="0" maxValue="5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eya Ukarande" refreshedDate="45827.582378125" createdVersion="8" refreshedVersion="8" minRefreshableVersion="3" recordCount="146" xr:uid="{DD1ADBF1-09EB-4F80-9FA7-92D0FF9F5A48}">
  <cacheSource type="worksheet">
    <worksheetSource ref="A2:AJ148" sheet="CB SKU Wise Data (2)"/>
  </cacheSource>
  <cacheFields count="36">
    <cacheField name="Row Labels" numFmtId="0">
      <sharedItems/>
    </cacheField>
    <cacheField name="Grand Total" numFmtId="0">
      <sharedItems containsSemiMixedTypes="0" containsString="0" containsNumber="1" containsInteger="1" minValue="10" maxValue="250378"/>
    </cacheField>
    <cacheField name="Average" numFmtId="2">
      <sharedItems containsSemiMixedTypes="0" containsString="0" containsNumber="1" minValue="10" maxValue="20921.833333333332"/>
    </cacheField>
    <cacheField name="New Average" numFmtId="0">
      <sharedItems containsSemiMixedTypes="0" containsString="0" containsNumber="1" containsInteger="1" minValue="10" maxValue="20922"/>
    </cacheField>
    <cacheField name="75 Percentile" numFmtId="0">
      <sharedItems containsSemiMixedTypes="0" containsString="0" containsNumber="1" containsInteger="1" minValue="10" maxValue="23187"/>
    </cacheField>
    <cacheField name="Contri %" numFmtId="10">
      <sharedItems containsSemiMixedTypes="0" containsString="0" containsNumber="1" minValue="3.8695946599593694E-5" maxValue="8.0959659475669923E-2"/>
    </cacheField>
    <cacheField name="No of Day" numFmtId="0">
      <sharedItems containsSemiMixedTypes="0" containsString="0" containsNumber="1" containsInteger="1" minValue="26" maxValue="26"/>
    </cacheField>
    <cacheField name="Daily Box" numFmtId="0">
      <sharedItems containsSemiMixedTypes="0" containsString="0" containsNumber="1" containsInteger="1" minValue="1" maxValue="892"/>
    </cacheField>
    <cacheField name="Avg. Box weight kg" numFmtId="0">
      <sharedItems containsSemiMixedTypes="0" containsString="0" containsNumber="1" containsInteger="1" minValue="15" maxValue="15"/>
    </cacheField>
    <cacheField name="CFT Weight" numFmtId="2">
      <sharedItems containsSemiMixedTypes="0" containsString="0" containsNumber="1" minValue="0" maxValue="151.10051135456601"/>
    </cacheField>
    <cacheField name="Total Box weight Kg" numFmtId="0">
      <sharedItems containsSemiMixedTypes="0" containsString="0" containsNumber="1" containsInteger="1" minValue="15" maxValue="13380"/>
    </cacheField>
    <cacheField name="Avg. Pallet weight kg)" numFmtId="0">
      <sharedItems containsSemiMixedTypes="0" containsString="0" containsNumber="1" containsInteger="1" minValue="600" maxValue="600"/>
    </cacheField>
    <cacheField name="Pallets Daily" numFmtId="0">
      <sharedItems containsSemiMixedTypes="0" containsString="0" containsNumber="1" containsInteger="1" minValue="1" maxValue="23"/>
    </cacheField>
    <cacheField name="L" numFmtId="0">
      <sharedItems containsSemiMixedTypes="0" containsString="0" containsNumber="1" minValue="105" maxValue="2032"/>
    </cacheField>
    <cacheField name="W" numFmtId="0">
      <sharedItems containsSemiMixedTypes="0" containsString="0" containsNumber="1" minValue="90" maxValue="1955.8"/>
    </cacheField>
    <cacheField name="H" numFmtId="0">
      <sharedItems containsSemiMixedTypes="0" containsString="0" containsNumber="1" minValue="7" maxValue="3048"/>
    </cacheField>
    <cacheField name="L2" numFmtId="0">
      <sharedItems containsSemiMixedTypes="0" containsString="0" containsNumber="1" containsInteger="1" minValue="1200" maxValue="2050"/>
    </cacheField>
    <cacheField name="W2" numFmtId="0">
      <sharedItems containsSemiMixedTypes="0" containsString="0" containsNumber="1" containsInteger="1" minValue="1080" maxValue="2000"/>
    </cacheField>
    <cacheField name="H2" numFmtId="0">
      <sharedItems containsSemiMixedTypes="0" containsString="0" containsNumber="1" containsInteger="1" minValue="1200" maxValue="1200"/>
    </cacheField>
    <cacheField name="Box Stacking hight" numFmtId="0">
      <sharedItems containsSemiMixedTypes="0" containsString="0" containsNumber="1" containsInteger="1" minValue="0" maxValue="171"/>
    </cacheField>
    <cacheField name="L3" numFmtId="0">
      <sharedItems containsSemiMixedTypes="0" containsString="0" containsNumber="1" containsInteger="1" minValue="1" maxValue="11"/>
    </cacheField>
    <cacheField name="W3" numFmtId="0">
      <sharedItems containsSemiMixedTypes="0" containsString="0" containsNumber="1" containsInteger="1" minValue="1" maxValue="10"/>
    </cacheField>
    <cacheField name="H3" numFmtId="0">
      <sharedItems containsSemiMixedTypes="0" containsString="0" containsNumber="1" containsInteger="1" minValue="0" maxValue="171"/>
    </cacheField>
    <cacheField name="Total" numFmtId="0">
      <sharedItems containsSemiMixedTypes="0" containsString="0" containsNumber="1" containsInteger="1" minValue="0" maxValue="770"/>
    </cacheField>
    <cacheField name="CFT Pallet Weight" numFmtId="1">
      <sharedItems containsSemiMixedTypes="0" containsString="0" containsNumber="1" minValue="0" maxValue="528.64583333333326"/>
    </cacheField>
    <cacheField name="Hight FT" numFmtId="2">
      <sharedItems containsSemiMixedTypes="0" containsString="0" containsNumber="1" minValue="3.9370078740157481" maxValue="3.9370078740157481"/>
    </cacheField>
    <cacheField name="Pallets Daily2" numFmtId="0">
      <sharedItems containsSemiMixedTypes="0" containsString="0" containsNumber="1" containsInteger="1" minValue="0" maxValue="70"/>
    </cacheField>
    <cacheField name="A" numFmtId="0">
      <sharedItems containsSemiMixedTypes="0" containsString="0" containsNumber="1" minValue="1287000" maxValue="12113317708.800001"/>
    </cacheField>
    <cacheField name="CFT" numFmtId="0">
      <sharedItems containsSemiMixedTypes="0" containsString="0" containsNumber="1" minValue="0" maxValue="20.146734847275468"/>
    </cacheField>
    <cacheField name="Pallet" numFmtId="0">
      <sharedItems count="4">
        <s v="A"/>
        <s v="A3"/>
        <s v="A1"/>
        <s v="A2"/>
      </sharedItems>
    </cacheField>
    <cacheField name="Inventory on Pallet" numFmtId="0">
      <sharedItems containsSemiMixedTypes="0" containsString="0" containsNumber="1" containsInteger="1" minValue="0" maxValue="350"/>
    </cacheField>
    <cacheField name="50%" numFmtId="1">
      <sharedItems containsSemiMixedTypes="0" containsString="0" containsNumber="1" minValue="0.5" maxValue="446"/>
    </cacheField>
    <cacheField name="20%" numFmtId="1">
      <sharedItems containsSemiMixedTypes="0" containsString="0" containsNumber="1" minValue="0.2" maxValue="178.4"/>
    </cacheField>
    <cacheField name="20%2" numFmtId="1">
      <sharedItems containsSemiMixedTypes="0" containsString="0" containsNumber="1" minValue="0.2" maxValue="178.4"/>
    </cacheField>
    <cacheField name="10%" numFmtId="1">
      <sharedItems containsSemiMixedTypes="0" containsString="0" containsNumber="1" minValue="0.1" maxValue="89.2"/>
    </cacheField>
    <cacheField name="Total Boxes" numFmtId="0">
      <sharedItems containsSemiMixedTypes="0" containsString="0" containsNumber="1" minValue="0.99999999999999989" maxValue="8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eya Ukarande" refreshedDate="45827.582378240739" createdVersion="8" refreshedVersion="8" minRefreshableVersion="3" recordCount="146" xr:uid="{99461ED0-FB28-4187-B7BD-D01CC3C3FEAD}">
  <cacheSource type="worksheet">
    <worksheetSource ref="A2:AR148" sheet="CB SKU Wise Data"/>
  </cacheSource>
  <cacheFields count="45">
    <cacheField name="Row Labels" numFmtId="0">
      <sharedItems/>
    </cacheField>
    <cacheField name="Grand Total" numFmtId="0">
      <sharedItems containsSemiMixedTypes="0" containsString="0" containsNumber="1" containsInteger="1" minValue="10" maxValue="250378"/>
    </cacheField>
    <cacheField name="Average" numFmtId="2">
      <sharedItems containsSemiMixedTypes="0" containsString="0" containsNumber="1" minValue="10" maxValue="20921.833333333332"/>
    </cacheField>
    <cacheField name="New Average" numFmtId="0">
      <sharedItems containsSemiMixedTypes="0" containsString="0" containsNumber="1" containsInteger="1" minValue="10" maxValue="20922"/>
    </cacheField>
    <cacheField name="80 Percentile" numFmtId="0">
      <sharedItems containsSemiMixedTypes="0" containsString="0" containsNumber="1" containsInteger="1" minValue="10" maxValue="23187"/>
    </cacheField>
    <cacheField name="Contri %" numFmtId="10">
      <sharedItems containsSemiMixedTypes="0" containsString="0" containsNumber="1" minValue="3.8695946599593694E-5" maxValue="8.0959659475669923E-2"/>
    </cacheField>
    <cacheField name="No of Day" numFmtId="0">
      <sharedItems containsSemiMixedTypes="0" containsString="0" containsNumber="1" containsInteger="1" minValue="26" maxValue="26"/>
    </cacheField>
    <cacheField name="Daily Box" numFmtId="0">
      <sharedItems containsSemiMixedTypes="0" containsString="0" containsNumber="1" containsInteger="1" minValue="1" maxValue="892"/>
    </cacheField>
    <cacheField name="Avg. Box weight kg" numFmtId="0">
      <sharedItems containsSemiMixedTypes="0" containsString="0" containsNumber="1" containsInteger="1" minValue="15" maxValue="15"/>
    </cacheField>
    <cacheField name="CFT Weight" numFmtId="2">
      <sharedItems containsSemiMixedTypes="0" containsString="0" containsNumber="1" minValue="0" maxValue="151.10051135456601"/>
    </cacheField>
    <cacheField name="Total Box weight Kg" numFmtId="0">
      <sharedItems containsSemiMixedTypes="0" containsString="0" containsNumber="1" containsInteger="1" minValue="15" maxValue="13380"/>
    </cacheField>
    <cacheField name="Avg. Pallet weight kg)" numFmtId="0">
      <sharedItems containsSemiMixedTypes="0" containsString="0" containsNumber="1" containsInteger="1" minValue="600" maxValue="600"/>
    </cacheField>
    <cacheField name="Pallets Daily" numFmtId="0">
      <sharedItems containsSemiMixedTypes="0" containsString="0" containsNumber="1" containsInteger="1" minValue="1" maxValue="23"/>
    </cacheField>
    <cacheField name="L" numFmtId="0">
      <sharedItems containsSemiMixedTypes="0" containsString="0" containsNumber="1" minValue="105" maxValue="2032"/>
    </cacheField>
    <cacheField name="W" numFmtId="0">
      <sharedItems containsSemiMixedTypes="0" containsString="0" containsNumber="1" minValue="90" maxValue="1955.8"/>
    </cacheField>
    <cacheField name="H" numFmtId="0">
      <sharedItems containsSemiMixedTypes="0" containsString="0" containsNumber="1" minValue="7" maxValue="3048"/>
    </cacheField>
    <cacheField name="L2" numFmtId="0">
      <sharedItems containsSemiMixedTypes="0" containsString="0" containsNumber="1" containsInteger="1" minValue="1200" maxValue="2050"/>
    </cacheField>
    <cacheField name="W2" numFmtId="0">
      <sharedItems containsSemiMixedTypes="0" containsString="0" containsNumber="1" containsInteger="1" minValue="1080" maxValue="2000"/>
    </cacheField>
    <cacheField name="H2" numFmtId="0">
      <sharedItems containsSemiMixedTypes="0" containsString="0" containsNumber="1" containsInteger="1" minValue="1200" maxValue="1200"/>
    </cacheField>
    <cacheField name="Box Stacking hight" numFmtId="0">
      <sharedItems containsSemiMixedTypes="0" containsString="0" containsNumber="1" containsInteger="1" minValue="0" maxValue="171"/>
    </cacheField>
    <cacheField name="L3" numFmtId="0">
      <sharedItems containsSemiMixedTypes="0" containsString="0" containsNumber="1" containsInteger="1" minValue="1" maxValue="11"/>
    </cacheField>
    <cacheField name="W3" numFmtId="0">
      <sharedItems containsSemiMixedTypes="0" containsString="0" containsNumber="1" containsInteger="1" minValue="1" maxValue="10"/>
    </cacheField>
    <cacheField name="H3" numFmtId="0">
      <sharedItems containsSemiMixedTypes="0" containsString="0" containsNumber="1" containsInteger="1" minValue="0" maxValue="171"/>
    </cacheField>
    <cacheField name="Total" numFmtId="0">
      <sharedItems containsSemiMixedTypes="0" containsString="0" containsNumber="1" containsInteger="1" minValue="0" maxValue="770"/>
    </cacheField>
    <cacheField name="CFT Pallet Weight" numFmtId="1">
      <sharedItems containsSemiMixedTypes="0" containsString="0" containsNumber="1" minValue="0" maxValue="528.64583333333326"/>
    </cacheField>
    <cacheField name="Hight FT" numFmtId="2">
      <sharedItems containsSemiMixedTypes="0" containsString="0" containsNumber="1" minValue="3.9370078740157481" maxValue="3.9370078740157481"/>
    </cacheField>
    <cacheField name="Pallets Daily2" numFmtId="0">
      <sharedItems containsSemiMixedTypes="0" containsString="0" containsNumber="1" containsInteger="1" minValue="0" maxValue="70"/>
    </cacheField>
    <cacheField name="A" numFmtId="0">
      <sharedItems containsSemiMixedTypes="0" containsString="0" containsNumber="1" minValue="1287000" maxValue="12113317708.800001"/>
    </cacheField>
    <cacheField name="CFT" numFmtId="0">
      <sharedItems containsSemiMixedTypes="0" containsString="0" containsNumber="1" minValue="0" maxValue="20.146734847275468"/>
    </cacheField>
    <cacheField name="Pallet" numFmtId="0">
      <sharedItems count="4">
        <s v="A"/>
        <s v="A3"/>
        <s v="A1"/>
        <s v="A2"/>
      </sharedItems>
    </cacheField>
    <cacheField name="Inventory on Pallet" numFmtId="0">
      <sharedItems containsSemiMixedTypes="0" containsString="0" containsNumber="1" containsInteger="1" minValue="0" maxValue="350"/>
    </cacheField>
    <cacheField name="50%" numFmtId="0">
      <sharedItems containsSemiMixedTypes="0" containsString="0" containsNumber="1" minValue="0" maxValue="35"/>
    </cacheField>
    <cacheField name="20%" numFmtId="0">
      <sharedItems containsSemiMixedTypes="0" containsString="0" containsNumber="1" minValue="0" maxValue="42"/>
    </cacheField>
    <cacheField name="20%2" numFmtId="0">
      <sharedItems containsSemiMixedTypes="0" containsString="0" containsNumber="1" minValue="0" maxValue="98"/>
    </cacheField>
    <cacheField name="10%" numFmtId="0">
      <sharedItems containsSemiMixedTypes="0" containsString="0" containsNumber="1" minValue="0" maxValue="420"/>
    </cacheField>
    <cacheField name="Total Pallets" numFmtId="0">
      <sharedItems containsSemiMixedTypes="0" containsString="0" containsNumber="1" minValue="0" maxValue="595"/>
    </cacheField>
    <cacheField name="Box" numFmtId="0">
      <sharedItems containsSemiMixedTypes="0" containsString="0" containsNumber="1" containsInteger="1" minValue="1" maxValue="446"/>
    </cacheField>
    <cacheField name="Box2" numFmtId="0">
      <sharedItems containsSemiMixedTypes="0" containsString="0" containsNumber="1" containsInteger="1" minValue="0" maxValue="178"/>
    </cacheField>
    <cacheField name="Box3" numFmtId="0">
      <sharedItems containsSemiMixedTypes="0" containsString="0" containsNumber="1" containsInteger="1" minValue="0" maxValue="178"/>
    </cacheField>
    <cacheField name="Box4" numFmtId="0">
      <sharedItems containsSemiMixedTypes="0" containsString="0" containsNumber="1" containsInteger="1" minValue="0" maxValue="89"/>
    </cacheField>
    <cacheField name="Pallets" numFmtId="0">
      <sharedItems containsSemiMixedTypes="0" containsString="0" containsNumber="1" containsInteger="1" minValue="0" maxValue="33"/>
    </cacheField>
    <cacheField name="Pallets2" numFmtId="0">
      <sharedItems containsSemiMixedTypes="0" containsString="0" containsNumber="1" containsInteger="1" minValue="0" maxValue="40"/>
    </cacheField>
    <cacheField name="Pallets3" numFmtId="0">
      <sharedItems containsSemiMixedTypes="0" containsString="0" containsNumber="1" containsInteger="1" minValue="0" maxValue="93"/>
    </cacheField>
    <cacheField name="Pallets4" numFmtId="0">
      <sharedItems containsSemiMixedTypes="0" containsString="0" containsNumber="1" containsInteger="1" minValue="0" maxValue="395"/>
    </cacheField>
    <cacheField name="Total Stored Pallets" numFmtId="0">
      <sharedItems containsSemiMixedTypes="0" containsString="0" containsNumber="1" containsInteger="1" minValue="0" maxValue="5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eya Ukarande" refreshedDate="45827.586874537039" createdVersion="8" refreshedVersion="8" minRefreshableVersion="3" recordCount="16" xr:uid="{2371CD7B-2BBE-4E7A-8D81-43289C398B0C}">
  <cacheSource type="worksheet">
    <worksheetSource ref="A2:AT18" sheet="PP Plant"/>
  </cacheSource>
  <cacheFields count="46">
    <cacheField name="Row Labels" numFmtId="0">
      <sharedItems containsBlank="1"/>
    </cacheField>
    <cacheField name="Total" numFmtId="2">
      <sharedItems containsString="0" containsBlank="1" containsNumber="1" minValue="42" maxValue="86209"/>
    </cacheField>
    <cacheField name="Average" numFmtId="2">
      <sharedItems containsString="0" containsBlank="1" containsNumber="1" minValue="14" maxValue="6631.4615384615381"/>
    </cacheField>
    <cacheField name="New Average" numFmtId="0">
      <sharedItems containsString="0" containsBlank="1" containsNumber="1" containsInteger="1" minValue="14" maxValue="6632"/>
    </cacheField>
    <cacheField name="75 Percentile" numFmtId="0">
      <sharedItems containsString="0" containsBlank="1" containsNumber="1" containsInteger="1" minValue="18" maxValue="7209"/>
    </cacheField>
    <cacheField name="Days" numFmtId="0">
      <sharedItems containsString="0" containsBlank="1" containsNumber="1" containsInteger="1" minValue="26" maxValue="26"/>
    </cacheField>
    <cacheField name="Daily Boxes" numFmtId="0">
      <sharedItems containsString="0" containsBlank="1" containsNumber="1" containsInteger="1" minValue="1" maxValue="278"/>
    </cacheField>
    <cacheField name="Avg. weight of box kg" numFmtId="0">
      <sharedItems containsString="0" containsBlank="1" containsNumber="1" containsInteger="1" minValue="18" maxValue="18"/>
    </cacheField>
    <cacheField name="CFT Weight" numFmtId="0">
      <sharedItems containsSemiMixedTypes="0" containsString="0" containsNumber="1" minValue="7.6279680118415358" maxValue="38.404700059618847"/>
    </cacheField>
    <cacheField name="Total Box weight" numFmtId="0">
      <sharedItems containsString="0" containsBlank="1" containsNumber="1" containsInteger="1" minValue="18" maxValue="5004"/>
    </cacheField>
    <cacheField name="Avg. Pallet weight kg)" numFmtId="0">
      <sharedItems containsString="0" containsBlank="1" containsNumber="1" containsInteger="1" minValue="600" maxValue="600"/>
    </cacheField>
    <cacheField name="Pallets Daily" numFmtId="0">
      <sharedItems containsString="0" containsBlank="1" containsNumber="1" containsInteger="1" minValue="1" maxValue="9"/>
    </cacheField>
    <cacheField name="%" numFmtId="9">
      <sharedItems containsSemiMixedTypes="0" containsString="0" containsNumber="1" minValue="0.16600000000000001" maxValue="1"/>
    </cacheField>
    <cacheField name="Daily Boxes2" numFmtId="0">
      <sharedItems containsSemiMixedTypes="0" containsString="0" containsNumber="1" containsInteger="1" minValue="1" maxValue="186"/>
    </cacheField>
    <cacheField name="L" numFmtId="0">
      <sharedItems containsSemiMixedTypes="0" containsString="0" containsNumber="1" containsInteger="1" minValue="400" maxValue="1450"/>
    </cacheField>
    <cacheField name="W" numFmtId="0">
      <sharedItems containsSemiMixedTypes="0" containsString="0" containsNumber="1" minValue="300" maxValue="600"/>
    </cacheField>
    <cacheField name="H" numFmtId="0">
      <sharedItems containsSemiMixedTypes="0" containsString="0" containsNumber="1" minValue="160" maxValue="360"/>
    </cacheField>
    <cacheField name="L2" numFmtId="0">
      <sharedItems containsSemiMixedTypes="0" containsString="0" containsNumber="1" containsInteger="1" minValue="1200" maxValue="1500"/>
    </cacheField>
    <cacheField name="W2" numFmtId="0">
      <sharedItems containsSemiMixedTypes="0" containsString="0" containsNumber="1" containsInteger="1" minValue="1080" maxValue="1080"/>
    </cacheField>
    <cacheField name="H2" numFmtId="0">
      <sharedItems containsSemiMixedTypes="0" containsString="0" containsNumber="1" containsInteger="1" minValue="1200" maxValue="1200"/>
    </cacheField>
    <cacheField name="Box Stacking hight" numFmtId="0">
      <sharedItems containsSemiMixedTypes="0" containsString="0" containsNumber="1" containsInteger="1" minValue="3" maxValue="7"/>
    </cacheField>
    <cacheField name="L3" numFmtId="0">
      <sharedItems containsSemiMixedTypes="0" containsString="0" containsNumber="1" containsInteger="1" minValue="1" maxValue="3"/>
    </cacheField>
    <cacheField name="W3" numFmtId="0">
      <sharedItems containsSemiMixedTypes="0" containsString="0" containsNumber="1" containsInteger="1" minValue="1" maxValue="3"/>
    </cacheField>
    <cacheField name="H3" numFmtId="0">
      <sharedItems containsSemiMixedTypes="0" containsString="0" containsNumber="1" containsInteger="1" minValue="3" maxValue="7"/>
    </cacheField>
    <cacheField name="Total2" numFmtId="0">
      <sharedItems containsSemiMixedTypes="0" containsString="0" containsNumber="1" containsInteger="1" minValue="5" maxValue="42"/>
    </cacheField>
    <cacheField name="Pallet Weight" numFmtId="1">
      <sharedItems containsSemiMixedTypes="0" containsString="0" containsNumber="1" minValue="69.923040108547411" maxValue="587.35353691179819"/>
    </cacheField>
    <cacheField name="Hight FT" numFmtId="2">
      <sharedItems containsSemiMixedTypes="0" containsString="0" containsNumber="1" minValue="3.9370078740157481" maxValue="3.9370078740157481"/>
    </cacheField>
    <cacheField name="Pallets Daily2" numFmtId="0">
      <sharedItems containsSemiMixedTypes="0" containsString="0" containsNumber="1" containsInteger="1" minValue="1" maxValue="10"/>
    </cacheField>
    <cacheField name="A" numFmtId="0">
      <sharedItems containsSemiMixedTypes="0" containsString="0" containsNumber="1" minValue="28800000" maxValue="145000000"/>
    </cacheField>
    <cacheField name="CFT" numFmtId="0">
      <sharedItems containsSemiMixedTypes="0" containsString="0" containsNumber="1" minValue="1.0170624015788714" maxValue="5.1206266746158464"/>
    </cacheField>
    <cacheField name="Pallet Type" numFmtId="0">
      <sharedItems count="2">
        <s v="A"/>
        <s v="A4"/>
      </sharedItems>
    </cacheField>
    <cacheField name="Inventory" numFmtId="0">
      <sharedItems containsSemiMixedTypes="0" containsString="0" containsNumber="1" containsInteger="1" minValue="10" maxValue="100"/>
    </cacheField>
    <cacheField name="50%" numFmtId="1">
      <sharedItems containsSemiMixedTypes="0" containsString="0" containsNumber="1" minValue="0.5" maxValue="5"/>
    </cacheField>
    <cacheField name="20%" numFmtId="1">
      <sharedItems containsSemiMixedTypes="0" containsString="0" containsNumber="1" minValue="0.60000000000000009" maxValue="6"/>
    </cacheField>
    <cacheField name="20%2" numFmtId="1">
      <sharedItems containsSemiMixedTypes="0" containsString="0" containsNumber="1" minValue="1.4000000000000001" maxValue="14"/>
    </cacheField>
    <cacheField name="10%" numFmtId="1">
      <sharedItems containsSemiMixedTypes="0" containsString="0" containsNumber="1" minValue="6" maxValue="60"/>
    </cacheField>
    <cacheField name="Total PP" numFmtId="1">
      <sharedItems containsSemiMixedTypes="0" containsString="0" containsNumber="1" minValue="8.5" maxValue="85"/>
    </cacheField>
    <cacheField name="Box" numFmtId="1">
      <sharedItems containsSemiMixedTypes="0" containsString="0" containsNumber="1" containsInteger="1" minValue="1" maxValue="93"/>
    </cacheField>
    <cacheField name="Box2" numFmtId="1">
      <sharedItems containsSemiMixedTypes="0" containsString="0" containsNumber="1" containsInteger="1" minValue="0" maxValue="37"/>
    </cacheField>
    <cacheField name="Box3" numFmtId="1">
      <sharedItems containsSemiMixedTypes="0" containsString="0" containsNumber="1" containsInteger="1" minValue="0" maxValue="37"/>
    </cacheField>
    <cacheField name="Box4" numFmtId="1">
      <sharedItems containsSemiMixedTypes="0" containsString="0" containsNumber="1" containsInteger="1" minValue="0" maxValue="19"/>
    </cacheField>
    <cacheField name="Pallets" numFmtId="1">
      <sharedItems containsSemiMixedTypes="0" containsString="0" containsNumber="1" containsInteger="1" minValue="0" maxValue="5"/>
    </cacheField>
    <cacheField name="Pallets2" numFmtId="1">
      <sharedItems containsSemiMixedTypes="0" containsString="0" containsNumber="1" containsInteger="1" minValue="0" maxValue="6"/>
    </cacheField>
    <cacheField name="Pallets3" numFmtId="1">
      <sharedItems containsSemiMixedTypes="0" containsString="0" containsNumber="1" containsInteger="1" minValue="0" maxValue="13"/>
    </cacheField>
    <cacheField name="Pallets4" numFmtId="1">
      <sharedItems containsSemiMixedTypes="0" containsString="0" containsNumber="1" containsInteger="1" minValue="0" maxValue="54"/>
    </cacheField>
    <cacheField name="Total Stored Pallets" numFmtId="1">
      <sharedItems containsSemiMixedTypes="0" containsString="0" containsNumber="1" containsInteger="1" minValue="0" maxValue="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eya Ukarande" refreshedDate="45834.587179050926" createdVersion="8" refreshedVersion="8" minRefreshableVersion="3" recordCount="266" xr:uid="{9D93553A-9E46-4C98-AA83-DA3FF30099A3}">
  <cacheSource type="worksheet">
    <worksheetSource ref="A1:Q267" sheet="CB Box"/>
  </cacheSource>
  <cacheFields count="17">
    <cacheField name="Item description (Box Size cardboard)" numFmtId="0">
      <sharedItems count="146">
        <s v="&quot;5 ply Corrugation partition assembly ,size: 1170x1060x460mm , (B.S-14kg/cm2)&quot;"/>
        <s v="1_x0009_Cardboard separator 5 ply size 4x3.8 in feet"/>
        <s v="11X15X10 ( 3 KRAFT PAPER 180 GSM 22 BF, 2 SEMI KRAFT PAPER 125 GSM 18 BF) Corrugated Box"/>
        <s v="13X8X5 ( 3 KRAFT PAPER 180 GSM 22 BF, 2 SEMI KRAFT PAPER 125 GSM 18 BF) Corrugated Box"/>
        <s v="15X11X7 ( 3 KRAFT PAPER 180 GSM 22 BF, 2 SEMI KRAFT PAPER 125 GSM 18 BF) Corrugated Box"/>
        <s v="18X15X13( 3 KRAFT PAPER 180 GSM 22 BF, 2 SEMI KRAFT PAPER 125 GSM 18 BF) Corrugated Box"/>
        <s v="20.5X16X11.5 BOX (TOP 300GSM)"/>
        <s v="20X12X10 ( 3 KRAFT PAPER 180 GSM 22 BF, 2 SEMI KRAFT PAPER 125 GSM 18 BF) Corrugated Box"/>
        <s v="20X12X8 7 PLY 300 TOP GM CB BOX"/>
        <s v="20X15X6 ( 3 KRAFT PAPER 180 GSM 22 BF, 2 SEMI KRAFT PAPER 125 GSM 18 BF) Corrugated Box"/>
        <s v="20X15X8 ( 3 KRAFT PAPER 180 GSM 22 BF, 2 SEMI KRAFT PAPER 125 GSM 18 BF) Corrugated Box"/>
        <s v="20X17X12.5( 3 KRAFT PAPER 180 GSM 22 BF, 2 SEMI KRAFT PAPER 125 GSM 18 BF) Corrugated Box"/>
        <s v="20X17X9.5( 3 KRAFT PAPER 180 GSM 22 BF, 2 SEMI KRAFT PAPER 125 GSM 18 BF) Corrugated Box"/>
        <s v="24X15X10 ( 3 KRAFT PAPER 180 GSM 22 BF, 2 SEMI KRAFT PAPER 125 GSM 18 BF) Corrugated Box"/>
        <s v="24X15X8 ( 3 KRAFT PAPER 180 GSM 22 BF, 2 SEMI KRAFT PAPER 125 GSM 18 BF) Corrugated Box"/>
        <s v="26X24X15 ( 3 KRAFT PAPER 180 GSM 22 BF, 2 SEMI KRAFT PAPER 125 GSM 18 BF) Corrugated Box"/>
        <s v="280X270X160 5 PLY 300GM CB BOX"/>
        <s v="3 ply, inner selflocking CB box size : 105 x 105 x 170 mm -(OD) Paper combination ( 250 VK ,22 BF X 140 VK,22BF X 250 VK ,22 BF) , B.S : 11 Kg/cm2."/>
        <s v="3 ply, inner selflocking CB box size : 205 x 105 x 140 mm -(OD) Paper combination ( 250 VK ,22 BF X 140 VK,22BF X 250 VK ,22 BF) , B.S : 11 Kg/cm2."/>
        <s v="3 ply, outer selflocking CB box size : 225 x 225 x 160 mm -(OD) Paper combination ( 250 VK ,22 BF X 140 VK,22BF X 250 VK ,22 BF) , B.S : 11 Kg/cm2."/>
        <s v="3 ply, outer selflocking CB box size : 230 x 225 x 180 mm -(OD) Paper combination ( 250 VK ,22 BF X 140 VK,22BF X 250 VK ,22 BF) , B.S : 11 Kg/cm2."/>
        <s v="30X18X8 ( 3 KRAFT PAPER 180 GSM 22 BF, 2 SEMI KRAFT PAPER 125 GSM 18 BF) Corrugated Box"/>
        <s v="30X20X12  300  TOP 7 PLY GM CB BOX"/>
        <s v="31X15X10 ( 3 KRAFT PAPER 180 GSM 22 BF, 2 SEMI KRAFT PAPER 125 GSM 18 BF) Corrugated Box"/>
        <s v="37X14X10 ( 3 KRAFT PAPER 180 GSM 22 BF, 2 SEMI KRAFT PAPER 125 GSM 18 BF) Corrugated Box"/>
        <s v="37x14x12.5  17BS(5ply) TYPE - 2"/>
        <s v="37X14X12.5 ( 3 KRAFT PAPER 180 GSM 22 BF, 2 SEMI KRAFT PAPER 125 GSM 18 BF) Corrugated Box"/>
        <s v="37X14X8 ( 3 KRAFT PAPER 180 GSM 22 BF, 2 SEMI KRAFT PAPER 125 GSM 18 BF) Corrugated Box"/>
        <s v="43X18.5X9.5 ( 3 KRAFT PAPER 180 GSM 22 BF, 2 SEMI KRAFT PAPER 125 GSM 18 BF) Corrugated Box"/>
        <s v="5 Ply  Corrugated Box (size- 508x430x190 mm)-OD, (Type-1 ,B.S -14 Kg/cm2)"/>
        <s v="5 PLY CORRUGATED BOX  ( 660 x 380 x 180 mm)"/>
        <s v="5 Ply Corrugated Box (size- 1015x535x485 mm), (Type-2 ,B.S -17 Kg/cm2)"/>
        <s v="5 Ply Corrugated Box (size- 1067x330x305 mm)-OD, (Type-1 ,B.S -14 Kg/cm2)"/>
        <s v="5 Ply Corrugated Box (size- 1090x470x240 mm)-OD, (Type-1 ,B.S -14 Kg/cm2)"/>
        <s v="5 Ply Corrugated Box (size- 1370x305x280 mm)-OD, (Type-2 ,B.S -17 Kg/cm2)"/>
        <s v="5 Ply Corrugated Box (size- 1525x560x508 mm)-OD, (Type-2 ,B.S -17 Kg/cm2)"/>
        <s v="5 Ply Corrugated Box (size- 1525x610x255 mm), (Type-2 ,B.S -17 Kg/cm2)"/>
        <s v="5 Ply Corrugated Box (size- 1880x305x280 mm)-OD, (Type-2 ,B.S -17 Kg/cm2)"/>
        <s v="5 Ply Corrugated Box (size- 410x240x160 mm)-OD, (Type-1 ,B.S -14 Kg/cm2)"/>
        <s v="5 Ply Corrugated Box (size- 457x380x330 mm)-OD, (Type-1 ,B.S -14 Kg/cm2)"/>
        <s v="5 Ply Corrugated Box (size- 508x305x205 mm)-OD, (Type-1 ,B.S -14 Kg/cm2)"/>
        <s v="5 Ply Corrugated Box (size- 508x305x255 mm)-OD, (Type-1 ,B.S -14 Kg/cm2)"/>
        <s v="5 Ply Corrugated Box (size- 508x305x305 mm)-OD, (Type-1 ,B.S -14 Kg/cm2)"/>
        <s v="5 Ply Corrugated Box (size- 508x430x240 mm)-OD, (Type-1 ,B.S -14 Kg/cm2)"/>
        <s v="5 Ply Corrugated Box (size- 508x430x320 mm)-OD, (Type-1 ,B.S -14 Kg/cm2)"/>
        <s v="5 Ply Corrugated Box (size- 520x240x160 mm)-OD, (Type-1 ,B.S -14 Kg/cm2)"/>
        <s v="5 Ply Corrugated Box (size- 560x370x180 mm)-OD, (Type-1 ,B.S -14 Kg/cm2)-automatic corrugated board"/>
        <s v="5 Ply Corrugated Box (size- 560x508x230 mm)-OD, (Type-2 ,B.S -17 Kg/cm2)"/>
        <s v="5 Ply Corrugated Box (size- 650x370x320 mm)-OD, (Type-2 ,B.S -17 Kg/cm2)"/>
        <s v="5 Ply Corrugated Box (size- 660x380x160 mm)-OD, (Type-1 ,B.S -14 Kg/cm2)"/>
        <s v="5 Ply Corrugated Box (size- 670x410x320 mm)-OD, (Type-1 ,B.S -14 Kg/cm2)"/>
        <s v="5 Ply Corrugated Box (size- 725x700x335 mm)-OD, (Type-2 ,B.S -17 Kg/cm2)"/>
        <s v="5 Ply Corrugated Box (size- 750x460x200 mm)-OD, (Type-2 ,B.S -17 Kg/cm2)"/>
        <s v="5 Ply Corrugated Box (size- 760x370x180 mm)-OD, (Type-1 ,B.S -14 Kg/cm2)-automatic corrugated board"/>
        <s v="5 Ply Corrugated Box (size- 762x508x305 mm)-OD, (Type-1 ,B.S -14 Kg/cm2)"/>
        <s v="5 Ply Corrugated Box (size- 765x455x230 mm)-OD, (Type-2 ,B.S -14 Kg/cm2)"/>
        <s v="5 Ply Corrugated Box (size- 787x381x254 mm)-OD, (Type-1 ,B.S -14 Kg/cm2)"/>
        <s v="5 Ply Corrugated Box (size- 850x380x280 mm)-OD, (Type-2 ,B.S -17 Kg/cm2)"/>
        <s v="5 Ply Corrugated Box (size- 940x355x205 mm)-OD, (Type-1 ,B.S -14 Kg/cm2)"/>
        <s v="5 Ply Corrugated Box (size- 940x355x320 mm)-OD, (Type-1 ,B.S -14 Kg/cm2)"/>
        <s v="5 Ply Corrugated Box (size- 940x355x320 mm)-OD, (Type-2 ,B.S -17 Kg/cm2)"/>
        <s v="5 Ply Corrugated Box (size- 960x500x300 mm)-OD, (Type-2 ,B.S -17 Kg/cm2)"/>
        <s v="5 Ply Corrugated Box (size- 965x508x255 mm)-OD, (Type-1 ,B.S -14 Kg/cm2)"/>
        <s v="5 Ply Corrugated Box (size- 965x535x508 mm)-OD, (Type-2 ,B.S -17 Kg/cm2)"/>
        <s v="5 PLY Corrugated Box 26x24x16 &quot;"/>
        <s v="5 Ply corrugated separator  (size- 555x500x7 mm), (B.S -12 Kg/cm2)-automatic corrugated board"/>
        <s v="5 Ply corrugated separator (size- 745x500x7 mm), (B.S -12 Kg/cm2)-automatic corrugated board"/>
        <s v="5 PLY CORRUGATION SEPARATOR SHEET (555x500x7mm)"/>
        <s v="5 PLY CORRUGATION SEPARATOR SHEET (745x500x7mm)"/>
        <s v="5 PLY UNIVERSAL CORRUGATED BOX (560x370x180mm)"/>
        <s v="5 PLY UNIVERSAL CORRUGATED BOX (760X370X180mm)"/>
        <s v="510X380X205 MM 5 PLY C. BOX"/>
        <s v="560X410X160 5PLY 300GM CB BOX"/>
        <s v="56X10X7 ( 3 KRAFT PAPER 180 GSM 22 BF, 2 SEMI KRAFT PAPER 125 GSM 18 BF) Corrugated Box"/>
        <s v="58X21X10 ( 3 KRAFT PAPER 180 GSM 22 BF, 2 SEMI KRAFT PAPER 125 GSM 18 BF) Corrugated Box"/>
        <s v="5PLY BOX  14&quot;X14&quot;6&quot;"/>
        <s v="5-ply cardboard separator (size in inch 26*26)"/>
        <s v="670X410X320 7 PLY 300 GM CB BOX"/>
        <s v="7 PLY CORRUGATED BOX ( 725 x 700 x 335 mm )"/>
        <s v="7 PLY CORRUGATED BOXS 20 x 17 x 12.5"/>
        <s v="765X455X230 MM 7 PLY C. BOX"/>
        <s v="BOX SIZE 20X12X8 ( BURSTING STRENGTH -14 )"/>
        <s v="C. B. BOX  26 X 9 X 9    300 GM  5 PLY"/>
        <s v="C.B. BOXES   17x7x4&quot;   5 PLY (222 Gm.)"/>
        <s v="C.B. BOXES   22.1/2 X 13 X 7&quot;  5PLY"/>
        <s v="C.B. BOXES   26 X 7 X 4&quot;  7PLY (420 Gm.)"/>
        <s v="C.B. BOXES   36 X 9 X 5&quot;  7 PLY (719 Gm.)"/>
        <s v="C.B. BOXES   42 X 13 X 12&quot;   7PLY"/>
        <s v="C.B.BOX 24 X15X 10 ( 7 PLY )"/>
        <s v="C.B.BOX 35X9X9  5PLY"/>
        <s v="C.B.BOX22X19X9.5&quot;  5 PLY"/>
        <s v="Card Board Box 26&quot; x 17&quot; x 10-1/2&quot;"/>
        <s v="Cardboard Box 40&quot;x24x20&quot; - 7Ply"/>
        <s v="CB Box  280 x 240 x 160 mm , B.S-14 (5 Ply , Type-1)"/>
        <s v="CB Box  410 x 240 x 160 mm , B.S-14 (5 Ply , Type-1)"/>
        <s v="CB Box  660 x 380 x 160 mm , B.S-14 (5 Ply , Type-1)"/>
        <s v="CB Box  850 x 380 x 280 mm ,  B.S-17 (5 Ply , Type-2)"/>
        <s v="CB Box  960 x 500 x 300 mm , B.S-17 (5 Ply , Type-2)"/>
        <s v="CB Box :  1560 x 200 x 150 mm 5-ply Type-1 (B.S-14kg/cm2)"/>
        <s v="CB box : 1015 x 230 x 125 mm  (OD ) 5 ply, Type-1  , (B.S-14kg/cm2)"/>
        <s v="CB box : 390x230x150 mm( OD with lid) 5 ply HSC, BS-14Kg/cm2 &amp; 3 Ply top lid ( BS-10kg/cm2)"/>
        <s v="CB box : 510 x 380 x 145 mm (OD-with lid) 5 ply HSC (B.S-14kg/cm2) &amp; 3ply top lid (B.S: 10-12kg/cm2)"/>
        <s v="CB box : 560 x 370 x 190 mm (OD with lid) 5 ply HSC (B.S-14kg/cm2) &amp; 3ply lid (B.S-10-12kg/cm2)"/>
        <s v="CB box : 570 x 340 x 150 mm (OD-with lid) 5 ply HSC (B.S-14kg/cm2) &amp; 3ply top lid (B.S:10-12kg/cm2)"/>
        <s v="CB box : 635 x 390 x 150 mm (OD-with lid) 5 ply HSC (B.S-14kg/cm2) &amp; 3ply top lid (B.S:10-12kg/cm2)"/>
        <s v="CB box : 790 x 380 x 150 mm (OD-with lid) 5 ply HSC (B.S-14kg/cm2) &amp; 3ply top lid (B.S:10-12kg/cm2)"/>
        <s v="CB box : 900 x 515 x 190 mm  (OD-with lid) 5 ply HSC (B.S-14kg/cm2) &amp; 3ply top lid (B.S-10-12kg/cm2)"/>
        <s v="CB Box 520 x 240 x 160 mm , B.S-14 (5 Ply , Type-1)"/>
        <s v="CB Box 650 x 370 x 320 mm , B.S-17 (5 Ply , Type-2)"/>
        <s v="CB Box 750 x 460 x 200 mm , B.S-17 (5 Ply , Type-2)"/>
        <s v="CB Box:370x370x175mm 5ply (B.S-14kg/cm2)"/>
        <s v="CORGURATED BOX OF 7PLY (770 * 330 * 200mm)"/>
        <s v="CORRAGATED BOX  41.5X7.5X7"/>
        <s v="Corrogated Box (650 mm X 380 mm X 160 mm) with  Broad flute quality Strentgh 20 ±1 (3 version Kraft 250 gsm/25B.f &amp; 2 semi kraft 180 gsm/25 b.f"/>
        <s v="CORRUGATED BOX   840x520x280 (For GM)"/>
        <s v="Corrugated Box  (970x1000x300mm )"/>
        <s v="Corrugated Box  Ply-5, H-180mm, W-240mm, L-410mm"/>
        <s v="Corrugated Box  Ply-7, H-8&quot;, W-16&quot;, L-36&quot;"/>
        <s v="Corrugated Box ( 20 X 15 X 10 ) &quot; ( Export Quality )"/>
        <s v="CORRUGATED BOX (11x15x10) 7 PLY. With Original Vergin Paper."/>
        <s v="CORRUGATED BOX (36 X 12 X 15 )&quot; 5 PLY"/>
        <s v="CORRUGATED BOX (460 x 270 x 120) 5 PLY FOR G.M 3 Ply. 180V &amp; 2 Ply., 110SC."/>
        <s v="CORRUGATED BOX (52 x 9  x 5 )&quot;  7 PLY NET WT. 1 KG."/>
        <s v="Corrugated Box (5Ply HSC(B.S&gt;14)&amp; 3Ply lid) Size-413*362*286mm(O.D)"/>
        <s v="CORRUGATED BOX (60 X 22 X 20 )&quot;  7 PLY"/>
        <s v="Corrugated box (L:442*B:442*H:216mm) 5ply, Bursting pressure required: 14kgf  ~ 17kgf,    Customer cummins export"/>
        <s v="CORRUGATED BOX 18x15x10 ( 3 KRAFT PAPER 180 GSM 22 BF, 2 SEMI KRAFT PAPER 125 GSM 18 BF)"/>
        <s v="Corrugated BOX 20 x 22 x 9 7PLY"/>
        <s v="CORRUGATED BOX 25X14X10&quot; 5PLY BOX"/>
        <s v="Corrugated Box 3 Ply Size- 18&quot;*15&quot;"/>
        <s v="Corrugated Box 38 X 21 X 20&quot; , 7Ply"/>
        <s v="Corrugated Box 5 Ply   45&quot; x 13&quot; x 12&quot;"/>
        <s v="Corrugated Box Size  400 X 400 X 150"/>
        <s v="Corrugated Box SIZE-38X20X10 BRUSTING-21(7 PLY)"/>
        <s v="CORRUGATED BOXES  35X16X6,5-PLY,300GM"/>
        <s v="CORRUGATED BOXES 410X235X160,5PLY,25BF"/>
        <s v="CORRUGATED BOXES 560X370X160,5PLY,25BF"/>
        <s v="Corrugated separator  (16.9x16.9inchx 3ply      Bursting pressure required: 14kgf  ~ 17kgf. Customer cummins export"/>
        <s v="Corrugated separator sheet size 1160 x 1020 mm, 5- Ply type -1 (B.S 14Kg/cm2)"/>
        <s v="Corrugatted Box 54x12x11 (7 PLY)"/>
        <s v="CORRUGRADED BOX  Ø19X53"/>
        <s v="CORRUGRADED BOX Ø11X45"/>
        <s v="COURROGATED BOX 60 x 24 x 10"/>
        <s v="WHITE BOX FOR DORMAN 110x90x130  PART NO.-904-128/904-129"/>
        <s v="WHITE BOX FOR DORMAN 220 X 130 X 58 mm  PART NO.-904-968/969/971/972"/>
        <s v="WHITE BOX FOR DORMAN 80X72X120  PARTNO.- 904-325"/>
      </sharedItems>
    </cacheField>
    <cacheField name="Plant code Faridabad" numFmtId="0">
      <sharedItems/>
    </cacheField>
    <cacheField name="Apr2024" numFmtId="0">
      <sharedItems containsString="0" containsBlank="1" containsNumber="1" containsInteger="1" minValue="40" maxValue="11081"/>
    </cacheField>
    <cacheField name="Aug2024" numFmtId="0">
      <sharedItems containsString="0" containsBlank="1" containsNumber="1" containsInteger="1" minValue="4" maxValue="15942"/>
    </cacheField>
    <cacheField name="Dec2024" numFmtId="0">
      <sharedItems containsString="0" containsBlank="1" containsNumber="1" containsInteger="1" minValue="50" maxValue="15773"/>
    </cacheField>
    <cacheField name="Feb2025" numFmtId="0">
      <sharedItems containsString="0" containsBlank="1" containsNumber="1" containsInteger="1" minValue="30" maxValue="8636"/>
    </cacheField>
    <cacheField name="Jan2025" numFmtId="0">
      <sharedItems containsString="0" containsBlank="1" containsNumber="1" containsInteger="1" minValue="10" maxValue="11506"/>
    </cacheField>
    <cacheField name="Jul2024" numFmtId="0">
      <sharedItems containsString="0" containsBlank="1" containsNumber="1" containsInteger="1" minValue="35" maxValue="20459"/>
    </cacheField>
    <cacheField name="Jun2024" numFmtId="0">
      <sharedItems containsString="0" containsBlank="1" containsNumber="1" containsInteger="1" minValue="12" maxValue="18008"/>
    </cacheField>
    <cacheField name="Mar2024" numFmtId="0">
      <sharedItems containsString="0" containsBlank="1" containsNumber="1" containsInteger="1" minValue="35" maxValue="14113"/>
    </cacheField>
    <cacheField name="Mar2025" numFmtId="0">
      <sharedItems containsString="0" containsBlank="1" containsNumber="1" containsInteger="1" minValue="30" maxValue="9994"/>
    </cacheField>
    <cacheField name="May2024" numFmtId="0">
      <sharedItems containsString="0" containsBlank="1" containsNumber="1" containsInteger="1" minValue="50" maxValue="15378"/>
    </cacheField>
    <cacheField name="Nov2024" numFmtId="0">
      <sharedItems containsString="0" containsBlank="1" containsNumber="1" containsInteger="1" minValue="48" maxValue="14504"/>
    </cacheField>
    <cacheField name="Oct2024" numFmtId="0">
      <sharedItems containsString="0" containsBlank="1" containsNumber="1" containsInteger="1" minValue="50" maxValue="11307"/>
    </cacheField>
    <cacheField name="Sep2024" numFmtId="0">
      <sharedItems containsString="0" containsBlank="1" containsNumber="1" containsInteger="1" minValue="20" maxValue="19257"/>
    </cacheField>
    <cacheField name="Grand Total" numFmtId="0">
      <sharedItems containsSemiMixedTypes="0" containsString="0" containsNumber="1" containsInteger="1" minValue="10" maxValue="171692"/>
    </cacheField>
    <cacheField name="Average" numFmtId="1">
      <sharedItems containsSemiMixedTypes="0" containsString="0" containsNumber="1" minValue="0.83333333333333337" maxValue="14307.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eya Ukarande" refreshedDate="45834.590645254626" createdVersion="8" refreshedVersion="8" minRefreshableVersion="3" recordCount="8" xr:uid="{23966F52-870C-49A0-BF31-15284809DB64}">
  <cacheSource type="worksheet">
    <worksheetSource ref="A1:S9" sheet="PP Box"/>
  </cacheSource>
  <cacheFields count="19">
    <cacheField name="S.No." numFmtId="0">
      <sharedItems containsSemiMixedTypes="0" containsString="0" containsNumber="1" containsInteger="1" minValue="1" maxValue="8"/>
    </cacheField>
    <cacheField name="Location" numFmtId="0">
      <sharedItems count="8">
        <s v="CNH-Noida"/>
        <s v="Nasik"/>
        <s v="Mahindra (Pune)"/>
        <s v="JCB (Jaipur)"/>
        <s v="Mohali"/>
        <s v="IAI -Sanand (SMG part)"/>
        <s v="Nagpur"/>
        <s v="Haridwar"/>
      </sharedItems>
    </cacheField>
    <cacheField name="Plant code" numFmtId="0">
      <sharedItems containsBlank="1"/>
    </cacheField>
    <cacheField name="Size of PP Box (mm)" numFmtId="0">
      <sharedItems containsBlank="1"/>
    </cacheField>
    <cacheField name="Mar24" numFmtId="0">
      <sharedItems containsString="0" containsBlank="1" containsNumber="1" minValue="27" maxValue="6133"/>
    </cacheField>
    <cacheField name="Apr24" numFmtId="0">
      <sharedItems containsString="0" containsBlank="1" containsNumber="1" minValue="6" maxValue="5071"/>
    </cacheField>
    <cacheField name="May24" numFmtId="0">
      <sharedItems containsString="0" containsBlank="1" containsNumber="1" minValue="9" maxValue="7095"/>
    </cacheField>
    <cacheField name="Jun24" numFmtId="0">
      <sharedItems containsString="0" containsBlank="1" containsNumber="1" minValue="2257.75" maxValue="8116"/>
    </cacheField>
    <cacheField name="Jul24" numFmtId="0">
      <sharedItems containsString="0" containsBlank="1" containsNumber="1" containsInteger="1" minValue="1676" maxValue="6215"/>
    </cacheField>
    <cacheField name="Aug24" numFmtId="0">
      <sharedItems containsString="0" containsBlank="1" containsNumber="1" minValue="1706.3" maxValue="5598"/>
    </cacheField>
    <cacheField name="Sept24" numFmtId="0">
      <sharedItems containsString="0" containsBlank="1" containsNumber="1" minValue="2266.25" maxValue="6150"/>
    </cacheField>
    <cacheField name="Oct24" numFmtId="0">
      <sharedItems containsString="0" containsBlank="1" containsNumber="1" containsInteger="1" minValue="1780" maxValue="6908"/>
    </cacheField>
    <cacheField name="Nov24" numFmtId="0">
      <sharedItems containsString="0" containsBlank="1" containsNumber="1" containsInteger="1" minValue="1760" maxValue="7209"/>
    </cacheField>
    <cacheField name="Dec24" numFmtId="0">
      <sharedItems containsString="0" containsBlank="1" containsNumber="1" containsInteger="1" minValue="1699" maxValue="7377"/>
    </cacheField>
    <cacheField name="Jan25" numFmtId="0">
      <sharedItems containsString="0" containsBlank="1" containsNumber="1" containsInteger="1" minValue="800" maxValue="5746"/>
    </cacheField>
    <cacheField name="Feb25" numFmtId="0">
      <sharedItems containsString="0" containsBlank="1" containsNumber="1" containsInteger="1" minValue="180" maxValue="8185"/>
    </cacheField>
    <cacheField name="Mar25" numFmtId="0">
      <sharedItems containsString="0" containsBlank="1" containsNumber="1" containsInteger="1" minValue="0" maxValue="6409"/>
    </cacheField>
    <cacheField name="Total" numFmtId="0">
      <sharedItems containsString="0" containsBlank="1" containsNumber="1" minValue="42" maxValue="86209"/>
    </cacheField>
    <cacheField name="Average" numFmtId="0">
      <sharedItems containsString="0" containsBlank="1" containsNumber="1" minValue="3.5" maxValue="7184.0833333333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">
  <r>
    <s v="5 Ply Corrugated Box (size- 457x380x330 mm)-OD, (Type-1 ,B.S -14 Kg/cm2)"/>
    <n v="250378"/>
    <n v="20921.833333333332"/>
    <n v="20922"/>
    <n v="23187"/>
    <n v="8.0959659475669923E-2"/>
    <n v="26"/>
    <n v="892"/>
    <n v="15"/>
    <n v="15.178543931562928"/>
    <n v="13380"/>
    <n v="600"/>
    <n v="23"/>
    <n v="457"/>
    <n v="380"/>
    <n v="330"/>
    <n v="1200"/>
    <n v="1080"/>
    <n v="1200"/>
    <n v="4"/>
    <n v="2"/>
    <n v="2"/>
    <n v="4"/>
    <n v="16"/>
    <n v="242.85670290500684"/>
    <n v="3.9370078740157481"/>
    <n v="59"/>
    <n v="57307800"/>
    <n v="2.0238058575417237"/>
    <x v="0"/>
    <n v="295"/>
    <n v="29.5"/>
    <n v="35.400000000000006"/>
    <n v="82.600000000000009"/>
    <n v="354"/>
    <n v="501.5"/>
  </r>
  <r>
    <s v="18X15X13( 3 KRAFT PAPER 180 GSM 22 BF, 2 SEMI KRAFT PAPER 125 GSM 18 BF) Corrugated Box"/>
    <n v="20816"/>
    <n v="17819"/>
    <n v="17819"/>
    <n v="19121"/>
    <n v="6.8952307245815997E-2"/>
    <n v="26"/>
    <n v="736"/>
    <n v="15"/>
    <n v="15.234375"/>
    <n v="11040"/>
    <n v="600"/>
    <n v="19"/>
    <n v="457.2"/>
    <n v="381"/>
    <n v="330.2"/>
    <n v="1200"/>
    <n v="1080"/>
    <n v="1200"/>
    <n v="4"/>
    <n v="2"/>
    <n v="2"/>
    <n v="4"/>
    <n v="16"/>
    <n v="243.75"/>
    <n v="3.9370078740157481"/>
    <n v="49"/>
    <n v="57518594.639999993"/>
    <n v="2.03125"/>
    <x v="0"/>
    <n v="245"/>
    <n v="24.5"/>
    <n v="29.400000000000002"/>
    <n v="68.600000000000009"/>
    <n v="294"/>
    <n v="416.5"/>
  </r>
  <r>
    <s v="5 Ply Corrugated Box (size- 940x355x320 mm)-OD, (Type-1 ,B.S -14 Kg/cm2)"/>
    <n v="205779"/>
    <n v="17683.933333333331"/>
    <n v="17684"/>
    <n v="20615"/>
    <n v="6.8429911966721491E-2"/>
    <n v="26"/>
    <n v="793"/>
    <n v="15"/>
    <n v="28.282810283905786"/>
    <n v="11895"/>
    <n v="600"/>
    <n v="20"/>
    <n v="940"/>
    <n v="355"/>
    <n v="320"/>
    <n v="1200"/>
    <n v="1080"/>
    <n v="1200"/>
    <n v="4"/>
    <n v="1"/>
    <n v="3"/>
    <n v="4"/>
    <n v="12"/>
    <n v="339.39372340686941"/>
    <n v="3.9370078740157481"/>
    <n v="70"/>
    <n v="106784000"/>
    <n v="3.771041371187438"/>
    <x v="0"/>
    <n v="350"/>
    <n v="35"/>
    <n v="42"/>
    <n v="98"/>
    <n v="420"/>
    <n v="595"/>
  </r>
  <r>
    <s v="37X14X12.5 ( 3 KRAFT PAPER 180 GSM 22 BF, 2 SEMI KRAFT PAPER 125 GSM 18 BF) Corrugated Box"/>
    <n v="19224"/>
    <n v="10494.1"/>
    <n v="10495"/>
    <n v="13564"/>
    <n v="4.0611395956273583E-2"/>
    <n v="26"/>
    <n v="522"/>
    <n v="15"/>
    <n v="28.103298611111114"/>
    <n v="7830"/>
    <n v="600"/>
    <n v="14"/>
    <n v="939.8"/>
    <n v="355.6"/>
    <n v="317.5"/>
    <n v="1200"/>
    <n v="1080"/>
    <n v="1200"/>
    <n v="4"/>
    <n v="1"/>
    <n v="3"/>
    <n v="4"/>
    <n v="12"/>
    <n v="337.23958333333337"/>
    <n v="3.9370078740157481"/>
    <n v="46"/>
    <n v="106106239.40000001"/>
    <n v="3.7471064814814818"/>
    <x v="0"/>
    <n v="230"/>
    <n v="23"/>
    <n v="27.6"/>
    <n v="64.400000000000006"/>
    <n v="276.00000000000006"/>
    <n v="391.00000000000006"/>
  </r>
  <r>
    <s v="5 Ply Corrugated Box (size- 508x305x205 mm)-OD, (Type-1 ,B.S -14 Kg/cm2)"/>
    <n v="66682"/>
    <n v="6488.7603535353537"/>
    <n v="6489"/>
    <n v="8372"/>
    <n v="2.5109799748476345E-2"/>
    <n v="26"/>
    <n v="322"/>
    <n v="15"/>
    <n v="8.4126687350596931"/>
    <n v="4830"/>
    <n v="600"/>
    <n v="9"/>
    <n v="508"/>
    <n v="305"/>
    <n v="205"/>
    <n v="1200"/>
    <n v="1080"/>
    <n v="1200"/>
    <n v="6"/>
    <n v="2"/>
    <n v="3"/>
    <n v="6"/>
    <n v="36"/>
    <n v="302.85607446214897"/>
    <n v="3.9370078740157481"/>
    <n v="10"/>
    <n v="31762700"/>
    <n v="1.1216891646746256"/>
    <x v="0"/>
    <n v="50"/>
    <n v="5"/>
    <n v="6"/>
    <n v="14"/>
    <n v="60"/>
    <n v="85"/>
  </r>
  <r>
    <s v="CORRUGATED BOX (36 X 12 X 15 )&quot; 5 PLY"/>
    <n v="77868"/>
    <n v="5989.8461538461534"/>
    <n v="5990"/>
    <n v="7215"/>
    <n v="2.3178872013156621E-2"/>
    <n v="26"/>
    <n v="278"/>
    <n v="15"/>
    <n v="28.125000000000004"/>
    <n v="4170"/>
    <n v="600"/>
    <n v="7"/>
    <n v="914.4"/>
    <n v="304.8"/>
    <n v="381"/>
    <n v="1200"/>
    <n v="1080"/>
    <n v="1200"/>
    <n v="3"/>
    <n v="1"/>
    <n v="3"/>
    <n v="3"/>
    <n v="9"/>
    <n v="253.12500000000003"/>
    <n v="3.9370078740157481"/>
    <n v="33"/>
    <n v="106188174.72"/>
    <n v="3.7500000000000004"/>
    <x v="0"/>
    <n v="165"/>
    <n v="16.5"/>
    <n v="19.8"/>
    <n v="46.2"/>
    <n v="198.00000000000003"/>
    <n v="280.5"/>
  </r>
  <r>
    <s v="24X15X10 ( 3 KRAFT PAPER 180 GSM 22 BF, 2 SEMI KRAFT PAPER 125 GSM 18 BF) Corrugated Box"/>
    <n v="66718"/>
    <n v="5776.9290709290708"/>
    <n v="5777"/>
    <n v="6705"/>
    <n v="2.2354648350585277E-2"/>
    <n v="26"/>
    <n v="258"/>
    <n v="15"/>
    <n v="15.625000000000002"/>
    <n v="3870"/>
    <n v="600"/>
    <n v="7"/>
    <n v="609.6"/>
    <n v="381"/>
    <n v="254"/>
    <n v="1200"/>
    <n v="1080"/>
    <n v="1200"/>
    <n v="5"/>
    <n v="1"/>
    <n v="2"/>
    <n v="5"/>
    <n v="10"/>
    <n v="156.25000000000003"/>
    <n v="3.9370078740157481"/>
    <n v="28"/>
    <n v="58993430.399999999"/>
    <n v="2.0833333333333335"/>
    <x v="0"/>
    <n v="140"/>
    <n v="14"/>
    <n v="16.8"/>
    <n v="39.200000000000003"/>
    <n v="168.00000000000003"/>
    <n v="238.00000000000003"/>
  </r>
  <r>
    <s v="5 Ply Corrugated Box (size- 410x240x160 mm)-OD, (Type-1 ,B.S -14 Kg/cm2)"/>
    <n v="56294"/>
    <n v="5564.9238095238097"/>
    <n v="5565"/>
    <n v="7118"/>
    <n v="2.153429428267389E-2"/>
    <n v="26"/>
    <n v="274"/>
    <n v="15"/>
    <n v="4.169955846473373"/>
    <n v="4110"/>
    <n v="600"/>
    <n v="7"/>
    <n v="410"/>
    <n v="240"/>
    <n v="160"/>
    <n v="1200"/>
    <n v="1080"/>
    <n v="1200"/>
    <n v="8"/>
    <n v="2"/>
    <n v="4"/>
    <n v="8"/>
    <n v="64"/>
    <n v="266.87717417429587"/>
    <n v="3.9370078740157481"/>
    <n v="5"/>
    <n v="15744000"/>
    <n v="0.5559941128631164"/>
    <x v="0"/>
    <n v="25"/>
    <n v="2.5"/>
    <n v="3"/>
    <n v="7"/>
    <n v="30"/>
    <n v="42.5"/>
  </r>
  <r>
    <s v="20.5X16X11.5 BOX (TOP 300GSM)"/>
    <n v="52590"/>
    <n v="5407.1846153846154"/>
    <n v="5408"/>
    <n v="7524"/>
    <n v="2.0926767921060269E-2"/>
    <n v="26"/>
    <n v="290"/>
    <n v="15"/>
    <n v="16.371527777777779"/>
    <n v="4350"/>
    <n v="600"/>
    <n v="8"/>
    <n v="520.70000000000005"/>
    <n v="406.4"/>
    <n v="292.10000000000002"/>
    <n v="1200"/>
    <n v="1080"/>
    <n v="1200"/>
    <n v="4"/>
    <n v="2"/>
    <n v="2"/>
    <n v="4"/>
    <n v="16"/>
    <n v="261.94444444444446"/>
    <n v="3.9370078740157481"/>
    <n v="20"/>
    <n v="61812005.408000007"/>
    <n v="2.1828703703703707"/>
    <x v="0"/>
    <n v="100"/>
    <n v="10"/>
    <n v="12"/>
    <n v="28"/>
    <n v="120"/>
    <n v="170"/>
  </r>
  <r>
    <s v="3 ply, inner selflocking CB box size : 105 x 105 x 170 mm -(OD) Paper combination ( 250 VK ,22 BF X 140 VK,22BF X 250 VK ,22 BF) , B.S : 11 Kg/cm2."/>
    <n v="5006"/>
    <n v="5006"/>
    <n v="5006"/>
    <n v="5006"/>
    <n v="1.9371190867756603E-2"/>
    <n v="26"/>
    <n v="193"/>
    <n v="15"/>
    <n v="0.49641385577062497"/>
    <n v="2895"/>
    <n v="600"/>
    <n v="5"/>
    <n v="105"/>
    <n v="105"/>
    <n v="170"/>
    <n v="1200"/>
    <n v="1080"/>
    <n v="1200"/>
    <n v="7"/>
    <n v="11"/>
    <n v="10"/>
    <n v="7"/>
    <n v="770"/>
    <n v="382.23866894338124"/>
    <n v="3.9370078740157481"/>
    <n v="1"/>
    <n v="1874250"/>
    <n v="6.6188514102749993E-2"/>
    <x v="0"/>
    <n v="5"/>
    <n v="0.5"/>
    <n v="0.60000000000000009"/>
    <n v="1.4000000000000001"/>
    <n v="6"/>
    <n v="8.5"/>
  </r>
  <r>
    <s v="5 Ply Corrugated Box (size- 670x410x320 mm)-OD, (Type-1 ,B.S -14 Kg/cm2)"/>
    <n v="47263"/>
    <n v="4840.1219336219337"/>
    <n v="4841"/>
    <n v="5896"/>
    <n v="1.8732707748863306E-2"/>
    <n v="26"/>
    <n v="227"/>
    <n v="15"/>
    <n v="23.282253476142998"/>
    <n v="3405"/>
    <n v="600"/>
    <n v="6"/>
    <n v="670"/>
    <n v="410"/>
    <n v="320"/>
    <n v="1200"/>
    <n v="1080"/>
    <n v="1200"/>
    <n v="4"/>
    <n v="1"/>
    <n v="2"/>
    <n v="4"/>
    <n v="8"/>
    <n v="186.25802780914398"/>
    <n v="3.9370078740157481"/>
    <n v="30"/>
    <n v="87904000"/>
    <n v="3.1043004634857332"/>
    <x v="0"/>
    <n v="150"/>
    <n v="15"/>
    <n v="18"/>
    <n v="42"/>
    <n v="180"/>
    <n v="255"/>
  </r>
  <r>
    <s v="670X410X320 7 PLY 300 GM CB BOX"/>
    <n v="5781"/>
    <n v="4551"/>
    <n v="4551"/>
    <n v="4562"/>
    <n v="1.7610525297475088E-2"/>
    <n v="26"/>
    <n v="176"/>
    <n v="15"/>
    <n v="23.282253476142998"/>
    <n v="2640"/>
    <n v="600"/>
    <n v="5"/>
    <n v="670"/>
    <n v="410"/>
    <n v="320"/>
    <n v="1200"/>
    <n v="1080"/>
    <n v="1200"/>
    <n v="4"/>
    <n v="1"/>
    <n v="2"/>
    <n v="4"/>
    <n v="8"/>
    <n v="186.25802780914398"/>
    <n v="3.9370078740157481"/>
    <n v="24"/>
    <n v="87904000"/>
    <n v="3.1043004634857332"/>
    <x v="0"/>
    <n v="120"/>
    <n v="12"/>
    <n v="14.400000000000002"/>
    <n v="33.600000000000009"/>
    <n v="144.00000000000003"/>
    <n v="204.00000000000006"/>
  </r>
  <r>
    <s v="CORRUGATED BOXES 560X370X160,5PLY,25BF"/>
    <n v="54661"/>
    <n v="4481.6153846153848"/>
    <n v="4482"/>
    <n v="5455"/>
    <n v="1.7343523265937893E-2"/>
    <n v="26"/>
    <n v="210"/>
    <n v="15"/>
    <n v="8.7806387336309246"/>
    <n v="3150"/>
    <n v="600"/>
    <n v="6"/>
    <n v="560"/>
    <n v="370"/>
    <n v="160"/>
    <n v="1200"/>
    <n v="1080"/>
    <n v="1200"/>
    <n v="8"/>
    <n v="2"/>
    <n v="2"/>
    <n v="8"/>
    <n v="32"/>
    <n v="280.98043947618959"/>
    <n v="3.9370078740157481"/>
    <n v="7"/>
    <n v="33152000"/>
    <n v="1.1707518311507898"/>
    <x v="0"/>
    <n v="35"/>
    <n v="3.5"/>
    <n v="4.2"/>
    <n v="9.8000000000000007"/>
    <n v="42.000000000000007"/>
    <n v="59.500000000000007"/>
  </r>
  <r>
    <s v="5 Ply Corrugated Box (size- 787x381x254 mm)-OD, (Type-1 ,B.S -14 Kg/cm2)"/>
    <n v="49876"/>
    <n v="4431.3333333333339"/>
    <n v="4432"/>
    <n v="5074"/>
    <n v="1.7150043532939925E-2"/>
    <n v="26"/>
    <n v="196"/>
    <n v="15"/>
    <n v="20.172039041994751"/>
    <n v="2940"/>
    <n v="600"/>
    <n v="5"/>
    <n v="787"/>
    <n v="381"/>
    <n v="254"/>
    <n v="1200"/>
    <n v="1080"/>
    <n v="1200"/>
    <n v="5"/>
    <n v="1"/>
    <n v="2"/>
    <n v="5"/>
    <n v="10"/>
    <n v="201.72039041994751"/>
    <n v="3.9370078740157481"/>
    <n v="21"/>
    <n v="76161138"/>
    <n v="2.6896052055993001"/>
    <x v="0"/>
    <n v="105"/>
    <n v="10.5"/>
    <n v="12.600000000000001"/>
    <n v="29.400000000000002"/>
    <n v="126"/>
    <n v="178.5"/>
  </r>
  <r>
    <s v="CB Box  410 x 240 x 160 mm , B.S-14 (5 Ply , Type-1)"/>
    <n v="4201"/>
    <n v="4201"/>
    <n v="4201"/>
    <n v="4201"/>
    <n v="1.625616716648931E-2"/>
    <n v="26"/>
    <n v="162"/>
    <n v="15"/>
    <n v="4.169955846473373"/>
    <n v="2430"/>
    <n v="600"/>
    <n v="5"/>
    <n v="410"/>
    <n v="240"/>
    <n v="160"/>
    <n v="1200"/>
    <n v="1080"/>
    <n v="1200"/>
    <n v="8"/>
    <n v="2"/>
    <n v="4"/>
    <n v="8"/>
    <n v="64"/>
    <n v="266.87717417429587"/>
    <n v="3.9370078740157481"/>
    <n v="3"/>
    <n v="15744000"/>
    <n v="0.5559941128631164"/>
    <x v="0"/>
    <n v="15"/>
    <n v="1.5"/>
    <n v="1.8000000000000003"/>
    <n v="4.2000000000000011"/>
    <n v="18.000000000000004"/>
    <n v="25.500000000000007"/>
  </r>
  <r>
    <s v="WHITE BOX FOR DORMAN 80X72X120  PARTNO.- 904-325"/>
    <n v="12587"/>
    <n v="4195.666666666667"/>
    <n v="4196"/>
    <n v="4794"/>
    <n v="1.6236819193189513E-2"/>
    <n v="26"/>
    <n v="185"/>
    <n v="15"/>
    <n v="0"/>
    <n v="2775"/>
    <n v="600"/>
    <n v="5"/>
    <n v="2032"/>
    <n v="1955.8"/>
    <n v="3048"/>
    <n v="2050"/>
    <n v="2000"/>
    <n v="1200"/>
    <n v="0"/>
    <n v="1"/>
    <n v="1"/>
    <n v="0"/>
    <n v="0"/>
    <n v="0"/>
    <n v="3.9370078740157481"/>
    <n v="0"/>
    <n v="12113317708.800001"/>
    <n v="0"/>
    <x v="1"/>
    <n v="0"/>
    <n v="0"/>
    <n v="0"/>
    <n v="0"/>
    <n v="0"/>
    <n v="0"/>
  </r>
  <r>
    <s v="BOX SIZE 20X12X8 ( BURSTING STRENGTH -14 )"/>
    <n v="5100"/>
    <n v="3975"/>
    <n v="3975"/>
    <n v="4038"/>
    <n v="1.5381638773338493E-2"/>
    <n v="26"/>
    <n v="156"/>
    <n v="15"/>
    <n v="8.3333333333333321"/>
    <n v="2340"/>
    <n v="600"/>
    <n v="4"/>
    <n v="508"/>
    <n v="304.8"/>
    <n v="203.2"/>
    <n v="1200"/>
    <n v="1080"/>
    <n v="1200"/>
    <n v="6"/>
    <n v="2"/>
    <n v="3"/>
    <n v="6"/>
    <n v="36"/>
    <n v="299.99999999999994"/>
    <n v="3.9370078740157481"/>
    <n v="5"/>
    <n v="31463162.879999995"/>
    <n v="1.1111111111111109"/>
    <x v="0"/>
    <n v="25"/>
    <n v="2.5"/>
    <n v="3"/>
    <n v="7"/>
    <n v="30"/>
    <n v="42.5"/>
  </r>
  <r>
    <s v="C.B. BOXES   22.1/2 X 13 X 7&quot;  5PLY"/>
    <n v="47379"/>
    <n v="3644.5384615384614"/>
    <n v="3645"/>
    <n v="4087"/>
    <n v="1.41046725355519E-2"/>
    <n v="26"/>
    <n v="158"/>
    <n v="15"/>
    <n v="8.7287326388888875"/>
    <n v="2370"/>
    <n v="600"/>
    <n v="4"/>
    <n v="561.33999999999992"/>
    <n v="330.2"/>
    <n v="177.8"/>
    <n v="1200"/>
    <n v="1080"/>
    <n v="1200"/>
    <n v="7"/>
    <n v="2"/>
    <n v="3"/>
    <n v="7"/>
    <n v="42"/>
    <n v="366.60677083333326"/>
    <n v="3.9370078740157481"/>
    <n v="4"/>
    <n v="32956024.410399996"/>
    <n v="1.1638310185185183"/>
    <x v="0"/>
    <n v="20"/>
    <n v="2"/>
    <n v="2.4000000000000004"/>
    <n v="5.6000000000000005"/>
    <n v="24"/>
    <n v="34"/>
  </r>
  <r>
    <s v="WHITE BOX FOR DORMAN 220 X 130 X 58 mm  PART NO.-904-968/969/971/972"/>
    <n v="6400"/>
    <n v="3200"/>
    <n v="3200"/>
    <n v="3200"/>
    <n v="1.2382702911869981E-2"/>
    <n v="26"/>
    <n v="124"/>
    <n v="15"/>
    <n v="0.43934976868203957"/>
    <n v="1860"/>
    <n v="600"/>
    <n v="4"/>
    <n v="220"/>
    <n v="130"/>
    <n v="58"/>
    <n v="1200"/>
    <n v="1080"/>
    <n v="1200"/>
    <n v="21"/>
    <n v="4"/>
    <n v="3"/>
    <n v="21"/>
    <n v="252"/>
    <n v="110.71614170787397"/>
    <n v="3.9370078740157481"/>
    <n v="1"/>
    <n v="1658800"/>
    <n v="5.8579969157605272E-2"/>
    <x v="0"/>
    <n v="5"/>
    <n v="0.5"/>
    <n v="0.60000000000000009"/>
    <n v="1.4000000000000001"/>
    <n v="6"/>
    <n v="8.5"/>
  </r>
  <r>
    <s v="5 PLY UNIVERSAL CORRUGATED BOX (760X370X180mm)"/>
    <n v="7719"/>
    <n v="3154.2272727272725"/>
    <n v="3155"/>
    <n v="4425"/>
    <n v="1.220857115217181E-2"/>
    <n v="26"/>
    <n v="171"/>
    <n v="15"/>
    <n v="13.406153780811499"/>
    <n v="2565"/>
    <n v="600"/>
    <n v="5"/>
    <n v="760"/>
    <n v="370"/>
    <n v="180"/>
    <n v="1200"/>
    <n v="1080"/>
    <n v="1200"/>
    <n v="7"/>
    <n v="1"/>
    <n v="2"/>
    <n v="7"/>
    <n v="14"/>
    <n v="187.68615293136099"/>
    <n v="3.9370078740157481"/>
    <n v="13"/>
    <n v="50616000"/>
    <n v="1.7874871707748665"/>
    <x v="0"/>
    <n v="65"/>
    <n v="6.5"/>
    <n v="7.8000000000000007"/>
    <n v="18.2"/>
    <n v="78"/>
    <n v="110.5"/>
  </r>
  <r>
    <s v="31X15X10 ( 3 KRAFT PAPER 180 GSM 22 BF, 2 SEMI KRAFT PAPER 125 GSM 18 BF) Corrugated Box"/>
    <n v="3040"/>
    <n v="3040"/>
    <n v="3040"/>
    <n v="3040"/>
    <n v="1.1763567766276482E-2"/>
    <n v="26"/>
    <n v="117"/>
    <n v="15"/>
    <n v="20.182291666666668"/>
    <n v="1755"/>
    <n v="600"/>
    <n v="3"/>
    <n v="787.4"/>
    <n v="381"/>
    <n v="254"/>
    <n v="1200"/>
    <n v="1080"/>
    <n v="1200"/>
    <n v="5"/>
    <n v="1"/>
    <n v="2"/>
    <n v="5"/>
    <n v="10"/>
    <n v="201.82291666666669"/>
    <n v="3.9370078740157481"/>
    <n v="13"/>
    <n v="76199847.599999994"/>
    <n v="2.6909722222222223"/>
    <x v="0"/>
    <n v="65"/>
    <n v="6.5"/>
    <n v="7.8000000000000007"/>
    <n v="18.2"/>
    <n v="78"/>
    <n v="110.5"/>
  </r>
  <r>
    <s v="WHITE BOX FOR DORMAN 110x90x130  PART NO.-904-128/904-129"/>
    <n v="8270"/>
    <n v="2756.6666666666665"/>
    <n v="2757"/>
    <n v="3143"/>
    <n v="1.0668472477507981E-2"/>
    <n v="26"/>
    <n v="121"/>
    <n v="15"/>
    <n v="0.34087482052916862"/>
    <n v="1815"/>
    <n v="600"/>
    <n v="4"/>
    <n v="110"/>
    <n v="90"/>
    <n v="130"/>
    <n v="1200"/>
    <n v="1080"/>
    <n v="1200"/>
    <n v="9"/>
    <n v="3"/>
    <n v="5"/>
    <n v="9"/>
    <n v="135"/>
    <n v="46.018100771437766"/>
    <n v="3.9370078740157481"/>
    <n v="1"/>
    <n v="1287000"/>
    <n v="4.5449976070555814E-2"/>
    <x v="0"/>
    <n v="5"/>
    <n v="0.5"/>
    <n v="0.60000000000000009"/>
    <n v="1.4000000000000001"/>
    <n v="6"/>
    <n v="8.5"/>
  </r>
  <r>
    <s v="Corrugated Box 5 Ply   45&quot; x 13&quot; x 12&quot;"/>
    <n v="28782"/>
    <n v="2659.2051282051279"/>
    <n v="2660"/>
    <n v="3283"/>
    <n v="1.0293121795491923E-2"/>
    <n v="26"/>
    <n v="127"/>
    <n v="15"/>
    <n v="30.46875"/>
    <n v="1905"/>
    <n v="600"/>
    <n v="4"/>
    <n v="1143"/>
    <n v="330.2"/>
    <n v="304.8"/>
    <n v="1200"/>
    <n v="1080"/>
    <n v="1200"/>
    <n v="4"/>
    <n v="1"/>
    <n v="3"/>
    <n v="4"/>
    <n v="12"/>
    <n v="365.625"/>
    <n v="3.9370078740157481"/>
    <n v="12"/>
    <n v="115037189.28"/>
    <n v="4.0625"/>
    <x v="0"/>
    <n v="60"/>
    <n v="6"/>
    <n v="7.2000000000000011"/>
    <n v="16.800000000000004"/>
    <n v="72.000000000000014"/>
    <n v="102.00000000000003"/>
  </r>
  <r>
    <s v="5 Ply Corrugated Box (size- 940x355x205 mm)-OD, (Type-1 ,B.S -14 Kg/cm2)"/>
    <n v="31379"/>
    <n v="2614.9166666666665"/>
    <n v="2615"/>
    <n v="3202"/>
    <n v="1.0118990035793751E-2"/>
    <n v="26"/>
    <n v="124"/>
    <n v="15"/>
    <n v="18.118675338127144"/>
    <n v="1860"/>
    <n v="600"/>
    <n v="4"/>
    <n v="940"/>
    <n v="355"/>
    <n v="205"/>
    <n v="1200"/>
    <n v="1080"/>
    <n v="1200"/>
    <n v="6"/>
    <n v="1"/>
    <n v="3"/>
    <n v="6"/>
    <n v="18"/>
    <n v="326.13615608628857"/>
    <n v="3.9370078740157481"/>
    <n v="8"/>
    <n v="68408500"/>
    <n v="2.4158233784169525"/>
    <x v="0"/>
    <n v="40"/>
    <n v="4"/>
    <n v="4.8000000000000007"/>
    <n v="11.200000000000001"/>
    <n v="48"/>
    <n v="68"/>
  </r>
  <r>
    <s v="5PLY BOX  14&quot;X14&quot;6&quot;"/>
    <n v="33094"/>
    <n v="2545.6923076923076"/>
    <n v="2546"/>
    <n v="3020"/>
    <n v="9.8519880042565542E-3"/>
    <n v="26"/>
    <n v="117"/>
    <n v="15"/>
    <n v="5.1041666666666679"/>
    <n v="1755"/>
    <n v="600"/>
    <n v="3"/>
    <n v="355.6"/>
    <n v="355.6"/>
    <n v="152.4"/>
    <n v="1200"/>
    <n v="1080"/>
    <n v="1200"/>
    <n v="8"/>
    <n v="3"/>
    <n v="3"/>
    <n v="8"/>
    <n v="72"/>
    <n v="367.50000000000011"/>
    <n v="3.9370078740157481"/>
    <n v="2"/>
    <n v="19271187.264000002"/>
    <n v="0.68055555555555569"/>
    <x v="0"/>
    <n v="10"/>
    <n v="1"/>
    <n v="1.2000000000000002"/>
    <n v="2.8000000000000003"/>
    <n v="12"/>
    <n v="17"/>
  </r>
  <r>
    <s v="5 Ply Corrugated Box (size- 760x370x180 mm)-OD, (Type-1 ,B.S -14 Kg/cm2)-automatic corrugated board"/>
    <n v="30076"/>
    <n v="2506.3333333333335"/>
    <n v="2507"/>
    <n v="3562"/>
    <n v="9.7010738125181389E-3"/>
    <n v="26"/>
    <n v="137"/>
    <n v="15"/>
    <n v="13.406153780811499"/>
    <n v="2055"/>
    <n v="600"/>
    <n v="4"/>
    <n v="760"/>
    <n v="370"/>
    <n v="180"/>
    <n v="1200"/>
    <n v="1080"/>
    <n v="1200"/>
    <n v="7"/>
    <n v="1"/>
    <n v="2"/>
    <n v="7"/>
    <n v="14"/>
    <n v="187.68615293136099"/>
    <n v="3.9370078740157481"/>
    <n v="11"/>
    <n v="50616000"/>
    <n v="1.7874871707748665"/>
    <x v="0"/>
    <n v="55"/>
    <n v="5.5"/>
    <n v="6.6000000000000005"/>
    <n v="15.400000000000002"/>
    <n v="66"/>
    <n v="93.5"/>
  </r>
  <r>
    <s v="5 Ply corrugated separator (size- 745x500x7 mm), (B.S -12 Kg/cm2)-automatic corrugated board"/>
    <n v="30027"/>
    <n v="2502.25"/>
    <n v="2503"/>
    <n v="2943"/>
    <n v="9.6855954338783013E-3"/>
    <n v="26"/>
    <n v="114"/>
    <n v="15"/>
    <n v="0.69062245107211129"/>
    <n v="1710"/>
    <n v="600"/>
    <n v="3"/>
    <n v="745"/>
    <n v="500"/>
    <n v="7"/>
    <n v="1200"/>
    <n v="1080"/>
    <n v="1200"/>
    <n v="171"/>
    <n v="1"/>
    <n v="2"/>
    <n v="171"/>
    <n v="342"/>
    <n v="236.19287826666206"/>
    <n v="3.9370078740157481"/>
    <n v="1"/>
    <n v="2607500"/>
    <n v="9.2082993476281502E-2"/>
    <x v="0"/>
    <n v="5"/>
    <n v="0.5"/>
    <n v="0.60000000000000009"/>
    <n v="1.4000000000000001"/>
    <n v="6"/>
    <n v="8.5"/>
  </r>
  <r>
    <s v="C.B.BOX 24 X15X 10 ( 7 PLY )"/>
    <n v="27546"/>
    <n v="2461.1205128205124"/>
    <n v="2462"/>
    <n v="2827"/>
    <n v="9.5269420528199672E-3"/>
    <n v="26"/>
    <n v="109"/>
    <n v="15"/>
    <n v="15.625000000000002"/>
    <n v="1635"/>
    <n v="600"/>
    <n v="3"/>
    <n v="609.6"/>
    <n v="381"/>
    <n v="254"/>
    <n v="1200"/>
    <n v="1080"/>
    <n v="1200"/>
    <n v="5"/>
    <n v="1"/>
    <n v="2"/>
    <n v="5"/>
    <n v="10"/>
    <n v="156.25000000000003"/>
    <n v="3.9370078740157481"/>
    <n v="12"/>
    <n v="58993430.399999999"/>
    <n v="2.0833333333333335"/>
    <x v="0"/>
    <n v="60"/>
    <n v="6"/>
    <n v="7.2000000000000011"/>
    <n v="16.800000000000004"/>
    <n v="72.000000000000014"/>
    <n v="102.00000000000003"/>
  </r>
  <r>
    <s v="CB Box 520 x 240 x 160 mm , B.S-14 (5 Ply , Type-1)"/>
    <n v="2400"/>
    <n v="2400"/>
    <n v="2400"/>
    <n v="2400"/>
    <n v="9.2870271839024868E-3"/>
    <n v="26"/>
    <n v="93"/>
    <n v="15"/>
    <n v="5.2887244882101312"/>
    <n v="1395"/>
    <n v="600"/>
    <n v="3"/>
    <n v="520"/>
    <n v="240"/>
    <n v="160"/>
    <n v="1200"/>
    <n v="1080"/>
    <n v="1200"/>
    <n v="8"/>
    <n v="2"/>
    <n v="4"/>
    <n v="8"/>
    <n v="64"/>
    <n v="338.4783672454484"/>
    <n v="3.9370078740157481"/>
    <n v="2"/>
    <n v="19968000"/>
    <n v="0.70516326509468419"/>
    <x v="0"/>
    <n v="10"/>
    <n v="1"/>
    <n v="1.2000000000000002"/>
    <n v="2.8000000000000003"/>
    <n v="12"/>
    <n v="17"/>
  </r>
  <r>
    <s v="510X380X205 MM 5 PLY C. BOX"/>
    <n v="21512"/>
    <n v="2367.9807692307695"/>
    <n v="2368"/>
    <n v="3055"/>
    <n v="9.1632001547837863E-3"/>
    <n v="26"/>
    <n v="118"/>
    <n v="15"/>
    <n v="10.522622956335152"/>
    <n v="1770"/>
    <n v="600"/>
    <n v="3"/>
    <n v="510"/>
    <n v="380"/>
    <n v="205"/>
    <n v="1200"/>
    <n v="1080"/>
    <n v="1200"/>
    <n v="6"/>
    <n v="2"/>
    <n v="2"/>
    <n v="6"/>
    <n v="24"/>
    <n v="252.54295095204364"/>
    <n v="3.9370078740157481"/>
    <n v="6"/>
    <n v="39729000"/>
    <n v="1.4030163941780203"/>
    <x v="0"/>
    <n v="30"/>
    <n v="3"/>
    <n v="3.6000000000000005"/>
    <n v="8.4000000000000021"/>
    <n v="36.000000000000007"/>
    <n v="51.000000000000014"/>
  </r>
  <r>
    <s v="5 PLY CORRUGATION SEPARATOR SHEET (745x500x7mm)"/>
    <n v="4722"/>
    <n v="2361"/>
    <n v="2361"/>
    <n v="2361"/>
    <n v="9.1361129921640714E-3"/>
    <n v="26"/>
    <n v="91"/>
    <n v="15"/>
    <n v="0.69062245107211129"/>
    <n v="1365"/>
    <n v="600"/>
    <n v="3"/>
    <n v="745"/>
    <n v="500"/>
    <n v="7"/>
    <n v="1200"/>
    <n v="1080"/>
    <n v="1200"/>
    <n v="171"/>
    <n v="1"/>
    <n v="2"/>
    <n v="171"/>
    <n v="342"/>
    <n v="236.19287826666206"/>
    <n v="3.9370078740157481"/>
    <n v="1"/>
    <n v="2607500"/>
    <n v="9.2082993476281502E-2"/>
    <x v="0"/>
    <n v="5"/>
    <n v="0.5"/>
    <n v="0.60000000000000009"/>
    <n v="1.4000000000000001"/>
    <n v="6"/>
    <n v="8.5"/>
  </r>
  <r>
    <s v="CB Box 650 x 370 x 320 mm , B.S-17 (5 Ply , Type-2)"/>
    <n v="2361"/>
    <n v="2361"/>
    <n v="2361"/>
    <n v="3098"/>
    <n v="9.1361129921640714E-3"/>
    <n v="26"/>
    <n v="120"/>
    <n v="15"/>
    <n v="20.383625631643216"/>
    <n v="1800"/>
    <n v="600"/>
    <n v="3"/>
    <n v="650"/>
    <n v="370"/>
    <n v="320"/>
    <n v="1200"/>
    <n v="1080"/>
    <n v="1200"/>
    <n v="4"/>
    <n v="1"/>
    <n v="2"/>
    <n v="4"/>
    <n v="8"/>
    <n v="163.06900505314573"/>
    <n v="3.9370078740157481"/>
    <n v="16"/>
    <n v="76960000"/>
    <n v="2.717816750885762"/>
    <x v="0"/>
    <n v="80"/>
    <n v="8"/>
    <n v="9.6000000000000014"/>
    <n v="22.400000000000002"/>
    <n v="96"/>
    <n v="136"/>
  </r>
  <r>
    <s v="C.B. BOXES   36 X 9 X 5&quot;  7 PLY (719 Gm.)"/>
    <n v="28215"/>
    <n v="2351.25"/>
    <n v="2352"/>
    <n v="3172"/>
    <n v="9.1012866402244361E-3"/>
    <n v="26"/>
    <n v="122"/>
    <n v="15"/>
    <n v="7.0312500000000009"/>
    <n v="1830"/>
    <n v="600"/>
    <n v="4"/>
    <n v="914.4"/>
    <n v="228.6"/>
    <n v="127"/>
    <n v="1200"/>
    <n v="1080"/>
    <n v="1200"/>
    <n v="9"/>
    <n v="1"/>
    <n v="4"/>
    <n v="9"/>
    <n v="36"/>
    <n v="253.12500000000003"/>
    <n v="3.9370078740157481"/>
    <n v="4"/>
    <n v="26547043.68"/>
    <n v="0.93750000000000011"/>
    <x v="0"/>
    <n v="20"/>
    <n v="2"/>
    <n v="2.4000000000000004"/>
    <n v="5.6000000000000005"/>
    <n v="24"/>
    <n v="34"/>
  </r>
  <r>
    <s v="C.B.BOX22X19X9.5&quot;  5 PLY"/>
    <n v="25187"/>
    <n v="2289.7272727272725"/>
    <n v="2290"/>
    <n v="2900"/>
    <n v="8.8613717713069556E-3"/>
    <n v="26"/>
    <n v="112"/>
    <n v="15"/>
    <n v="17.23524305555555"/>
    <n v="1680"/>
    <n v="600"/>
    <n v="3"/>
    <n v="558.79999999999995"/>
    <n v="482.59999999999997"/>
    <n v="241.29999999999998"/>
    <n v="1200"/>
    <n v="1080"/>
    <n v="1200"/>
    <n v="5"/>
    <n v="2"/>
    <n v="2"/>
    <n v="5"/>
    <n v="20"/>
    <n v="344.70486111111097"/>
    <n v="3.9370078740157481"/>
    <n v="6"/>
    <n v="65073031.143999979"/>
    <n v="2.2980324074074066"/>
    <x v="0"/>
    <n v="30"/>
    <n v="3"/>
    <n v="3.6000000000000005"/>
    <n v="8.4000000000000021"/>
    <n v="36.000000000000007"/>
    <n v="51.000000000000014"/>
  </r>
  <r>
    <s v="Corrugated Box (5Ply HSC(B.S&gt;14)&amp; 3Ply lid) Size-413*362*286mm(O.D)"/>
    <n v="6703"/>
    <n v="2234.3333333333335"/>
    <n v="2235"/>
    <n v="2442"/>
    <n v="8.6485440650091901E-3"/>
    <n v="26"/>
    <n v="94"/>
    <n v="15"/>
    <n v="11.325073537340863"/>
    <n v="1410"/>
    <n v="600"/>
    <n v="3"/>
    <n v="413"/>
    <n v="362"/>
    <n v="286"/>
    <n v="1200"/>
    <n v="1080"/>
    <n v="1200"/>
    <n v="4"/>
    <n v="2"/>
    <n v="2"/>
    <n v="4"/>
    <n v="16"/>
    <n v="181.20117659745381"/>
    <n v="3.9370078740157481"/>
    <n v="7"/>
    <n v="42758716"/>
    <n v="1.5100098049787818"/>
    <x v="0"/>
    <n v="35"/>
    <n v="3.5"/>
    <n v="4.2"/>
    <n v="9.8000000000000007"/>
    <n v="42.000000000000007"/>
    <n v="59.500000000000007"/>
  </r>
  <r>
    <s v="30X18X8 ( 3 KRAFT PAPER 180 GSM 22 BF, 2 SEMI KRAFT PAPER 125 GSM 18 BF) Corrugated Box"/>
    <n v="22847"/>
    <n v="2168.604487179487"/>
    <n v="2169"/>
    <n v="2531"/>
    <n v="8.3931508174518721E-3"/>
    <n v="26"/>
    <n v="98"/>
    <n v="15"/>
    <n v="18.749999999999996"/>
    <n v="1470"/>
    <n v="600"/>
    <n v="3"/>
    <n v="762"/>
    <n v="457.2"/>
    <n v="203.2"/>
    <n v="1200"/>
    <n v="1080"/>
    <n v="1200"/>
    <n v="6"/>
    <n v="1"/>
    <n v="2"/>
    <n v="6"/>
    <n v="12"/>
    <n v="224.99999999999994"/>
    <n v="3.9370078740157481"/>
    <n v="9"/>
    <n v="70792116.479999989"/>
    <n v="2.4999999999999996"/>
    <x v="0"/>
    <n v="45"/>
    <n v="4.5"/>
    <n v="5.4"/>
    <n v="12.6"/>
    <n v="54"/>
    <n v="76.5"/>
  </r>
  <r>
    <s v="20X17X9.5( 3 KRAFT PAPER 180 GSM 22 BF, 2 SEMI KRAFT PAPER 125 GSM 18 BF) Corrugated Box"/>
    <n v="2116"/>
    <n v="2116"/>
    <n v="2116"/>
    <n v="2116"/>
    <n v="8.1880623004740253E-3"/>
    <n v="26"/>
    <n v="82"/>
    <n v="15"/>
    <n v="14.019097222222221"/>
    <n v="1230"/>
    <n v="600"/>
    <n v="3"/>
    <n v="508"/>
    <n v="431.8"/>
    <n v="241.29999999999998"/>
    <n v="1200"/>
    <n v="1080"/>
    <n v="1200"/>
    <n v="5"/>
    <n v="2"/>
    <n v="2"/>
    <n v="5"/>
    <n v="20"/>
    <n v="280.38194444444446"/>
    <n v="3.9370078740157481"/>
    <n v="5"/>
    <n v="52930216.719999991"/>
    <n v="1.8692129629629628"/>
    <x v="0"/>
    <n v="25"/>
    <n v="2.5"/>
    <n v="3"/>
    <n v="7"/>
    <n v="30"/>
    <n v="42.5"/>
  </r>
  <r>
    <s v="20X15X8 ( 3 KRAFT PAPER 180 GSM 22 BF, 2 SEMI KRAFT PAPER 125 GSM 18 BF) Corrugated Box"/>
    <n v="21670"/>
    <n v="2071.6666666666665"/>
    <n v="2072"/>
    <n v="2689"/>
    <n v="8.0178001354358139E-3"/>
    <n v="26"/>
    <n v="104"/>
    <n v="15"/>
    <n v="10.416666666666666"/>
    <n v="1560"/>
    <n v="600"/>
    <n v="3"/>
    <n v="508"/>
    <n v="381"/>
    <n v="203.2"/>
    <n v="1200"/>
    <n v="1080"/>
    <n v="1200"/>
    <n v="6"/>
    <n v="2"/>
    <n v="2"/>
    <n v="6"/>
    <n v="24"/>
    <n v="250"/>
    <n v="3.9370078740157481"/>
    <n v="5"/>
    <n v="39328953.600000001"/>
    <n v="1.3888888888888888"/>
    <x v="0"/>
    <n v="25"/>
    <n v="2.5"/>
    <n v="3"/>
    <n v="7"/>
    <n v="30"/>
    <n v="42.5"/>
  </r>
  <r>
    <s v="5 Ply Corrugated Box (size- 725x700x335 mm)-OD, (Type-2 ,B.S -17 Kg/cm2)"/>
    <n v="15764"/>
    <n v="2037.3333333333333"/>
    <n v="2038"/>
    <n v="2487"/>
    <n v="7.8862339169971946E-3"/>
    <n v="26"/>
    <n v="96"/>
    <n v="15"/>
    <n v="45.029510819903095"/>
    <n v="1440"/>
    <n v="600"/>
    <n v="3"/>
    <n v="725"/>
    <n v="700"/>
    <n v="335"/>
    <n v="1200"/>
    <n v="1080"/>
    <n v="1200"/>
    <n v="4"/>
    <n v="1"/>
    <n v="1"/>
    <n v="4"/>
    <n v="4"/>
    <n v="180.11804327961238"/>
    <n v="3.9370078740157481"/>
    <n v="26"/>
    <n v="170012500"/>
    <n v="6.0039347759870791"/>
    <x v="0"/>
    <n v="130"/>
    <n v="13"/>
    <n v="15.600000000000001"/>
    <n v="36.4"/>
    <n v="156"/>
    <n v="221"/>
  </r>
  <r>
    <s v="5 Ply Corrugated Box (size- 508x430x320 mm)-OD, (Type-1 ,B.S -14 Kg/cm2)"/>
    <n v="23536"/>
    <n v="2024.3015151515149"/>
    <n v="2025"/>
    <n v="2417"/>
    <n v="7.8359291864177234E-3"/>
    <n v="26"/>
    <n v="93"/>
    <n v="15"/>
    <n v="18.513925916740721"/>
    <n v="1395"/>
    <n v="600"/>
    <n v="3"/>
    <n v="508"/>
    <n v="430"/>
    <n v="320"/>
    <n v="1200"/>
    <n v="1080"/>
    <n v="1200"/>
    <n v="4"/>
    <n v="2"/>
    <n v="2"/>
    <n v="4"/>
    <n v="16"/>
    <n v="296.22281466785154"/>
    <n v="3.9370078740157481"/>
    <n v="7"/>
    <n v="69900800"/>
    <n v="2.4685234555654296"/>
    <x v="0"/>
    <n v="35"/>
    <n v="3.5"/>
    <n v="4.2"/>
    <n v="9.8000000000000007"/>
    <n v="42.000000000000007"/>
    <n v="59.500000000000007"/>
  </r>
  <r>
    <s v="5 Ply Corrugated Box (size- 520x240x160 mm)-OD, (Type-1 ,B.S -14 Kg/cm2)"/>
    <n v="22277"/>
    <n v="1883.9166666666667"/>
    <n v="1884"/>
    <n v="2120"/>
    <n v="7.2903163393634521E-3"/>
    <n v="26"/>
    <n v="82"/>
    <n v="15"/>
    <n v="5.2887244882101312"/>
    <n v="1230"/>
    <n v="600"/>
    <n v="3"/>
    <n v="520"/>
    <n v="240"/>
    <n v="160"/>
    <n v="1200"/>
    <n v="1080"/>
    <n v="1200"/>
    <n v="8"/>
    <n v="2"/>
    <n v="4"/>
    <n v="8"/>
    <n v="64"/>
    <n v="338.4783672454484"/>
    <n v="3.9370078740157481"/>
    <n v="2"/>
    <n v="19968000"/>
    <n v="0.70516326509468419"/>
    <x v="0"/>
    <n v="10"/>
    <n v="1"/>
    <n v="1.2000000000000002"/>
    <n v="2.8000000000000003"/>
    <n v="12"/>
    <n v="17"/>
  </r>
  <r>
    <s v="5 Ply Corrugated Box (size- 650x370x320 mm)-OD, (Type-2 ,B.S -17 Kg/cm2)"/>
    <n v="22096"/>
    <n v="1841.3333333333333"/>
    <n v="1842"/>
    <n v="2210"/>
    <n v="7.1277933636451586E-3"/>
    <n v="26"/>
    <n v="85"/>
    <n v="15"/>
    <n v="20.383625631643216"/>
    <n v="1275"/>
    <n v="600"/>
    <n v="3"/>
    <n v="650"/>
    <n v="370"/>
    <n v="320"/>
    <n v="1200"/>
    <n v="1080"/>
    <n v="1200"/>
    <n v="4"/>
    <n v="1"/>
    <n v="2"/>
    <n v="4"/>
    <n v="8"/>
    <n v="163.06900505314573"/>
    <n v="3.9370078740157481"/>
    <n v="12"/>
    <n v="76960000"/>
    <n v="2.717816750885762"/>
    <x v="0"/>
    <n v="60"/>
    <n v="6"/>
    <n v="7.2000000000000011"/>
    <n v="16.800000000000004"/>
    <n v="72.000000000000014"/>
    <n v="102.00000000000003"/>
  </r>
  <r>
    <s v="5 Ply Corrugated Box (size- 508x305x255 mm)-OD, (Type-1 ,B.S -14 Kg/cm2)"/>
    <n v="19640"/>
    <n v="1829.0476190476193"/>
    <n v="1830"/>
    <n v="2194"/>
    <n v="7.0813582277256459E-3"/>
    <n v="26"/>
    <n v="85"/>
    <n v="15"/>
    <n v="10.464539158244984"/>
    <n v="1275"/>
    <n v="600"/>
    <n v="3"/>
    <n v="508"/>
    <n v="305"/>
    <n v="255"/>
    <n v="1200"/>
    <n v="1080"/>
    <n v="1200"/>
    <n v="5"/>
    <n v="2"/>
    <n v="3"/>
    <n v="5"/>
    <n v="30"/>
    <n v="313.93617474734953"/>
    <n v="3.9370078740157481"/>
    <n v="3"/>
    <n v="39509700"/>
    <n v="1.3952718877659978"/>
    <x v="0"/>
    <n v="15"/>
    <n v="1.5"/>
    <n v="1.8000000000000003"/>
    <n v="4.2000000000000011"/>
    <n v="18.000000000000004"/>
    <n v="25.500000000000007"/>
  </r>
  <r>
    <s v="Corrugated Box Size  400 X 400 X 150"/>
    <n v="22201"/>
    <n v="1780.9560439560441"/>
    <n v="1781"/>
    <n v="2030"/>
    <n v="6.8917480893876367E-3"/>
    <n v="26"/>
    <n v="79"/>
    <n v="15"/>
    <n v="6.3566400098679461"/>
    <n v="1185"/>
    <n v="600"/>
    <n v="2"/>
    <n v="400"/>
    <n v="400"/>
    <n v="150"/>
    <n v="1200"/>
    <n v="1080"/>
    <n v="1200"/>
    <n v="8"/>
    <n v="3"/>
    <n v="2"/>
    <n v="8"/>
    <n v="48"/>
    <n v="305.11872047366143"/>
    <n v="3.9370078740157481"/>
    <n v="2"/>
    <n v="24000000"/>
    <n v="0.84755200131572617"/>
    <x v="0"/>
    <n v="10"/>
    <n v="1"/>
    <n v="1.2000000000000002"/>
    <n v="2.8000000000000003"/>
    <n v="12"/>
    <n v="17"/>
  </r>
  <r>
    <s v="5 Ply Corrugated Box (size- 1090x470x240 mm)-OD, (Type-1 ,B.S -14 Kg/cm2)"/>
    <n v="19538"/>
    <n v="1750.1944444444443"/>
    <n v="1751"/>
    <n v="2191"/>
    <n v="6.7756602495888558E-3"/>
    <n v="26"/>
    <n v="85"/>
    <n v="15"/>
    <n v="32.565066770553493"/>
    <n v="1275"/>
    <n v="600"/>
    <n v="3"/>
    <n v="1090"/>
    <n v="470"/>
    <n v="240"/>
    <n v="1200"/>
    <n v="1080"/>
    <n v="1200"/>
    <n v="5"/>
    <n v="1"/>
    <n v="2"/>
    <n v="5"/>
    <n v="10"/>
    <n v="325.65066770553494"/>
    <n v="3.9370078740157481"/>
    <n v="9"/>
    <n v="122952000"/>
    <n v="4.3420089027404654"/>
    <x v="0"/>
    <n v="45"/>
    <n v="4.5"/>
    <n v="5.4"/>
    <n v="12.6"/>
    <n v="54"/>
    <n v="76.5"/>
  </r>
  <r>
    <s v="Corrugated Box 3 Ply Size- 18&quot;*15&quot;"/>
    <n v="19241"/>
    <n v="1749.1818181818182"/>
    <n v="1750"/>
    <n v="2003"/>
    <n v="6.7717906549288965E-3"/>
    <n v="26"/>
    <n v="78"/>
    <n v="15"/>
    <n v="17.301304133858263"/>
    <n v="1170"/>
    <n v="600"/>
    <n v="2"/>
    <n v="457.2"/>
    <n v="381"/>
    <n v="375"/>
    <n v="1200"/>
    <n v="1080"/>
    <n v="1200"/>
    <n v="3"/>
    <n v="2"/>
    <n v="2"/>
    <n v="3"/>
    <n v="12"/>
    <n v="207.61564960629914"/>
    <n v="3.9370078740157481"/>
    <n v="7"/>
    <n v="65322449.999999993"/>
    <n v="2.3068405511811019"/>
    <x v="0"/>
    <n v="35"/>
    <n v="3.5"/>
    <n v="4.2"/>
    <n v="9.8000000000000007"/>
    <n v="42.000000000000007"/>
    <n v="59.500000000000007"/>
  </r>
  <r>
    <s v="5 Ply Corrugated Box (size- 508x430x240 mm)-OD, (Type-1 ,B.S -14 Kg/cm2)"/>
    <n v="20478"/>
    <n v="1706.5"/>
    <n v="1707"/>
    <n v="1966"/>
    <n v="6.6053980845506436E-3"/>
    <n v="26"/>
    <n v="76"/>
    <n v="15"/>
    <n v="13.885444437555542"/>
    <n v="1140"/>
    <n v="600"/>
    <n v="2"/>
    <n v="508"/>
    <n v="430"/>
    <n v="240"/>
    <n v="1200"/>
    <n v="1080"/>
    <n v="1200"/>
    <n v="5"/>
    <n v="2"/>
    <n v="2"/>
    <n v="5"/>
    <n v="20"/>
    <n v="277.70888875111086"/>
    <n v="3.9370078740157481"/>
    <n v="4"/>
    <n v="52425600"/>
    <n v="1.8513925916740723"/>
    <x v="0"/>
    <n v="20"/>
    <n v="2"/>
    <n v="2.4000000000000004"/>
    <n v="5.6000000000000005"/>
    <n v="24"/>
    <n v="34"/>
  </r>
  <r>
    <s v="5 Ply Corrugated Box (size- 560x370x180 mm)-OD, (Type-1 ,B.S -14 Kg/cm2)-automatic corrugated board"/>
    <n v="20354"/>
    <n v="1696.1666666666667"/>
    <n v="1697"/>
    <n v="2180"/>
    <n v="6.5667021379510497E-3"/>
    <n v="26"/>
    <n v="84"/>
    <n v="15"/>
    <n v="9.8782185753347882"/>
    <n v="1260"/>
    <n v="600"/>
    <n v="3"/>
    <n v="560"/>
    <n v="370"/>
    <n v="180"/>
    <n v="1200"/>
    <n v="1080"/>
    <n v="1200"/>
    <n v="7"/>
    <n v="2"/>
    <n v="2"/>
    <n v="7"/>
    <n v="28"/>
    <n v="276.59012010937408"/>
    <n v="3.9370078740157481"/>
    <n v="4"/>
    <n v="37296000"/>
    <n v="1.3170958100446384"/>
    <x v="0"/>
    <n v="20"/>
    <n v="2"/>
    <n v="2.4000000000000004"/>
    <n v="5.6000000000000005"/>
    <n v="24"/>
    <n v="34"/>
  </r>
  <r>
    <s v="43X18.5X9.5 ( 3 KRAFT PAPER 180 GSM 22 BF, 2 SEMI KRAFT PAPER 125 GSM 18 BF) Corrugated Box"/>
    <n v="2260"/>
    <n v="1586.5"/>
    <n v="1587"/>
    <n v="1728"/>
    <n v="6.1410467253555194E-3"/>
    <n v="26"/>
    <n v="67"/>
    <n v="15"/>
    <n v="32.800564236111114"/>
    <n v="1005"/>
    <n v="600"/>
    <n v="2"/>
    <n v="1092.2"/>
    <n v="469.9"/>
    <n v="241.29999999999998"/>
    <n v="1200"/>
    <n v="1080"/>
    <n v="1200"/>
    <n v="5"/>
    <n v="1"/>
    <n v="2"/>
    <n v="5"/>
    <n v="10"/>
    <n v="328.00564236111114"/>
    <n v="3.9370078740157481"/>
    <n v="8"/>
    <n v="123841139.41399999"/>
    <n v="4.3734085648148149"/>
    <x v="0"/>
    <n v="40"/>
    <n v="4"/>
    <n v="4.8000000000000007"/>
    <n v="11.200000000000001"/>
    <n v="48"/>
    <n v="68"/>
  </r>
  <r>
    <s v="CB Box  660 x 380 x 160 mm , B.S-14 (5 Ply , Type-1)"/>
    <n v="1553"/>
    <n v="1553"/>
    <n v="1553"/>
    <n v="1553"/>
    <n v="6.0094805069169002E-3"/>
    <n v="26"/>
    <n v="60"/>
    <n v="15"/>
    <n v="10.628302096499207"/>
    <n v="900"/>
    <n v="600"/>
    <n v="2"/>
    <n v="660"/>
    <n v="380"/>
    <n v="160"/>
    <n v="1200"/>
    <n v="1080"/>
    <n v="1200"/>
    <n v="8"/>
    <n v="1"/>
    <n v="2"/>
    <n v="8"/>
    <n v="16"/>
    <n v="170.0528335439873"/>
    <n v="3.9370078740157481"/>
    <n v="4"/>
    <n v="40128000"/>
    <n v="1.4171069461998942"/>
    <x v="0"/>
    <n v="20"/>
    <n v="2"/>
    <n v="2.4000000000000004"/>
    <n v="5.6000000000000005"/>
    <n v="24"/>
    <n v="34"/>
  </r>
  <r>
    <s v="CORRUGATED BOXES 410X235X160,5PLY,25BF"/>
    <n v="2950"/>
    <n v="1500"/>
    <n v="1500"/>
    <n v="1510"/>
    <n v="5.8043919899390542E-3"/>
    <n v="26"/>
    <n v="59"/>
    <n v="15"/>
    <n v="4.0830817663385108"/>
    <n v="885"/>
    <n v="600"/>
    <n v="2"/>
    <n v="410"/>
    <n v="235"/>
    <n v="160"/>
    <n v="1200"/>
    <n v="1080"/>
    <n v="1200"/>
    <n v="8"/>
    <n v="2"/>
    <n v="4"/>
    <n v="8"/>
    <n v="64"/>
    <n v="261.31723304566469"/>
    <n v="3.9370078740157481"/>
    <n v="1"/>
    <n v="15416000"/>
    <n v="0.5444109021784681"/>
    <x v="0"/>
    <n v="5"/>
    <n v="0.5"/>
    <n v="0.60000000000000009"/>
    <n v="1.4000000000000001"/>
    <n v="6"/>
    <n v="8.5"/>
  </r>
  <r>
    <s v="3 ply, inner selflocking CB box size : 205 x 105 x 140 mm -(OD) Paper combination ( 250 VK ,22 BF X 140 VK,22BF X 250 VK ,22 BF) , B.S : 11 Kg/cm2."/>
    <n v="1495"/>
    <n v="1495"/>
    <n v="1495"/>
    <n v="1495"/>
    <n v="5.7850440166392573E-3"/>
    <n v="26"/>
    <n v="58"/>
    <n v="15"/>
    <n v="0.79815561123904399"/>
    <n v="870"/>
    <n v="600"/>
    <n v="2"/>
    <n v="205"/>
    <n v="105"/>
    <n v="140"/>
    <n v="1200"/>
    <n v="1080"/>
    <n v="1200"/>
    <n v="9"/>
    <n v="3"/>
    <n v="5"/>
    <n v="9"/>
    <n v="135"/>
    <n v="107.75100751727093"/>
    <n v="3.9370078740157481"/>
    <n v="1"/>
    <n v="3013500"/>
    <n v="0.10642074816520587"/>
    <x v="0"/>
    <n v="5"/>
    <n v="0.5"/>
    <n v="0.60000000000000009"/>
    <n v="1.4000000000000001"/>
    <n v="6"/>
    <n v="8.5"/>
  </r>
  <r>
    <s v="3 ply, outer selflocking CB box size : 230 x 225 x 180 mm -(OD) Paper combination ( 250 VK ,22 BF X 140 VK,22BF X 250 VK ,22 BF) , B.S : 11 Kg/cm2."/>
    <n v="1482"/>
    <n v="1482"/>
    <n v="1482"/>
    <n v="1482"/>
    <n v="5.7347392860597852E-3"/>
    <n v="26"/>
    <n v="57"/>
    <n v="15"/>
    <n v="2.4671709038299965"/>
    <n v="855"/>
    <n v="600"/>
    <n v="2"/>
    <n v="230"/>
    <n v="225"/>
    <n v="180"/>
    <n v="1200"/>
    <n v="1080"/>
    <n v="1200"/>
    <n v="7"/>
    <n v="5"/>
    <n v="4"/>
    <n v="7"/>
    <n v="140"/>
    <n v="345.40392653619949"/>
    <n v="3.9370078740157481"/>
    <n v="1"/>
    <n v="9315000"/>
    <n v="0.32895612051066619"/>
    <x v="0"/>
    <n v="5"/>
    <n v="0.5"/>
    <n v="0.60000000000000009"/>
    <n v="1.4000000000000001"/>
    <n v="6"/>
    <n v="8.5"/>
  </r>
  <r>
    <s v="CORRUGATED BOXES  35X16X6,5-PLY,300GM"/>
    <n v="18862"/>
    <n v="1450.9230769230769"/>
    <n v="1451"/>
    <n v="1655"/>
    <n v="5.614781851601045E-3"/>
    <n v="26"/>
    <n v="64"/>
    <n v="15"/>
    <n v="14.583333333333336"/>
    <n v="960"/>
    <n v="600"/>
    <n v="2"/>
    <n v="889"/>
    <n v="406.4"/>
    <n v="152.4"/>
    <n v="1200"/>
    <n v="1080"/>
    <n v="1200"/>
    <n v="8"/>
    <n v="1"/>
    <n v="2"/>
    <n v="8"/>
    <n v="16"/>
    <n v="233.33333333333337"/>
    <n v="3.9370078740157481"/>
    <n v="5"/>
    <n v="55060535.039999999"/>
    <n v="1.9444444444444446"/>
    <x v="0"/>
    <n v="25"/>
    <n v="2.5"/>
    <n v="3"/>
    <n v="7"/>
    <n v="30"/>
    <n v="42.5"/>
  </r>
  <r>
    <s v="5 Ply corrugated separator  (size- 555x500x7 mm), (B.S -12 Kg/cm2)-automatic corrugated board"/>
    <n v="14462"/>
    <n v="1446.2"/>
    <n v="1447"/>
    <n v="1394"/>
    <n v="5.5993034729612074E-3"/>
    <n v="26"/>
    <n v="54"/>
    <n v="15"/>
    <n v="0.51449055079868689"/>
    <n v="810"/>
    <n v="600"/>
    <n v="2"/>
    <n v="555"/>
    <n v="500"/>
    <n v="7"/>
    <n v="1200"/>
    <n v="1080"/>
    <n v="1200"/>
    <n v="171"/>
    <n v="2"/>
    <n v="2"/>
    <n v="171"/>
    <n v="684"/>
    <n v="351.91153674630181"/>
    <n v="3.9370078740157481"/>
    <n v="1"/>
    <n v="1942500"/>
    <n v="6.8598740106491585E-2"/>
    <x v="0"/>
    <n v="5"/>
    <n v="0.5"/>
    <n v="0.60000000000000009"/>
    <n v="1.4000000000000001"/>
    <n v="6"/>
    <n v="8.5"/>
  </r>
  <r>
    <s v="560X410X160 5PLY 300GM CB BOX"/>
    <n v="13302"/>
    <n v="1445.2773892773891"/>
    <n v="1446"/>
    <n v="1764"/>
    <n v="5.5954338783012481E-3"/>
    <n v="26"/>
    <n v="68"/>
    <n v="15"/>
    <n v="9.7298969751045359"/>
    <n v="1020"/>
    <n v="600"/>
    <n v="2"/>
    <n v="560"/>
    <n v="410"/>
    <n v="160"/>
    <n v="1200"/>
    <n v="1080"/>
    <n v="1200"/>
    <n v="8"/>
    <n v="2"/>
    <n v="2"/>
    <n v="8"/>
    <n v="32"/>
    <n v="311.35670320334515"/>
    <n v="3.9370078740157481"/>
    <n v="3"/>
    <n v="36736000"/>
    <n v="1.2973195966806048"/>
    <x v="0"/>
    <n v="15"/>
    <n v="1.5"/>
    <n v="1.8000000000000003"/>
    <n v="4.2000000000000011"/>
    <n v="18.000000000000004"/>
    <n v="25.500000000000007"/>
  </r>
  <r>
    <s v="5 PLY CORRUGATION SEPARATOR SHEET (555x500x7mm)"/>
    <n v="2825"/>
    <n v="1412.5"/>
    <n v="1413"/>
    <n v="1519"/>
    <n v="5.4677372545225891E-3"/>
    <n v="26"/>
    <n v="59"/>
    <n v="15"/>
    <n v="0.51449055079868689"/>
    <n v="885"/>
    <n v="600"/>
    <n v="2"/>
    <n v="555"/>
    <n v="500"/>
    <n v="7"/>
    <n v="1200"/>
    <n v="1080"/>
    <n v="1200"/>
    <n v="171"/>
    <n v="2"/>
    <n v="2"/>
    <n v="171"/>
    <n v="684"/>
    <n v="351.91153674630181"/>
    <n v="3.9370078740157481"/>
    <n v="1"/>
    <n v="1942500"/>
    <n v="6.8598740106491585E-2"/>
    <x v="0"/>
    <n v="5"/>
    <n v="0.5"/>
    <n v="0.60000000000000009"/>
    <n v="1.4000000000000001"/>
    <n v="6"/>
    <n v="8.5"/>
  </r>
  <r>
    <s v="11X15X10 ( 3 KRAFT PAPER 180 GSM 22 BF, 2 SEMI KRAFT PAPER 125 GSM 18 BF) Corrugated Box"/>
    <n v="14048"/>
    <n v="1388.4307692307693"/>
    <n v="1389"/>
    <n v="1927"/>
    <n v="5.3748669826835637E-3"/>
    <n v="26"/>
    <n v="75"/>
    <n v="15"/>
    <n v="7.1614583333333321"/>
    <n v="1125"/>
    <n v="600"/>
    <n v="2"/>
    <n v="279.39999999999998"/>
    <n v="381"/>
    <n v="254"/>
    <n v="1200"/>
    <n v="1080"/>
    <n v="1200"/>
    <n v="5"/>
    <n v="4"/>
    <n v="2"/>
    <n v="5"/>
    <n v="40"/>
    <n v="286.45833333333326"/>
    <n v="3.9370078740157481"/>
    <n v="2"/>
    <n v="27038655.599999998"/>
    <n v="0.95486111111111094"/>
    <x v="0"/>
    <n v="10"/>
    <n v="1"/>
    <n v="1.2000000000000002"/>
    <n v="2.8000000000000003"/>
    <n v="12"/>
    <n v="17"/>
  </r>
  <r>
    <s v="5 Ply Corrugated Box (size- 762x508x305 mm)-OD, (Type-1 ,B.S -14 Kg/cm2)"/>
    <n v="9452"/>
    <n v="1258.439393939394"/>
    <n v="1259"/>
    <n v="1733"/>
    <n v="4.8718196768888456E-3"/>
    <n v="26"/>
    <n v="67"/>
    <n v="15"/>
    <n v="31.270505249343834"/>
    <n v="1005"/>
    <n v="600"/>
    <n v="2"/>
    <n v="762"/>
    <n v="508"/>
    <n v="305"/>
    <n v="1200"/>
    <n v="1080"/>
    <n v="1200"/>
    <n v="4"/>
    <n v="1"/>
    <n v="2"/>
    <n v="4"/>
    <n v="8"/>
    <n v="250.16404199475068"/>
    <n v="3.9370078740157481"/>
    <n v="9"/>
    <n v="118064280"/>
    <n v="4.1694006999125115"/>
    <x v="0"/>
    <n v="45"/>
    <n v="4.5"/>
    <n v="5.4"/>
    <n v="12.6"/>
    <n v="54"/>
    <n v="76.5"/>
  </r>
  <r>
    <s v="7 PLY CORRUGATED BOX ( 725 x 700 x 335 mm )"/>
    <n v="1245"/>
    <n v="1245"/>
    <n v="1245"/>
    <n v="1245"/>
    <n v="4.8176453516494151E-3"/>
    <n v="26"/>
    <n v="48"/>
    <n v="15"/>
    <n v="45.029510819903095"/>
    <n v="720"/>
    <n v="600"/>
    <n v="2"/>
    <n v="725"/>
    <n v="700"/>
    <n v="335"/>
    <n v="1200"/>
    <n v="1080"/>
    <n v="1200"/>
    <n v="4"/>
    <n v="1"/>
    <n v="1"/>
    <n v="4"/>
    <n v="4"/>
    <n v="180.11804327961238"/>
    <n v="3.9370078740157481"/>
    <n v="13"/>
    <n v="170012500"/>
    <n v="6.0039347759870791"/>
    <x v="0"/>
    <n v="65"/>
    <n v="6.5"/>
    <n v="7.8000000000000007"/>
    <n v="18.2"/>
    <n v="78"/>
    <n v="110.5"/>
  </r>
  <r>
    <s v="Corrugated Box SIZE-38X20X10 BRUSTING-21(7 PLY)"/>
    <n v="1153"/>
    <n v="1153"/>
    <n v="1153"/>
    <n v="1153"/>
    <n v="4.4616426429331529E-3"/>
    <n v="26"/>
    <n v="45"/>
    <n v="15"/>
    <n v="32.986111111111107"/>
    <n v="675"/>
    <n v="600"/>
    <n v="2"/>
    <n v="965.19999999999993"/>
    <n v="508"/>
    <n v="254"/>
    <n v="1200"/>
    <n v="1080"/>
    <n v="1200"/>
    <n v="5"/>
    <n v="1"/>
    <n v="2"/>
    <n v="5"/>
    <n v="10"/>
    <n v="329.86111111111109"/>
    <n v="3.9370078740157481"/>
    <n v="5"/>
    <n v="124541686.39999999"/>
    <n v="4.3981481481481479"/>
    <x v="0"/>
    <n v="25"/>
    <n v="2.5"/>
    <n v="3"/>
    <n v="7"/>
    <n v="30"/>
    <n v="42.5"/>
  </r>
  <r>
    <s v="C.B. BOXES   26 X 7 X 4&quot;  7PLY (420 Gm.)"/>
    <n v="13580"/>
    <n v="1131.6666666666667"/>
    <n v="1132"/>
    <n v="1511"/>
    <n v="4.3803811550740058E-3"/>
    <n v="26"/>
    <n v="59"/>
    <n v="15"/>
    <n v="3.1597222222222223"/>
    <n v="885"/>
    <n v="600"/>
    <n v="2"/>
    <n v="660.4"/>
    <n v="177.8"/>
    <n v="101.6"/>
    <n v="1200"/>
    <n v="1080"/>
    <n v="1200"/>
    <n v="12"/>
    <n v="1"/>
    <n v="6"/>
    <n v="12"/>
    <n v="72"/>
    <n v="227.5"/>
    <n v="3.9370078740157481"/>
    <n v="1"/>
    <n v="11929782.592"/>
    <n v="0.42129629629629634"/>
    <x v="0"/>
    <n v="5"/>
    <n v="0.5"/>
    <n v="0.60000000000000009"/>
    <n v="1.4000000000000001"/>
    <n v="6"/>
    <n v="8.5"/>
  </r>
  <r>
    <s v="5 PLY UNIVERSAL CORRUGATED BOX (560x370x180mm)"/>
    <n v="2242"/>
    <n v="1121"/>
    <n v="1121"/>
    <n v="1359"/>
    <n v="4.3378156138144533E-3"/>
    <n v="26"/>
    <n v="53"/>
    <n v="15"/>
    <n v="9.8782185753347882"/>
    <n v="795"/>
    <n v="600"/>
    <n v="2"/>
    <n v="560"/>
    <n v="370"/>
    <n v="180"/>
    <n v="1200"/>
    <n v="1080"/>
    <n v="1200"/>
    <n v="7"/>
    <n v="2"/>
    <n v="2"/>
    <n v="7"/>
    <n v="28"/>
    <n v="276.59012010937408"/>
    <n v="3.9370078740157481"/>
    <n v="2"/>
    <n v="37296000"/>
    <n v="1.3170958100446384"/>
    <x v="0"/>
    <n v="10"/>
    <n v="1"/>
    <n v="1.2000000000000002"/>
    <n v="2.8000000000000003"/>
    <n v="12"/>
    <n v="17"/>
  </r>
  <r>
    <s v="20X15X6 ( 3 KRAFT PAPER 180 GSM 22 BF, 2 SEMI KRAFT PAPER 125 GSM 18 BF) Corrugated Box"/>
    <n v="6222"/>
    <n v="1116.6363636363635"/>
    <n v="1117"/>
    <n v="1482"/>
    <n v="4.3223372351746158E-3"/>
    <n v="26"/>
    <n v="57"/>
    <n v="15"/>
    <n v="7.8125000000000009"/>
    <n v="855"/>
    <n v="600"/>
    <n v="2"/>
    <n v="508"/>
    <n v="381"/>
    <n v="152.4"/>
    <n v="1200"/>
    <n v="1080"/>
    <n v="1200"/>
    <n v="8"/>
    <n v="2"/>
    <n v="2"/>
    <n v="8"/>
    <n v="32"/>
    <n v="250.00000000000003"/>
    <n v="3.9370078740157481"/>
    <n v="2"/>
    <n v="29496715.199999999"/>
    <n v="1.0416666666666667"/>
    <x v="0"/>
    <n v="10"/>
    <n v="1"/>
    <n v="1.2000000000000002"/>
    <n v="2.8000000000000003"/>
    <n v="12"/>
    <n v="17"/>
  </r>
  <r>
    <s v="1 Cardboard separator 5 ply size 4x3.8 in feet"/>
    <n v="11157"/>
    <n v="1111.6666666666665"/>
    <n v="1112"/>
    <n v="1464"/>
    <n v="4.3029892618748188E-3"/>
    <n v="26"/>
    <n v="57"/>
    <n v="15"/>
    <n v="140.25590551181105"/>
    <n v="855"/>
    <n v="600"/>
    <n v="2"/>
    <n v="1219.2"/>
    <n v="1158.24"/>
    <n v="375"/>
    <n v="1200"/>
    <n v="1200"/>
    <n v="1200"/>
    <n v="3"/>
    <n v="1"/>
    <n v="1"/>
    <n v="3"/>
    <n v="3"/>
    <n v="420.76771653543312"/>
    <n v="3.9370078740157481"/>
    <n v="20"/>
    <n v="529547328.00000006"/>
    <n v="18.700787401574807"/>
    <x v="0"/>
    <n v="100"/>
    <n v="10"/>
    <n v="12"/>
    <n v="28"/>
    <n v="120"/>
    <n v="170"/>
  </r>
  <r>
    <s v="5 Ply Corrugated Box (size- 1067x330x305 mm)-OD, (Type-1 ,B.S -14 Kg/cm2)"/>
    <n v="6541"/>
    <n v="1107.8"/>
    <n v="1108"/>
    <n v="1401"/>
    <n v="4.2875108832349813E-3"/>
    <n v="26"/>
    <n v="54"/>
    <n v="15"/>
    <n v="28.444255697156411"/>
    <n v="810"/>
    <n v="600"/>
    <n v="2"/>
    <n v="1067"/>
    <n v="330"/>
    <n v="305"/>
    <n v="1200"/>
    <n v="1080"/>
    <n v="1200"/>
    <n v="4"/>
    <n v="1"/>
    <n v="3"/>
    <n v="4"/>
    <n v="12"/>
    <n v="341.33106836587694"/>
    <n v="3.9370078740157481"/>
    <n v="5"/>
    <n v="107393550"/>
    <n v="3.7925674262875213"/>
    <x v="0"/>
    <n v="25"/>
    <n v="2.5"/>
    <n v="3"/>
    <n v="7"/>
    <n v="30"/>
    <n v="42.5"/>
  </r>
  <r>
    <s v="CORRUGATED BOX 25X14X10&quot; 5PLY BOX"/>
    <n v="11693"/>
    <n v="1063"/>
    <n v="1063"/>
    <n v="1408"/>
    <n v="4.1133791235368096E-3"/>
    <n v="26"/>
    <n v="55"/>
    <n v="15"/>
    <n v="15.190972222222221"/>
    <n v="825"/>
    <n v="600"/>
    <n v="2"/>
    <n v="635"/>
    <n v="355.6"/>
    <n v="254"/>
    <n v="1200"/>
    <n v="1080"/>
    <n v="1200"/>
    <n v="5"/>
    <n v="1"/>
    <n v="3"/>
    <n v="5"/>
    <n v="15"/>
    <n v="227.86458333333331"/>
    <n v="3.9370078740157481"/>
    <n v="4"/>
    <n v="57354724"/>
    <n v="2.0254629629629628"/>
    <x v="0"/>
    <n v="20"/>
    <n v="2"/>
    <n v="2.4000000000000004"/>
    <n v="5.6000000000000005"/>
    <n v="24"/>
    <n v="34"/>
  </r>
  <r>
    <s v="5 Ply Corrugated Box (size- 965x508x255 mm)-OD, (Type-1 ,B.S -14 Kg/cm2)"/>
    <n v="9110"/>
    <n v="1031.1666666666667"/>
    <n v="1032"/>
    <n v="1335"/>
    <n v="3.9934216890780694E-3"/>
    <n v="26"/>
    <n v="52"/>
    <n v="15"/>
    <n v="33.10911569739806"/>
    <n v="780"/>
    <n v="600"/>
    <n v="2"/>
    <n v="965"/>
    <n v="508"/>
    <n v="255"/>
    <n v="1200"/>
    <n v="1080"/>
    <n v="1200"/>
    <n v="5"/>
    <n v="1"/>
    <n v="2"/>
    <n v="5"/>
    <n v="10"/>
    <n v="331.09115697398062"/>
    <n v="3.9370078740157481"/>
    <n v="6"/>
    <n v="125006100"/>
    <n v="4.4145487596530746"/>
    <x v="0"/>
    <n v="30"/>
    <n v="3"/>
    <n v="3.6000000000000005"/>
    <n v="8.4000000000000021"/>
    <n v="36.000000000000007"/>
    <n v="51.000000000000014"/>
  </r>
  <r>
    <s v="C.B. BOXES   17x7x4&quot;   5 PLY (222 Gm.)"/>
    <n v="5605"/>
    <n v="992.5"/>
    <n v="993"/>
    <n v="1168"/>
    <n v="3.8425074973396536E-3"/>
    <n v="26"/>
    <n v="45"/>
    <n v="15"/>
    <n v="2.0659722222222228"/>
    <n v="675"/>
    <n v="600"/>
    <n v="2"/>
    <n v="431.8"/>
    <n v="177.8"/>
    <n v="101.6"/>
    <n v="1200"/>
    <n v="1080"/>
    <n v="1200"/>
    <n v="12"/>
    <n v="2"/>
    <n v="5"/>
    <n v="12"/>
    <n v="120"/>
    <n v="247.91666666666674"/>
    <n v="3.9370078740157481"/>
    <n v="1"/>
    <n v="7800242.4640000006"/>
    <n v="0.27546296296296302"/>
    <x v="0"/>
    <n v="5"/>
    <n v="0.5"/>
    <n v="0.60000000000000009"/>
    <n v="1.4000000000000001"/>
    <n v="6"/>
    <n v="8.5"/>
  </r>
  <r>
    <s v="20X12X10 ( 3 KRAFT PAPER 180 GSM 22 BF, 2 SEMI KRAFT PAPER 125 GSM 18 BF) Corrugated Box"/>
    <n v="980"/>
    <n v="980"/>
    <n v="980"/>
    <n v="980"/>
    <n v="3.792202766760182E-3"/>
    <n v="26"/>
    <n v="38"/>
    <n v="15"/>
    <n v="10.416666666666666"/>
    <n v="570"/>
    <n v="600"/>
    <n v="1"/>
    <n v="508"/>
    <n v="304.8"/>
    <n v="254"/>
    <n v="1200"/>
    <n v="1080"/>
    <n v="1200"/>
    <n v="5"/>
    <n v="2"/>
    <n v="3"/>
    <n v="5"/>
    <n v="30"/>
    <n v="312.5"/>
    <n v="3.9370078740157481"/>
    <n v="2"/>
    <n v="39328953.600000001"/>
    <n v="1.3888888888888888"/>
    <x v="0"/>
    <n v="10"/>
    <n v="1"/>
    <n v="1.2000000000000002"/>
    <n v="2.8000000000000003"/>
    <n v="12"/>
    <n v="17"/>
  </r>
  <r>
    <s v="5 Ply Corrugated Box (size- 660x380x160 mm)-OD, (Type-1 ,B.S -14 Kg/cm2)"/>
    <n v="11404"/>
    <n v="950.33333333333337"/>
    <n v="951"/>
    <n v="1124"/>
    <n v="3.6799845216213601E-3"/>
    <n v="26"/>
    <n v="44"/>
    <n v="15"/>
    <n v="10.628302096499207"/>
    <n v="660"/>
    <n v="600"/>
    <n v="2"/>
    <n v="660"/>
    <n v="380"/>
    <n v="160"/>
    <n v="1200"/>
    <n v="1080"/>
    <n v="1200"/>
    <n v="8"/>
    <n v="1"/>
    <n v="2"/>
    <n v="8"/>
    <n v="16"/>
    <n v="170.0528335439873"/>
    <n v="3.9370078740157481"/>
    <n v="3"/>
    <n v="40128000"/>
    <n v="1.4171069461998942"/>
    <x v="0"/>
    <n v="15"/>
    <n v="1.5"/>
    <n v="1.8000000000000003"/>
    <n v="4.2000000000000011"/>
    <n v="18.000000000000004"/>
    <n v="25.500000000000007"/>
  </r>
  <r>
    <s v="5 Ply Corrugated Box (size- 940x355x320 mm)-OD, (Type-2 ,B.S -17 Kg/cm2)"/>
    <n v="10272"/>
    <n v="933.81818181818187"/>
    <n v="934"/>
    <n v="1191"/>
    <n v="3.6142014124020509E-3"/>
    <n v="26"/>
    <n v="46"/>
    <n v="15"/>
    <n v="28.282810283905786"/>
    <n v="690"/>
    <n v="600"/>
    <n v="2"/>
    <n v="940"/>
    <n v="355"/>
    <n v="320"/>
    <n v="1200"/>
    <n v="1080"/>
    <n v="1200"/>
    <n v="4"/>
    <n v="1"/>
    <n v="3"/>
    <n v="4"/>
    <n v="12"/>
    <n v="339.39372340686941"/>
    <n v="3.9370078740157481"/>
    <n v="5"/>
    <n v="106784000"/>
    <n v="3.771041371187438"/>
    <x v="0"/>
    <n v="25"/>
    <n v="2.5"/>
    <n v="3"/>
    <n v="7"/>
    <n v="30"/>
    <n v="42.5"/>
  </r>
  <r>
    <s v="CORRUGATED BOX (52 x 9  x 5 )&quot;  7 PLY NET WT. 1 KG."/>
    <n v="5397"/>
    <n v="899.5"/>
    <n v="900"/>
    <n v="883"/>
    <n v="3.4826351939634325E-3"/>
    <n v="26"/>
    <n v="34"/>
    <n v="15"/>
    <n v="10.156249999999998"/>
    <n v="510"/>
    <n v="600"/>
    <n v="1"/>
    <n v="1320.8"/>
    <n v="228.6"/>
    <n v="127"/>
    <n v="1500"/>
    <n v="1080"/>
    <n v="1200"/>
    <n v="9"/>
    <n v="1"/>
    <n v="4"/>
    <n v="9"/>
    <n v="36"/>
    <n v="365.62499999999994"/>
    <n v="3.9370078740157481"/>
    <n v="1"/>
    <n v="38345729.759999998"/>
    <n v="1.3541666666666665"/>
    <x v="2"/>
    <n v="10"/>
    <n v="0.5"/>
    <n v="0.60000000000000009"/>
    <n v="1.4000000000000001"/>
    <n v="6"/>
    <n v="8.5"/>
  </r>
  <r>
    <s v="5 Ply Corrugated Box (size- 850x380x280 mm)-OD, (Type-2 ,B.S -17 Kg/cm2)"/>
    <n v="7702"/>
    <n v="898.58333333333326"/>
    <n v="899"/>
    <n v="1129"/>
    <n v="3.4787655993034731E-3"/>
    <n v="26"/>
    <n v="44"/>
    <n v="15"/>
    <n v="23.953938437185712"/>
    <n v="660"/>
    <n v="600"/>
    <n v="2"/>
    <n v="850"/>
    <n v="380"/>
    <n v="280"/>
    <n v="1200"/>
    <n v="1080"/>
    <n v="1200"/>
    <n v="4"/>
    <n v="1"/>
    <n v="2"/>
    <n v="4"/>
    <n v="8"/>
    <n v="191.6315074974857"/>
    <n v="3.9370078740157481"/>
    <n v="6"/>
    <n v="90440000"/>
    <n v="3.1938584582914284"/>
    <x v="0"/>
    <n v="30"/>
    <n v="3"/>
    <n v="3.6000000000000005"/>
    <n v="8.4000000000000021"/>
    <n v="36.000000000000007"/>
    <n v="51.000000000000014"/>
  </r>
  <r>
    <s v="24X15X8 ( 3 KRAFT PAPER 180 GSM 22 BF, 2 SEMI KRAFT PAPER 125 GSM 18 BF) Corrugated Box"/>
    <n v="5437"/>
    <n v="892.86666666666667"/>
    <n v="893"/>
    <n v="1093"/>
    <n v="3.4555480313437168E-3"/>
    <n v="26"/>
    <n v="43"/>
    <n v="15"/>
    <n v="12.499999999999998"/>
    <n v="645"/>
    <n v="600"/>
    <n v="2"/>
    <n v="609.6"/>
    <n v="381"/>
    <n v="203.2"/>
    <n v="1200"/>
    <n v="1080"/>
    <n v="1200"/>
    <n v="6"/>
    <n v="1"/>
    <n v="2"/>
    <n v="6"/>
    <n v="12"/>
    <n v="149.99999999999997"/>
    <n v="3.9370078740157481"/>
    <n v="4"/>
    <n v="47194744.32"/>
    <n v="1.6666666666666665"/>
    <x v="0"/>
    <n v="20"/>
    <n v="2"/>
    <n v="2.4000000000000004"/>
    <n v="5.6000000000000005"/>
    <n v="24"/>
    <n v="34"/>
  </r>
  <r>
    <s v="30X20X12  300  TOP 7 PLY GM CB BOX"/>
    <n v="879"/>
    <n v="879"/>
    <n v="879"/>
    <n v="879"/>
    <n v="3.4013737061042858E-3"/>
    <n v="26"/>
    <n v="34"/>
    <n v="15"/>
    <n v="31.250000000000004"/>
    <n v="510"/>
    <n v="600"/>
    <n v="1"/>
    <n v="762"/>
    <n v="508"/>
    <n v="304.8"/>
    <n v="1200"/>
    <n v="1080"/>
    <n v="1200"/>
    <n v="4"/>
    <n v="1"/>
    <n v="2"/>
    <n v="4"/>
    <n v="8"/>
    <n v="250.00000000000003"/>
    <n v="3.9370078740157481"/>
    <n v="5"/>
    <n v="117986860.8"/>
    <n v="4.166666666666667"/>
    <x v="0"/>
    <n v="25"/>
    <n v="2.5"/>
    <n v="3"/>
    <n v="7"/>
    <n v="30"/>
    <n v="42.5"/>
  </r>
  <r>
    <s v="CORRUGATED BOX 18x15x10 ( 3 KRAFT PAPER 180 GSM 22 BF, 2 SEMI KRAFT PAPER 125 GSM 18 BF)"/>
    <n v="7411"/>
    <n v="859.85714285714289"/>
    <n v="860"/>
    <n v="1121"/>
    <n v="3.3278514075650574E-3"/>
    <n v="26"/>
    <n v="44"/>
    <n v="15"/>
    <n v="11.71875"/>
    <n v="660"/>
    <n v="600"/>
    <n v="2"/>
    <n v="457.2"/>
    <n v="381"/>
    <n v="254"/>
    <n v="1200"/>
    <n v="1080"/>
    <n v="1200"/>
    <n v="5"/>
    <n v="2"/>
    <n v="2"/>
    <n v="5"/>
    <n v="20"/>
    <n v="234.375"/>
    <n v="3.9370078740157481"/>
    <n v="3"/>
    <n v="44245072.799999997"/>
    <n v="1.5625"/>
    <x v="0"/>
    <n v="15"/>
    <n v="1.5"/>
    <n v="1.8000000000000003"/>
    <n v="4.2000000000000011"/>
    <n v="18.000000000000004"/>
    <n v="25.500000000000007"/>
  </r>
  <r>
    <s v="5 Ply Corrugated Box (size- 508x305x305 mm)-OD, (Type-1 ,B.S -14 Kg/cm2)"/>
    <n v="1632"/>
    <n v="816"/>
    <n v="816"/>
    <n v="978"/>
    <n v="3.1575892425268451E-3"/>
    <n v="26"/>
    <n v="38"/>
    <n v="15"/>
    <n v="12.516409581430276"/>
    <n v="570"/>
    <n v="600"/>
    <n v="1"/>
    <n v="508"/>
    <n v="305"/>
    <n v="305"/>
    <n v="1200"/>
    <n v="1080"/>
    <n v="1200"/>
    <n v="4"/>
    <n v="2"/>
    <n v="3"/>
    <n v="4"/>
    <n v="24"/>
    <n v="300.39382995432663"/>
    <n v="3.9370078740157481"/>
    <n v="2"/>
    <n v="47256700"/>
    <n v="1.6688546108573701"/>
    <x v="0"/>
    <n v="10"/>
    <n v="1"/>
    <n v="1.2000000000000002"/>
    <n v="2.8000000000000003"/>
    <n v="12"/>
    <n v="17"/>
  </r>
  <r>
    <s v="3 ply, outer selflocking CB box size : 225 x 225 x 160 mm -(OD) Paper combination ( 250 VK ,22 BF X 140 VK,22BF X 250 VK ,22 BF) , B.S : 11 Kg/cm2."/>
    <n v="800"/>
    <n v="800"/>
    <n v="800"/>
    <n v="800"/>
    <n v="3.0956757279674953E-3"/>
    <n v="26"/>
    <n v="31"/>
    <n v="15"/>
    <n v="2.145366003330432"/>
    <n v="465"/>
    <n v="600"/>
    <n v="1"/>
    <n v="225"/>
    <n v="225"/>
    <n v="160"/>
    <n v="1200"/>
    <n v="1080"/>
    <n v="1200"/>
    <n v="8"/>
    <n v="5"/>
    <n v="4"/>
    <n v="8"/>
    <n v="160"/>
    <n v="343.25856053286913"/>
    <n v="3.9370078740157481"/>
    <n v="1"/>
    <n v="8100000"/>
    <n v="0.28604880044405762"/>
    <x v="0"/>
    <n v="5"/>
    <n v="0.5"/>
    <n v="0.60000000000000009"/>
    <n v="1.4000000000000001"/>
    <n v="6"/>
    <n v="8.5"/>
  </r>
  <r>
    <s v="37x14x12.5  17BS(5ply) TYPE - 2"/>
    <n v="1527"/>
    <n v="763.5"/>
    <n v="764"/>
    <n v="985"/>
    <n v="2.9563703202089581E-3"/>
    <n v="26"/>
    <n v="38"/>
    <n v="15"/>
    <n v="28.103298611111114"/>
    <n v="570"/>
    <n v="600"/>
    <n v="1"/>
    <n v="939.8"/>
    <n v="355.6"/>
    <n v="317.5"/>
    <n v="1200"/>
    <n v="1080"/>
    <n v="1200"/>
    <n v="4"/>
    <n v="1"/>
    <n v="3"/>
    <n v="4"/>
    <n v="12"/>
    <n v="337.23958333333337"/>
    <n v="3.9370078740157481"/>
    <n v="4"/>
    <n v="106106239.40000001"/>
    <n v="3.7471064814814818"/>
    <x v="0"/>
    <n v="20"/>
    <n v="2"/>
    <n v="2.4000000000000004"/>
    <n v="5.6000000000000005"/>
    <n v="24"/>
    <n v="34"/>
  </r>
  <r>
    <s v="37X14X8 ( 3 KRAFT PAPER 180 GSM 22 BF, 2 SEMI KRAFT PAPER 125 GSM 18 BF) Corrugated Box"/>
    <n v="1420"/>
    <n v="710"/>
    <n v="710"/>
    <n v="816"/>
    <n v="2.747412208571152E-3"/>
    <n v="26"/>
    <n v="32"/>
    <n v="15"/>
    <n v="17.986111111111111"/>
    <n v="480"/>
    <n v="600"/>
    <n v="1"/>
    <n v="939.8"/>
    <n v="355.6"/>
    <n v="203.2"/>
    <n v="1200"/>
    <n v="1080"/>
    <n v="1200"/>
    <n v="6"/>
    <n v="1"/>
    <n v="3"/>
    <n v="6"/>
    <n v="18"/>
    <n v="323.75"/>
    <n v="3.9370078740157481"/>
    <n v="2"/>
    <n v="67907993.215999991"/>
    <n v="2.3981481481481479"/>
    <x v="0"/>
    <n v="10"/>
    <n v="1"/>
    <n v="1.2000000000000002"/>
    <n v="2.8000000000000003"/>
    <n v="12"/>
    <n v="17"/>
  </r>
  <r>
    <s v="Corrugated separator (16.9x16.9inchx 3ply Bursting pressure required: 14kgf  ~ 17kgf. Customer cummins export"/>
    <n v="2800"/>
    <n v="700"/>
    <n v="700"/>
    <n v="800"/>
    <n v="2.7087162619715585E-3"/>
    <n v="26"/>
    <n v="31"/>
    <n v="15"/>
    <n v="18.301575828412076"/>
    <n v="465"/>
    <n v="600"/>
    <n v="1"/>
    <n v="429.26"/>
    <n v="429.26"/>
    <n v="375"/>
    <n v="1200"/>
    <n v="1080"/>
    <n v="1200"/>
    <n v="3"/>
    <n v="2"/>
    <n v="2"/>
    <n v="3"/>
    <n v="12"/>
    <n v="219.61890994094492"/>
    <n v="3.9370078740157481"/>
    <n v="3"/>
    <n v="69099055.349999994"/>
    <n v="2.4402101104549434"/>
    <x v="0"/>
    <n v="15"/>
    <n v="1.5"/>
    <n v="1.8000000000000003"/>
    <n v="4.2000000000000011"/>
    <n v="18.000000000000004"/>
    <n v="25.500000000000007"/>
  </r>
  <r>
    <s v="26X24X15 ( 3 KRAFT PAPER 180 GSM 22 BF, 2 SEMI KRAFT PAPER 125 GSM 18 BF) Corrugated Box"/>
    <n v="7916"/>
    <n v="675.58974358974353"/>
    <n v="676"/>
    <n v="855"/>
    <n v="2.6158459901325336E-3"/>
    <n v="26"/>
    <n v="33"/>
    <n v="15"/>
    <n v="40.625000000000007"/>
    <n v="495"/>
    <n v="600"/>
    <n v="1"/>
    <n v="660.4"/>
    <n v="609.6"/>
    <n v="381"/>
    <n v="1200"/>
    <n v="1080"/>
    <n v="1200"/>
    <n v="3"/>
    <n v="1"/>
    <n v="1"/>
    <n v="3"/>
    <n v="3"/>
    <n v="121.87500000000003"/>
    <n v="3.9370078740157481"/>
    <n v="12"/>
    <n v="153382919.04000002"/>
    <n v="5.4166666666666679"/>
    <x v="0"/>
    <n v="60"/>
    <n v="6"/>
    <n v="7.2000000000000011"/>
    <n v="16.800000000000004"/>
    <n v="72.000000000000014"/>
    <n v="102.00000000000003"/>
  </r>
  <r>
    <s v="CB Box  850 x 380 x 280 mm ,  B.S-17 (5 Ply , Type-2)"/>
    <n v="590"/>
    <n v="590"/>
    <n v="590"/>
    <n v="590"/>
    <n v="2.2830608493760278E-3"/>
    <n v="26"/>
    <n v="23"/>
    <n v="15"/>
    <n v="23.953938437185712"/>
    <n v="345"/>
    <n v="600"/>
    <n v="1"/>
    <n v="850"/>
    <n v="380"/>
    <n v="280"/>
    <n v="1200"/>
    <n v="1080"/>
    <n v="1200"/>
    <n v="4"/>
    <n v="1"/>
    <n v="2"/>
    <n v="4"/>
    <n v="8"/>
    <n v="191.6315074974857"/>
    <n v="3.9370078740157481"/>
    <n v="4"/>
    <n v="90440000"/>
    <n v="3.1938584582914284"/>
    <x v="0"/>
    <n v="20"/>
    <n v="2"/>
    <n v="2.4000000000000004"/>
    <n v="5.6000000000000005"/>
    <n v="24"/>
    <n v="34"/>
  </r>
  <r>
    <s v="20X17X12.5( 3 KRAFT PAPER 180 GSM 22 BF, 2 SEMI KRAFT PAPER 125 GSM 18 BF) Corrugated Box"/>
    <n v="954"/>
    <n v="577"/>
    <n v="577"/>
    <n v="663"/>
    <n v="2.2327561187965562E-3"/>
    <n v="26"/>
    <n v="26"/>
    <n v="15"/>
    <n v="18.446180555555557"/>
    <n v="390"/>
    <n v="600"/>
    <n v="1"/>
    <n v="508"/>
    <n v="431.8"/>
    <n v="317.5"/>
    <n v="1200"/>
    <n v="1080"/>
    <n v="1200"/>
    <n v="4"/>
    <n v="2"/>
    <n v="2"/>
    <n v="4"/>
    <n v="16"/>
    <n v="295.13888888888891"/>
    <n v="3.9370078740157481"/>
    <n v="2"/>
    <n v="69645022"/>
    <n v="2.4594907407407409"/>
    <x v="0"/>
    <n v="10"/>
    <n v="1"/>
    <n v="1.2000000000000002"/>
    <n v="2.8000000000000003"/>
    <n v="12"/>
    <n v="17"/>
  </r>
  <r>
    <s v="5-ply cardboard separator (size in inch 26*26)"/>
    <n v="4037"/>
    <n v="576.71428571428567"/>
    <n v="577"/>
    <n v="757"/>
    <n v="2.2327561187965562E-3"/>
    <n v="26"/>
    <n v="30"/>
    <n v="15"/>
    <n v="43.317339238845143"/>
    <n v="450"/>
    <n v="600"/>
    <n v="1"/>
    <n v="660.4"/>
    <n v="660.4"/>
    <n v="375"/>
    <n v="1200"/>
    <n v="1080"/>
    <n v="1200"/>
    <n v="3"/>
    <n v="1"/>
    <n v="1"/>
    <n v="3"/>
    <n v="3"/>
    <n v="129.95201771653544"/>
    <n v="3.9370078740157481"/>
    <n v="11"/>
    <n v="163548060"/>
    <n v="5.7756452318460187"/>
    <x v="0"/>
    <n v="55"/>
    <n v="5.5"/>
    <n v="6.6000000000000005"/>
    <n v="15.400000000000002"/>
    <n v="66"/>
    <n v="93.5"/>
  </r>
  <r>
    <s v="5 Ply Corrugated Box (size- 965x535x508 mm)-OD, (Type-2 ,B.S -17 Kg/cm2)"/>
    <n v="2102"/>
    <n v="555.4"/>
    <n v="556"/>
    <n v="579"/>
    <n v="2.1514946309374094E-3"/>
    <n v="26"/>
    <n v="23"/>
    <n v="15"/>
    <n v="69.464223129835148"/>
    <n v="345"/>
    <n v="600"/>
    <n v="1"/>
    <n v="965"/>
    <n v="535"/>
    <n v="508"/>
    <n v="1200"/>
    <n v="1080"/>
    <n v="1200"/>
    <n v="2"/>
    <n v="1"/>
    <n v="2"/>
    <n v="2"/>
    <n v="4"/>
    <n v="277.85689251934059"/>
    <n v="3.9370078740157481"/>
    <n v="7"/>
    <n v="262267700"/>
    <n v="9.2618964173113536"/>
    <x v="0"/>
    <n v="35"/>
    <n v="3.5"/>
    <n v="4.2"/>
    <n v="9.8000000000000007"/>
    <n v="42.000000000000007"/>
    <n v="59.500000000000007"/>
  </r>
  <r>
    <s v="15X11X7 ( 3 KRAFT PAPER 180 GSM 22 BF, 2 SEMI KRAFT PAPER 125 GSM 18 BF) Corrugated Box"/>
    <n v="4406"/>
    <n v="525.5"/>
    <n v="526"/>
    <n v="665"/>
    <n v="2.0354067911386282E-3"/>
    <n v="26"/>
    <n v="26"/>
    <n v="15"/>
    <n v="5.013020833333333"/>
    <n v="390"/>
    <n v="600"/>
    <n v="1"/>
    <n v="381"/>
    <n v="279.39999999999998"/>
    <n v="177.8"/>
    <n v="1200"/>
    <n v="1080"/>
    <n v="1200"/>
    <n v="7"/>
    <n v="3"/>
    <n v="3"/>
    <n v="7"/>
    <n v="63"/>
    <n v="315.8203125"/>
    <n v="3.9370078740157481"/>
    <n v="1"/>
    <n v="18927058.920000002"/>
    <n v="0.66840277777777779"/>
    <x v="0"/>
    <n v="5"/>
    <n v="0.5"/>
    <n v="0.60000000000000009"/>
    <n v="1.4000000000000001"/>
    <n v="6"/>
    <n v="8.5"/>
  </r>
  <r>
    <s v="280X270X160 5 PLY 300GM CB BOX"/>
    <n v="1637"/>
    <n v="518.77777777777783"/>
    <n v="519"/>
    <n v="529"/>
    <n v="2.0083196285189129E-3"/>
    <n v="26"/>
    <n v="21"/>
    <n v="15"/>
    <n v="3.2037465649734456"/>
    <n v="315"/>
    <n v="600"/>
    <n v="1"/>
    <n v="280"/>
    <n v="270"/>
    <n v="160"/>
    <n v="1200"/>
    <n v="1080"/>
    <n v="1200"/>
    <n v="8"/>
    <n v="4"/>
    <n v="4"/>
    <n v="8"/>
    <n v="128"/>
    <n v="410.07956031660103"/>
    <n v="3.9370078740157481"/>
    <n v="1"/>
    <n v="12096000"/>
    <n v="0.42716620866312605"/>
    <x v="0"/>
    <n v="5"/>
    <n v="0.5"/>
    <n v="0.60000000000000009"/>
    <n v="1.4000000000000001"/>
    <n v="6"/>
    <n v="8.5"/>
  </r>
  <r>
    <s v="CB Box  280 x 240 x 160 mm , B.S-14 (5 Ply , Type-1)"/>
    <n v="5539"/>
    <n v="461.58333333333331"/>
    <n v="462"/>
    <n v="612"/>
    <n v="1.7877527329012285E-3"/>
    <n v="26"/>
    <n v="24"/>
    <n v="15"/>
    <n v="2.8477747244208396"/>
    <n v="360"/>
    <n v="600"/>
    <n v="1"/>
    <n v="280"/>
    <n v="240"/>
    <n v="160"/>
    <n v="1200"/>
    <n v="1080"/>
    <n v="1200"/>
    <n v="8"/>
    <n v="4"/>
    <n v="4"/>
    <n v="8"/>
    <n v="128"/>
    <n v="364.51516472586746"/>
    <n v="3.9370078740157481"/>
    <n v="1"/>
    <n v="10752000"/>
    <n v="0.37970329658944529"/>
    <x v="0"/>
    <n v="5"/>
    <n v="0.5"/>
    <n v="0.60000000000000009"/>
    <n v="1.4000000000000001"/>
    <n v="6"/>
    <n v="8.5"/>
  </r>
  <r>
    <s v="37X14X10 ( 3 KRAFT PAPER 180 GSM 22 BF, 2 SEMI KRAFT PAPER 125 GSM 18 BF) Corrugated Box"/>
    <n v="868"/>
    <n v="434"/>
    <n v="434"/>
    <n v="516"/>
    <n v="1.6794040824223663E-3"/>
    <n v="26"/>
    <n v="20"/>
    <n v="15"/>
    <n v="22.482638888888889"/>
    <n v="300"/>
    <n v="600"/>
    <n v="1"/>
    <n v="939.8"/>
    <n v="355.6"/>
    <n v="254"/>
    <n v="1200"/>
    <n v="1080"/>
    <n v="1200"/>
    <n v="5"/>
    <n v="1"/>
    <n v="3"/>
    <n v="5"/>
    <n v="15"/>
    <n v="337.23958333333331"/>
    <n v="3.9370078740157481"/>
    <n v="2"/>
    <n v="84884991.519999996"/>
    <n v="2.9976851851851851"/>
    <x v="0"/>
    <n v="10"/>
    <n v="1"/>
    <n v="1.2000000000000002"/>
    <n v="2.8000000000000003"/>
    <n v="12"/>
    <n v="17"/>
  </r>
  <r>
    <s v="Corrugated BOX 20 x 22 x 9 7PLY"/>
    <n v="428"/>
    <n v="428"/>
    <n v="428"/>
    <n v="428"/>
    <n v="1.6561865144626101E-3"/>
    <n v="26"/>
    <n v="17"/>
    <n v="15"/>
    <n v="17.1875"/>
    <n v="255"/>
    <n v="600"/>
    <n v="1"/>
    <n v="508"/>
    <n v="558.79999999999995"/>
    <n v="228.6"/>
    <n v="1200"/>
    <n v="1080"/>
    <n v="1200"/>
    <n v="5"/>
    <n v="2"/>
    <n v="1"/>
    <n v="5"/>
    <n v="10"/>
    <n v="171.875"/>
    <n v="3.9370078740157481"/>
    <n v="2"/>
    <n v="64892773.43999999"/>
    <n v="2.2916666666666665"/>
    <x v="0"/>
    <n v="10"/>
    <n v="1"/>
    <n v="1.2000000000000002"/>
    <n v="2.8000000000000003"/>
    <n v="12"/>
    <n v="17"/>
  </r>
  <r>
    <s v="CORRAGATED BOX  41.5X7.5X7"/>
    <n v="854"/>
    <n v="427"/>
    <n v="427"/>
    <n v="511"/>
    <n v="1.6523169198026507E-3"/>
    <n v="26"/>
    <n v="20"/>
    <n v="15"/>
    <n v="9.4563802083333357"/>
    <n v="300"/>
    <n v="600"/>
    <n v="1"/>
    <n v="1054.1000000000001"/>
    <n v="190.5"/>
    <n v="177.8"/>
    <n v="1200"/>
    <n v="1080"/>
    <n v="1200"/>
    <n v="7"/>
    <n v="1"/>
    <n v="5"/>
    <n v="7"/>
    <n v="35"/>
    <n v="330.97330729166674"/>
    <n v="3.9370078740157481"/>
    <n v="1"/>
    <n v="35703315.690000005"/>
    <n v="1.2608506944444446"/>
    <x v="0"/>
    <n v="5"/>
    <n v="0.5"/>
    <n v="0.60000000000000009"/>
    <n v="1.4000000000000001"/>
    <n v="6"/>
    <n v="8.5"/>
  </r>
  <r>
    <s v="7 PLY CORRUGATED BOXS 20 x 17 x 12.5"/>
    <n v="850"/>
    <n v="425"/>
    <n v="425"/>
    <n v="538"/>
    <n v="1.644577730482732E-3"/>
    <n v="26"/>
    <n v="21"/>
    <n v="15"/>
    <n v="18.446180555555557"/>
    <n v="315"/>
    <n v="600"/>
    <n v="1"/>
    <n v="508"/>
    <n v="431.8"/>
    <n v="317.5"/>
    <n v="1200"/>
    <n v="1080"/>
    <n v="1200"/>
    <n v="4"/>
    <n v="2"/>
    <n v="2"/>
    <n v="4"/>
    <n v="16"/>
    <n v="295.13888888888891"/>
    <n v="3.9370078740157481"/>
    <n v="2"/>
    <n v="69645022"/>
    <n v="2.4594907407407409"/>
    <x v="0"/>
    <n v="10"/>
    <n v="1"/>
    <n v="1.2000000000000002"/>
    <n v="2.8000000000000003"/>
    <n v="12"/>
    <n v="17"/>
  </r>
  <r>
    <s v="CB box : 560 x 370 x 190 mm (OD with lid) 5 ply HSC (B.S-14kg/cm2) &amp; 3ply lid (B.S-10-12kg/cm2)"/>
    <n v="411"/>
    <n v="411"/>
    <n v="411"/>
    <n v="411"/>
    <n v="1.5904034052433007E-3"/>
    <n v="26"/>
    <n v="16"/>
    <n v="15"/>
    <n v="10.427008496186721"/>
    <n v="240"/>
    <n v="600"/>
    <n v="1"/>
    <n v="560"/>
    <n v="370"/>
    <n v="190"/>
    <n v="1200"/>
    <n v="1080"/>
    <n v="1200"/>
    <n v="6"/>
    <n v="2"/>
    <n v="2"/>
    <n v="6"/>
    <n v="24"/>
    <n v="250.24820390848129"/>
    <n v="3.9370078740157481"/>
    <n v="1"/>
    <n v="39368000"/>
    <n v="1.3902677994915629"/>
    <x v="0"/>
    <n v="5"/>
    <n v="0.5"/>
    <n v="0.60000000000000009"/>
    <n v="1.4000000000000001"/>
    <n v="6"/>
    <n v="8.5"/>
  </r>
  <r>
    <s v="5 PLY CORRUGATED BOX  ( 660 x 380 x 180 mm)"/>
    <n v="3243"/>
    <n v="405.375"/>
    <n v="406"/>
    <n v="468"/>
    <n v="1.571055431943504E-3"/>
    <n v="26"/>
    <n v="18"/>
    <n v="15"/>
    <n v="11.956839858561606"/>
    <n v="270"/>
    <n v="600"/>
    <n v="1"/>
    <n v="660"/>
    <n v="380"/>
    <n v="180"/>
    <n v="1200"/>
    <n v="1080"/>
    <n v="1200"/>
    <n v="7"/>
    <n v="1"/>
    <n v="2"/>
    <n v="7"/>
    <n v="14"/>
    <n v="167.39575801986248"/>
    <n v="3.9370078740157481"/>
    <n v="2"/>
    <n v="45144000"/>
    <n v="1.5942453144748809"/>
    <x v="0"/>
    <n v="10"/>
    <n v="1"/>
    <n v="1.2000000000000002"/>
    <n v="2.8000000000000003"/>
    <n v="12"/>
    <n v="17"/>
  </r>
  <r>
    <s v="CB Box 750 x 460 x 200 mm , B.S-17 (5 Ply , Type-2)"/>
    <n v="395"/>
    <n v="395"/>
    <n v="395"/>
    <n v="395"/>
    <n v="1.5284898906839509E-3"/>
    <n v="26"/>
    <n v="16"/>
    <n v="15"/>
    <n v="18.275340028370344"/>
    <n v="240"/>
    <n v="600"/>
    <n v="1"/>
    <n v="750"/>
    <n v="460"/>
    <n v="200"/>
    <n v="1200"/>
    <n v="1080"/>
    <n v="1200"/>
    <n v="6"/>
    <n v="1"/>
    <n v="2"/>
    <n v="6"/>
    <n v="12"/>
    <n v="219.30408034044413"/>
    <n v="3.9370078740157481"/>
    <n v="2"/>
    <n v="69000000"/>
    <n v="2.4367120037827128"/>
    <x v="0"/>
    <n v="10"/>
    <n v="1"/>
    <n v="1.2000000000000002"/>
    <n v="2.8000000000000003"/>
    <n v="12"/>
    <n v="17"/>
  </r>
  <r>
    <s v="CORRUGATED BOX   840x520x280 (For GM)"/>
    <n v="3797"/>
    <n v="379.7"/>
    <n v="380"/>
    <n v="380"/>
    <n v="1.4704459707845603E-3"/>
    <n v="26"/>
    <n v="15"/>
    <n v="15"/>
    <n v="32.393437490287063"/>
    <n v="225"/>
    <n v="600"/>
    <n v="1"/>
    <n v="840"/>
    <n v="520"/>
    <n v="280"/>
    <n v="1200"/>
    <n v="1080"/>
    <n v="1200"/>
    <n v="4"/>
    <n v="1"/>
    <n v="2"/>
    <n v="4"/>
    <n v="8"/>
    <n v="259.1474999222965"/>
    <n v="3.9370078740157481"/>
    <n v="2"/>
    <n v="122304000"/>
    <n v="4.3191249987049414"/>
    <x v="0"/>
    <n v="10"/>
    <n v="1"/>
    <n v="1.2000000000000002"/>
    <n v="2.8000000000000003"/>
    <n v="12"/>
    <n v="17"/>
  </r>
  <r>
    <s v="CORRUGATED BOX (60 X 22 X 20 )&quot;  7 PLY"/>
    <n v="380"/>
    <n v="380"/>
    <n v="380"/>
    <n v="461"/>
    <n v="1.4704459707845603E-3"/>
    <n v="26"/>
    <n v="18"/>
    <n v="15"/>
    <n v="114.58333333333331"/>
    <n v="270"/>
    <n v="600"/>
    <n v="1"/>
    <n v="1524"/>
    <n v="558.79999999999995"/>
    <n v="508"/>
    <n v="1500"/>
    <n v="1080"/>
    <n v="1200"/>
    <n v="2"/>
    <n v="1"/>
    <n v="1"/>
    <n v="2"/>
    <n v="2"/>
    <n v="229.16666666666663"/>
    <n v="3.9370078740157481"/>
    <n v="10"/>
    <n v="432618489.59999996"/>
    <n v="15.277777777777775"/>
    <x v="2"/>
    <n v="100"/>
    <n v="5"/>
    <n v="6"/>
    <n v="14"/>
    <n v="60"/>
    <n v="85"/>
  </r>
  <r>
    <s v="Corrugated box (L:442*B:442*H:216mm) 5ply, Bursting pressure required: 14kgf  ~ 17kgf, Customer cummins export"/>
    <n v="1489"/>
    <n v="372.25"/>
    <n v="373"/>
    <n v="483"/>
    <n v="1.4433588081648448E-3"/>
    <n v="26"/>
    <n v="19"/>
    <n v="15"/>
    <n v="11.176727569990575"/>
    <n v="285"/>
    <n v="600"/>
    <n v="1"/>
    <n v="442"/>
    <n v="442"/>
    <n v="216"/>
    <n v="1200"/>
    <n v="1080"/>
    <n v="1200"/>
    <n v="6"/>
    <n v="2"/>
    <n v="2"/>
    <n v="6"/>
    <n v="24"/>
    <n v="268.24146167977381"/>
    <n v="3.9370078740157481"/>
    <n v="1"/>
    <n v="42198624"/>
    <n v="1.49023034266541"/>
    <x v="0"/>
    <n v="5"/>
    <n v="0.5"/>
    <n v="0.60000000000000009"/>
    <n v="1.4000000000000001"/>
    <n v="6"/>
    <n v="8.5"/>
  </r>
  <r>
    <s v="CB box : 1015 x 230 x 125 mm  (OD ) 5 ply, Type-1  , (B.S-14kg/cm2)"/>
    <n v="1008"/>
    <n v="336"/>
    <n v="336"/>
    <n v="355"/>
    <n v="1.300183805746348E-3"/>
    <n v="26"/>
    <n v="14"/>
    <n v="15"/>
    <n v="7.7289458869982921"/>
    <n v="210"/>
    <n v="600"/>
    <n v="1"/>
    <n v="1015"/>
    <n v="230"/>
    <n v="125"/>
    <n v="1200"/>
    <n v="1080"/>
    <n v="1200"/>
    <n v="10"/>
    <n v="1"/>
    <n v="4"/>
    <n v="10"/>
    <n v="40"/>
    <n v="309.15783547993169"/>
    <n v="3.9370078740157481"/>
    <n v="1"/>
    <n v="29181250"/>
    <n v="1.0305261182664389"/>
    <x v="0"/>
    <n v="5"/>
    <n v="0.5"/>
    <n v="0.60000000000000009"/>
    <n v="1.4000000000000001"/>
    <n v="6"/>
    <n v="8.5"/>
  </r>
  <r>
    <s v="CB Box:370x370x175mm 5ply (B.S-14kg/cm2)"/>
    <n v="630"/>
    <n v="315"/>
    <n v="315"/>
    <n v="323"/>
    <n v="1.2189223178872013E-3"/>
    <n v="26"/>
    <n v="13"/>
    <n v="15"/>
    <n v="6.3453834598504715"/>
    <n v="195"/>
    <n v="600"/>
    <n v="1"/>
    <n v="370"/>
    <n v="370"/>
    <n v="175"/>
    <n v="1200"/>
    <n v="1080"/>
    <n v="1200"/>
    <n v="7"/>
    <n v="3"/>
    <n v="2"/>
    <n v="7"/>
    <n v="42"/>
    <n v="266.50610531371979"/>
    <n v="3.9370078740157481"/>
    <n v="1"/>
    <n v="23957500"/>
    <n v="0.84605112798006288"/>
    <x v="0"/>
    <n v="5"/>
    <n v="0.5"/>
    <n v="0.60000000000000009"/>
    <n v="1.4000000000000001"/>
    <n v="6"/>
    <n v="8.5"/>
  </r>
  <r>
    <s v="13X8X5 ( 3 KRAFT PAPER 180 GSM 22 BF, 2 SEMI KRAFT PAPER 125 GSM 18 BF) Corrugated Box"/>
    <n v="300"/>
    <n v="300"/>
    <n v="300"/>
    <n v="400"/>
    <n v="1.1608783979878108E-3"/>
    <n v="26"/>
    <n v="16"/>
    <n v="15"/>
    <n v="2.2569444444444446"/>
    <n v="240"/>
    <n v="600"/>
    <n v="1"/>
    <n v="330.2"/>
    <n v="203.2"/>
    <n v="127"/>
    <n v="1200"/>
    <n v="1080"/>
    <n v="1200"/>
    <n v="9"/>
    <n v="3"/>
    <n v="5"/>
    <n v="9"/>
    <n v="135"/>
    <n v="304.6875"/>
    <n v="3.9370078740157481"/>
    <n v="1"/>
    <n v="8521273.2799999993"/>
    <n v="0.30092592592592593"/>
    <x v="0"/>
    <n v="5"/>
    <n v="0.5"/>
    <n v="0.60000000000000009"/>
    <n v="1.4000000000000001"/>
    <n v="6"/>
    <n v="8.5"/>
  </r>
  <r>
    <s v="20X12X8 7 PLY 300 TOP GM CB BOX"/>
    <n v="300"/>
    <n v="300"/>
    <n v="300"/>
    <n v="300"/>
    <n v="1.1608783979878108E-3"/>
    <n v="26"/>
    <n v="12"/>
    <n v="15"/>
    <n v="8.3333333333333321"/>
    <n v="180"/>
    <n v="600"/>
    <n v="1"/>
    <n v="508"/>
    <n v="304.8"/>
    <n v="203.2"/>
    <n v="1200"/>
    <n v="1080"/>
    <n v="1200"/>
    <n v="6"/>
    <n v="2"/>
    <n v="3"/>
    <n v="6"/>
    <n v="36"/>
    <n v="299.99999999999994"/>
    <n v="3.9370078740157481"/>
    <n v="1"/>
    <n v="31463162.879999995"/>
    <n v="1.1111111111111109"/>
    <x v="0"/>
    <n v="5"/>
    <n v="0.5"/>
    <n v="0.60000000000000009"/>
    <n v="1.4000000000000001"/>
    <n v="6"/>
    <n v="8.5"/>
  </r>
  <r>
    <s v="5 Ply  Corrugated Box (size- 508x430x190 mm)-OD, (Type-1 ,B.S -14 Kg/cm2)"/>
    <n v="600"/>
    <n v="300"/>
    <n v="300"/>
    <n v="300"/>
    <n v="1.1608783979878108E-3"/>
    <n v="26"/>
    <n v="12"/>
    <n v="15"/>
    <n v="10.992643513064806"/>
    <n v="180"/>
    <n v="600"/>
    <n v="1"/>
    <n v="508"/>
    <n v="430"/>
    <n v="190"/>
    <n v="1200"/>
    <n v="1080"/>
    <n v="1200"/>
    <n v="6"/>
    <n v="2"/>
    <n v="2"/>
    <n v="6"/>
    <n v="24"/>
    <n v="263.82344431355534"/>
    <n v="3.9370078740157481"/>
    <n v="1"/>
    <n v="41503600"/>
    <n v="1.465685801741974"/>
    <x v="0"/>
    <n v="5"/>
    <n v="0.5"/>
    <n v="0.60000000000000009"/>
    <n v="1.4000000000000001"/>
    <n v="6"/>
    <n v="8.5"/>
  </r>
  <r>
    <s v="C.B. BOXES   42 X 13 X 12&quot;   7PLY"/>
    <n v="296"/>
    <n v="296"/>
    <n v="296"/>
    <n v="296"/>
    <n v="1.1454000193479733E-3"/>
    <n v="26"/>
    <n v="12"/>
    <n v="15"/>
    <n v="28.437500000000004"/>
    <n v="180"/>
    <n v="600"/>
    <n v="1"/>
    <n v="1066.8"/>
    <n v="330.2"/>
    <n v="304.8"/>
    <n v="1200"/>
    <n v="1080"/>
    <n v="1200"/>
    <n v="4"/>
    <n v="1"/>
    <n v="3"/>
    <n v="4"/>
    <n v="12"/>
    <n v="341.25000000000006"/>
    <n v="3.9370078740157481"/>
    <n v="2"/>
    <n v="107368043.32799999"/>
    <n v="3.791666666666667"/>
    <x v="0"/>
    <n v="10"/>
    <n v="1"/>
    <n v="1.2000000000000002"/>
    <n v="2.8000000000000003"/>
    <n v="12"/>
    <n v="17"/>
  </r>
  <r>
    <s v="Corrugated Box 38 X 21 X 20&quot; , 7Ply"/>
    <n v="295"/>
    <n v="295"/>
    <n v="295"/>
    <n v="295"/>
    <n v="1.1415304246880139E-3"/>
    <n v="26"/>
    <n v="12"/>
    <n v="15"/>
    <n v="69.270833333333314"/>
    <n v="180"/>
    <n v="600"/>
    <n v="1"/>
    <n v="965.19999999999993"/>
    <n v="533.4"/>
    <n v="508"/>
    <n v="1200"/>
    <n v="1080"/>
    <n v="1200"/>
    <n v="2"/>
    <n v="1"/>
    <n v="2"/>
    <n v="2"/>
    <n v="4"/>
    <n v="277.08333333333326"/>
    <n v="3.9370078740157481"/>
    <n v="4"/>
    <n v="261537541.43999997"/>
    <n v="9.2361111111111089"/>
    <x v="0"/>
    <n v="20"/>
    <n v="2"/>
    <n v="2.4000000000000004"/>
    <n v="5.6000000000000005"/>
    <n v="24"/>
    <n v="34"/>
  </r>
  <r>
    <s v="5 Ply Corrugated Box (size- 1015x535x485 mm), (Type-2 ,B.S -17 Kg/cm2)"/>
    <n v="2627"/>
    <n v="262.7"/>
    <n v="263"/>
    <n v="343"/>
    <n v="1.0177033955693141E-3"/>
    <n v="26"/>
    <n v="14"/>
    <n v="15"/>
    <n v="69.755416835787187"/>
    <n v="210"/>
    <n v="600"/>
    <n v="1"/>
    <n v="1015"/>
    <n v="535"/>
    <n v="485"/>
    <n v="1200"/>
    <n v="1080"/>
    <n v="1200"/>
    <n v="2"/>
    <n v="1"/>
    <n v="2"/>
    <n v="2"/>
    <n v="4"/>
    <n v="279.02166734314875"/>
    <n v="3.9370078740157481"/>
    <n v="4"/>
    <n v="263367125"/>
    <n v="9.3007222447716256"/>
    <x v="0"/>
    <n v="20"/>
    <n v="2"/>
    <n v="2.4000000000000004"/>
    <n v="5.6000000000000005"/>
    <n v="24"/>
    <n v="34"/>
  </r>
  <r>
    <s v="Corrugated Box ( 20 X 15 X 10 ) &quot; ( Export Quality )"/>
    <n v="2015"/>
    <n v="251.875"/>
    <n v="252"/>
    <n v="337"/>
    <n v="9.7513785430976101E-4"/>
    <n v="26"/>
    <n v="13"/>
    <n v="15"/>
    <n v="13.020833333333336"/>
    <n v="195"/>
    <n v="600"/>
    <n v="1"/>
    <n v="508"/>
    <n v="381"/>
    <n v="254"/>
    <n v="1200"/>
    <n v="1080"/>
    <n v="1200"/>
    <n v="5"/>
    <n v="2"/>
    <n v="2"/>
    <n v="5"/>
    <n v="20"/>
    <n v="260.41666666666674"/>
    <n v="3.9370078740157481"/>
    <n v="1"/>
    <n v="49161192"/>
    <n v="1.7361111111111114"/>
    <x v="0"/>
    <n v="5"/>
    <n v="0.5"/>
    <n v="0.60000000000000009"/>
    <n v="1.4000000000000001"/>
    <n v="6"/>
    <n v="8.5"/>
  </r>
  <r>
    <s v="CB box : 390x230x150 mm( OD with lid) 5 ply HSC, BS-14Kg/cm2 &amp; 3 Ply top lid ( BS-10kg/cm2)"/>
    <n v="250"/>
    <n v="250"/>
    <n v="250"/>
    <n v="250"/>
    <n v="9.6739866498984234E-4"/>
    <n v="26"/>
    <n v="10"/>
    <n v="15"/>
    <n v="3.5636913055322172"/>
    <n v="150"/>
    <n v="600"/>
    <n v="1"/>
    <n v="390"/>
    <n v="230"/>
    <n v="150"/>
    <n v="1200"/>
    <n v="1080"/>
    <n v="1200"/>
    <n v="8"/>
    <n v="3"/>
    <n v="4"/>
    <n v="8"/>
    <n v="96"/>
    <n v="342.11436533109287"/>
    <n v="3.9370078740157481"/>
    <n v="1"/>
    <n v="13455000"/>
    <n v="0.47515884073762898"/>
    <x v="0"/>
    <n v="5"/>
    <n v="0.5"/>
    <n v="0.60000000000000009"/>
    <n v="1.4000000000000001"/>
    <n v="6"/>
    <n v="8.5"/>
  </r>
  <r>
    <s v="5 Ply Corrugated Box (size- 750x460x200 mm)-OD, (Type-2 ,B.S -17 Kg/cm2)"/>
    <n v="2490"/>
    <n v="249"/>
    <n v="249"/>
    <n v="326"/>
    <n v="9.6352907032988295E-4"/>
    <n v="26"/>
    <n v="13"/>
    <n v="15"/>
    <n v="18.275340028370344"/>
    <n v="195"/>
    <n v="600"/>
    <n v="1"/>
    <n v="750"/>
    <n v="460"/>
    <n v="200"/>
    <n v="1200"/>
    <n v="1080"/>
    <n v="1200"/>
    <n v="6"/>
    <n v="1"/>
    <n v="2"/>
    <n v="6"/>
    <n v="12"/>
    <n v="219.30408034044413"/>
    <n v="3.9370078740157481"/>
    <n v="2"/>
    <n v="69000000"/>
    <n v="2.4367120037827128"/>
    <x v="0"/>
    <n v="10"/>
    <n v="1"/>
    <n v="1.2000000000000002"/>
    <n v="2.8000000000000003"/>
    <n v="12"/>
    <n v="17"/>
  </r>
  <r>
    <s v="Cardboard Box 40&quot;x24x20&quot; - 7Ply"/>
    <n v="242"/>
    <n v="242"/>
    <n v="242"/>
    <n v="242"/>
    <n v="9.3644190771016733E-4"/>
    <n v="26"/>
    <n v="10"/>
    <n v="15"/>
    <n v="83.333333333333329"/>
    <n v="150"/>
    <n v="600"/>
    <n v="1"/>
    <n v="1016"/>
    <n v="609.6"/>
    <n v="508"/>
    <n v="1200"/>
    <n v="1080"/>
    <n v="1200"/>
    <n v="2"/>
    <n v="1"/>
    <n v="1"/>
    <n v="2"/>
    <n v="2"/>
    <n v="166.66666666666666"/>
    <n v="3.9370078740157481"/>
    <n v="6"/>
    <n v="314631628.80000001"/>
    <n v="11.111111111111111"/>
    <x v="0"/>
    <n v="30"/>
    <n v="3"/>
    <n v="3.6000000000000005"/>
    <n v="8.4000000000000021"/>
    <n v="36.000000000000007"/>
    <n v="51.000000000000014"/>
  </r>
  <r>
    <s v="5 PLY Corrugated Box 26x24x16 &quot;"/>
    <n v="639"/>
    <n v="235"/>
    <n v="235"/>
    <n v="293"/>
    <n v="9.0935474509045182E-4"/>
    <n v="26"/>
    <n v="12"/>
    <n v="15"/>
    <n v="43.333333333333336"/>
    <n v="180"/>
    <n v="600"/>
    <n v="1"/>
    <n v="660.4"/>
    <n v="609.6"/>
    <n v="406.4"/>
    <n v="1200"/>
    <n v="1080"/>
    <n v="1200"/>
    <n v="3"/>
    <n v="1"/>
    <n v="1"/>
    <n v="3"/>
    <n v="3"/>
    <n v="130"/>
    <n v="3.9370078740157481"/>
    <n v="5"/>
    <n v="163608446.97600001"/>
    <n v="5.7777777777777777"/>
    <x v="0"/>
    <n v="25"/>
    <n v="2.5"/>
    <n v="3"/>
    <n v="7"/>
    <n v="30"/>
    <n v="42.5"/>
  </r>
  <r>
    <s v="56X10X7 ( 3 KRAFT PAPER 180 GSM 22 BF, 2 SEMI KRAFT PAPER 125 GSM 18 BF) Corrugated Box"/>
    <n v="1515"/>
    <n v="216.42857142857142"/>
    <n v="217"/>
    <n v="270"/>
    <n v="8.3970204121118313E-4"/>
    <n v="26"/>
    <n v="11"/>
    <n v="15"/>
    <n v="17.013888888888893"/>
    <n v="165"/>
    <n v="600"/>
    <n v="1"/>
    <n v="1422.4"/>
    <n v="254"/>
    <n v="177.8"/>
    <n v="1500"/>
    <n v="1080"/>
    <n v="1200"/>
    <n v="7"/>
    <n v="1"/>
    <n v="4"/>
    <n v="7"/>
    <n v="28"/>
    <n v="476.38888888888903"/>
    <n v="3.9370078740157481"/>
    <n v="1"/>
    <n v="64237290.88000001"/>
    <n v="2.268518518518519"/>
    <x v="2"/>
    <n v="10"/>
    <n v="0.5"/>
    <n v="0.60000000000000009"/>
    <n v="1.4000000000000001"/>
    <n v="6"/>
    <n v="8.5"/>
  </r>
  <r>
    <s v="5 Ply Corrugated Box (size- 1525x560x508 mm)-OD, (Type-2 ,B.S -17 Kg/cm2)"/>
    <n v="2575"/>
    <n v="214.58333333333334"/>
    <n v="215"/>
    <n v="254"/>
    <n v="8.3196285189126435E-4"/>
    <n v="26"/>
    <n v="10"/>
    <n v="15"/>
    <n v="114.90474369837629"/>
    <n v="150"/>
    <n v="600"/>
    <n v="1"/>
    <n v="1525"/>
    <n v="560"/>
    <n v="508"/>
    <n v="1500"/>
    <n v="1080"/>
    <n v="1200"/>
    <n v="2"/>
    <n v="1"/>
    <n v="1"/>
    <n v="2"/>
    <n v="2"/>
    <n v="229.80948739675259"/>
    <n v="3.9370078740157481"/>
    <n v="6"/>
    <n v="433832000"/>
    <n v="15.32063249311684"/>
    <x v="2"/>
    <n v="60"/>
    <n v="3"/>
    <n v="3.6000000000000005"/>
    <n v="8.4000000000000021"/>
    <n v="36.000000000000007"/>
    <n v="51.000000000000014"/>
  </r>
  <r>
    <s v="Corrugated Box  (970x1000x300mm )"/>
    <n v="931"/>
    <n v="211.57142857142856"/>
    <n v="212"/>
    <n v="274"/>
    <n v="8.2035406791138629E-4"/>
    <n v="26"/>
    <n v="11"/>
    <n v="15"/>
    <n v="77.074260119648855"/>
    <n v="165"/>
    <n v="600"/>
    <n v="1"/>
    <n v="970"/>
    <n v="1000"/>
    <n v="300"/>
    <n v="1200"/>
    <n v="1080"/>
    <n v="1200"/>
    <n v="4"/>
    <n v="1"/>
    <n v="1"/>
    <n v="4"/>
    <n v="4"/>
    <n v="308.29704047859542"/>
    <n v="3.9370078740157481"/>
    <n v="3"/>
    <n v="291000000"/>
    <n v="10.276568015953181"/>
    <x v="0"/>
    <n v="15"/>
    <n v="1.5"/>
    <n v="1.8000000000000003"/>
    <n v="4.2000000000000011"/>
    <n v="18.000000000000004"/>
    <n v="25.500000000000007"/>
  </r>
  <r>
    <s v="C. B. BOX  26 X 9 X 9    300 GM  5 PLY"/>
    <n v="520"/>
    <n v="206.75"/>
    <n v="207"/>
    <n v="250"/>
    <n v="8.0100609461158944E-4"/>
    <n v="26"/>
    <n v="10"/>
    <n v="15"/>
    <n v="9.140625"/>
    <n v="150"/>
    <n v="600"/>
    <n v="1"/>
    <n v="660.4"/>
    <n v="228.6"/>
    <n v="228.6"/>
    <n v="1200"/>
    <n v="1080"/>
    <n v="1200"/>
    <n v="5"/>
    <n v="1"/>
    <n v="4"/>
    <n v="5"/>
    <n v="20"/>
    <n v="182.8125"/>
    <n v="3.9370078740157481"/>
    <n v="1"/>
    <n v="34511156.784000002"/>
    <n v="1.21875"/>
    <x v="0"/>
    <n v="5"/>
    <n v="0.5"/>
    <n v="0.60000000000000009"/>
    <n v="1.4000000000000001"/>
    <n v="6"/>
    <n v="8.5"/>
  </r>
  <r>
    <s v="CORRUGATED BOX (460 x 270 x 120) 5 PLY FOR G.M 3 Ply. 180V &amp; 2 Ply., 110SC."/>
    <n v="412"/>
    <n v="206"/>
    <n v="206"/>
    <n v="257"/>
    <n v="7.9713649995163006E-4"/>
    <n v="26"/>
    <n v="10"/>
    <n v="15"/>
    <n v="3.9474734461279946"/>
    <n v="150"/>
    <n v="600"/>
    <n v="1"/>
    <n v="460"/>
    <n v="270"/>
    <n v="120"/>
    <n v="1200"/>
    <n v="1080"/>
    <n v="1200"/>
    <n v="10"/>
    <n v="2"/>
    <n v="4"/>
    <n v="10"/>
    <n v="80"/>
    <n v="315.79787569023955"/>
    <n v="3.9370078740157481"/>
    <n v="1"/>
    <n v="14904000"/>
    <n v="0.52632979281706593"/>
    <x v="0"/>
    <n v="5"/>
    <n v="0.5"/>
    <n v="0.60000000000000009"/>
    <n v="1.4000000000000001"/>
    <n v="6"/>
    <n v="8.5"/>
  </r>
  <r>
    <s v="CORRUGRADED BOX Ø11X45"/>
    <n v="2375"/>
    <n v="182.69230769230768"/>
    <n v="183"/>
    <n v="230"/>
    <n v="7.0813582277256453E-4"/>
    <n v="26"/>
    <n v="9"/>
    <n v="15"/>
    <n v="31.719057578740152"/>
    <n v="135"/>
    <n v="600"/>
    <n v="1"/>
    <n v="279.39999999999998"/>
    <n v="1143"/>
    <n v="375"/>
    <n v="1200"/>
    <n v="1200"/>
    <n v="1200"/>
    <n v="3"/>
    <n v="4"/>
    <n v="1"/>
    <n v="3"/>
    <n v="12"/>
    <n v="380.62869094488184"/>
    <n v="3.9370078740157481"/>
    <n v="1"/>
    <n v="119757824.99999999"/>
    <n v="4.2292076771653537"/>
    <x v="0"/>
    <n v="5"/>
    <n v="0.5"/>
    <n v="0.60000000000000009"/>
    <n v="1.4000000000000001"/>
    <n v="6"/>
    <n v="8.5"/>
  </r>
  <r>
    <s v="Card Board Box 26&quot; x 17&quot; x 10-1/2&quot;"/>
    <n v="1405"/>
    <n v="175.625"/>
    <n v="176"/>
    <n v="180"/>
    <n v="6.8104866015284901E-4"/>
    <n v="26"/>
    <n v="7"/>
    <n v="15"/>
    <n v="19.184027777777779"/>
    <n v="105"/>
    <n v="600"/>
    <n v="1"/>
    <n v="660.4"/>
    <n v="431.8"/>
    <n v="254"/>
    <n v="1200"/>
    <n v="1080"/>
    <n v="1200"/>
    <n v="5"/>
    <n v="1"/>
    <n v="2"/>
    <n v="5"/>
    <n v="10"/>
    <n v="191.84027777777777"/>
    <n v="3.9370078740157481"/>
    <n v="1"/>
    <n v="72430822.879999995"/>
    <n v="2.5578703703703707"/>
    <x v="0"/>
    <n v="5"/>
    <n v="0.5"/>
    <n v="0.60000000000000009"/>
    <n v="1.4000000000000001"/>
    <n v="6"/>
    <n v="8.5"/>
  </r>
  <r>
    <s v="5 Ply Corrugated Box (size- 1370x305x280 mm)-OD, (Type-2 ,B.S -17 Kg/cm2)"/>
    <n v="1353"/>
    <n v="169.125"/>
    <n v="170"/>
    <n v="186"/>
    <n v="6.5783109219309278E-4"/>
    <n v="26"/>
    <n v="8"/>
    <n v="15"/>
    <n v="30.988090328105415"/>
    <n v="120"/>
    <n v="600"/>
    <n v="1"/>
    <n v="1370"/>
    <n v="305"/>
    <n v="280"/>
    <n v="1500"/>
    <n v="1080"/>
    <n v="1200"/>
    <n v="4"/>
    <n v="1"/>
    <n v="3"/>
    <n v="4"/>
    <n v="12"/>
    <n v="371.85708393726497"/>
    <n v="3.9370078740157481"/>
    <n v="1"/>
    <n v="116998000"/>
    <n v="4.1317453770807218"/>
    <x v="2"/>
    <n v="10"/>
    <n v="0.5"/>
    <n v="0.60000000000000009"/>
    <n v="1.4000000000000001"/>
    <n v="6"/>
    <n v="8.5"/>
  </r>
  <r>
    <s v="5 Ply Corrugated Box (size- 560x508x230 mm)-OD, (Type-2 ,B.S -17 Kg/cm2)"/>
    <n v="649"/>
    <n v="162.25"/>
    <n v="163"/>
    <n v="214"/>
    <n v="6.3074392957337716E-4"/>
    <n v="26"/>
    <n v="9"/>
    <n v="15"/>
    <n v="17.329895770902652"/>
    <n v="135"/>
    <n v="600"/>
    <n v="1"/>
    <n v="560"/>
    <n v="508"/>
    <n v="230"/>
    <n v="1200"/>
    <n v="1080"/>
    <n v="1200"/>
    <n v="5"/>
    <n v="2"/>
    <n v="2"/>
    <n v="5"/>
    <n v="20"/>
    <n v="346.59791541805305"/>
    <n v="3.9370078740157481"/>
    <n v="1"/>
    <n v="65430400"/>
    <n v="2.3106527694536871"/>
    <x v="0"/>
    <n v="5"/>
    <n v="0.5"/>
    <n v="0.60000000000000009"/>
    <n v="1.4000000000000001"/>
    <n v="6"/>
    <n v="8.5"/>
  </r>
  <r>
    <s v="C.B.BOX 35X9X9  5PLY"/>
    <n v="454"/>
    <n v="151.33333333333334"/>
    <n v="152"/>
    <n v="152"/>
    <n v="5.8817838831382409E-4"/>
    <n v="26"/>
    <n v="6"/>
    <n v="15"/>
    <n v="12.3046875"/>
    <n v="90"/>
    <n v="600"/>
    <n v="1"/>
    <n v="889"/>
    <n v="228.6"/>
    <n v="228.6"/>
    <n v="1200"/>
    <n v="1080"/>
    <n v="1200"/>
    <n v="5"/>
    <n v="1"/>
    <n v="4"/>
    <n v="5"/>
    <n v="20"/>
    <n v="246.09375"/>
    <n v="3.9370078740157481"/>
    <n v="1"/>
    <n v="46457326.439999998"/>
    <n v="1.640625"/>
    <x v="0"/>
    <n v="5"/>
    <n v="0.5"/>
    <n v="0.60000000000000009"/>
    <n v="1.4000000000000001"/>
    <n v="6"/>
    <n v="8.5"/>
  </r>
  <r>
    <s v="CB box : 510 x 380 x 145 mm (OD-with lid) 5 ply HSC (B.S-14kg/cm2) &amp; 3ply top lid (B.S: 10-12kg/cm2)"/>
    <n v="152"/>
    <n v="152"/>
    <n v="152"/>
    <n v="176"/>
    <n v="5.8817838831382409E-4"/>
    <n v="26"/>
    <n v="7"/>
    <n v="15"/>
    <n v="7.4428308715541309"/>
    <n v="105"/>
    <n v="600"/>
    <n v="1"/>
    <n v="510"/>
    <n v="380"/>
    <n v="145"/>
    <n v="1200"/>
    <n v="1080"/>
    <n v="1200"/>
    <n v="8"/>
    <n v="2"/>
    <n v="2"/>
    <n v="8"/>
    <n v="32"/>
    <n v="238.17058788973219"/>
    <n v="3.9370078740157481"/>
    <n v="1"/>
    <n v="28101000"/>
    <n v="0.99237744954055085"/>
    <x v="0"/>
    <n v="5"/>
    <n v="0.5"/>
    <n v="0.60000000000000009"/>
    <n v="1.4000000000000001"/>
    <n v="6"/>
    <n v="8.5"/>
  </r>
  <r>
    <s v="CB box : 790 x 380 x 150 mm (OD-with lid) 5 ply HSC (B.S-14kg/cm2) &amp; 3ply top lid (B.S:10-12kg/cm2)"/>
    <n v="150"/>
    <n v="150"/>
    <n v="150"/>
    <n v="150"/>
    <n v="5.8043919899390542E-4"/>
    <n v="26"/>
    <n v="6"/>
    <n v="15"/>
    <n v="11.926645818514736"/>
    <n v="90"/>
    <n v="600"/>
    <n v="1"/>
    <n v="790"/>
    <n v="380"/>
    <n v="150"/>
    <n v="1200"/>
    <n v="1080"/>
    <n v="1200"/>
    <n v="8"/>
    <n v="1"/>
    <n v="2"/>
    <n v="8"/>
    <n v="16"/>
    <n v="190.82633309623577"/>
    <n v="3.9370078740157481"/>
    <n v="1"/>
    <n v="45030000"/>
    <n v="1.5902194424686313"/>
    <x v="0"/>
    <n v="5"/>
    <n v="0.5"/>
    <n v="0.60000000000000009"/>
    <n v="1.4000000000000001"/>
    <n v="6"/>
    <n v="8.5"/>
  </r>
  <r>
    <s v="CB box : 900 x 515 x 190 mm  (OD-with lid) 5 ply HSC (B.S-14kg/cm2) &amp; 3ply top lid (B.S-10-12kg/cm2)"/>
    <n v="150"/>
    <n v="150"/>
    <n v="150"/>
    <n v="150"/>
    <n v="5.8043919899390542E-4"/>
    <n v="26"/>
    <n v="6"/>
    <n v="15"/>
    <n v="23.324895936209199"/>
    <n v="90"/>
    <n v="600"/>
    <n v="1"/>
    <n v="900"/>
    <n v="515"/>
    <n v="190"/>
    <n v="1200"/>
    <n v="1080"/>
    <n v="1200"/>
    <n v="6"/>
    <n v="1"/>
    <n v="2"/>
    <n v="6"/>
    <n v="12"/>
    <n v="279.89875123451037"/>
    <n v="3.9370078740157481"/>
    <n v="1"/>
    <n v="88065000"/>
    <n v="3.1099861248278931"/>
    <x v="0"/>
    <n v="5"/>
    <n v="0.5"/>
    <n v="0.60000000000000009"/>
    <n v="1.4000000000000001"/>
    <n v="6"/>
    <n v="8.5"/>
  </r>
  <r>
    <s v="CORGURATED BOX OF 7PLY (770 * 330 * 200mm)"/>
    <n v="1193"/>
    <n v="149.125"/>
    <n v="150"/>
    <n v="150"/>
    <n v="5.8043919899390542E-4"/>
    <n v="26"/>
    <n v="6"/>
    <n v="15"/>
    <n v="13.460185220895376"/>
    <n v="90"/>
    <n v="600"/>
    <n v="1"/>
    <n v="770"/>
    <n v="330"/>
    <n v="200"/>
    <n v="1200"/>
    <n v="1080"/>
    <n v="1200"/>
    <n v="6"/>
    <n v="1"/>
    <n v="3"/>
    <n v="6"/>
    <n v="18"/>
    <n v="242.28333397611675"/>
    <n v="3.9370078740157481"/>
    <n v="1"/>
    <n v="50820000"/>
    <n v="1.7946913627860501"/>
    <x v="0"/>
    <n v="5"/>
    <n v="0.5"/>
    <n v="0.60000000000000009"/>
    <n v="1.4000000000000001"/>
    <n v="6"/>
    <n v="8.5"/>
  </r>
  <r>
    <s v="Corrogated Box (650 mm X 380 mm X 160 mm) with  Broad flute quality Strentgh 20 ±1 (3 version Kraft 250 gsm/25B.f &amp; 2 semi kraft 180 gsm/25 b.f"/>
    <n v="150"/>
    <n v="150"/>
    <n v="150"/>
    <n v="197"/>
    <n v="5.8043919899390542E-4"/>
    <n v="26"/>
    <n v="8"/>
    <n v="15"/>
    <n v="10.467267216249219"/>
    <n v="120"/>
    <n v="600"/>
    <n v="1"/>
    <n v="650"/>
    <n v="380"/>
    <n v="160"/>
    <n v="1200"/>
    <n v="1080"/>
    <n v="1200"/>
    <n v="8"/>
    <n v="1"/>
    <n v="2"/>
    <n v="8"/>
    <n v="16"/>
    <n v="167.47627545998751"/>
    <n v="3.9370078740157481"/>
    <n v="1"/>
    <n v="39520000"/>
    <n v="1.3956356288332292"/>
    <x v="0"/>
    <n v="5"/>
    <n v="0.5"/>
    <n v="0.60000000000000009"/>
    <n v="1.4000000000000001"/>
    <n v="6"/>
    <n v="8.5"/>
  </r>
  <r>
    <s v="CB box : 570 x 340 x 150 mm (OD-with lid) 5 ply HSC (B.S-14kg/cm2) &amp; 3ply top lid (B.S:10-12kg/cm2)"/>
    <n v="149"/>
    <n v="149"/>
    <n v="149"/>
    <n v="149"/>
    <n v="5.7656960433394603E-4"/>
    <n v="26"/>
    <n v="6"/>
    <n v="15"/>
    <n v="7.6994802119525492"/>
    <n v="90"/>
    <n v="600"/>
    <n v="1"/>
    <n v="570"/>
    <n v="340"/>
    <n v="150"/>
    <n v="1200"/>
    <n v="1080"/>
    <n v="1200"/>
    <n v="8"/>
    <n v="2"/>
    <n v="3"/>
    <n v="8"/>
    <n v="48"/>
    <n v="369.57505017372239"/>
    <n v="3.9370078740157481"/>
    <n v="1"/>
    <n v="29070000"/>
    <n v="1.0265973615936732"/>
    <x v="0"/>
    <n v="5"/>
    <n v="0.5"/>
    <n v="0.60000000000000009"/>
    <n v="1.4000000000000001"/>
    <n v="6"/>
    <n v="8.5"/>
  </r>
  <r>
    <s v="CB box : 635 x 390 x 150 mm (OD-with lid) 5 ply HSC (B.S-14kg/cm2) &amp; 3ply top lid (B.S:10-12kg/cm2)"/>
    <n v="149"/>
    <n v="149"/>
    <n v="149"/>
    <n v="149"/>
    <n v="5.7656960433394603E-4"/>
    <n v="26"/>
    <n v="6"/>
    <n v="15"/>
    <n v="9.8388868652737322"/>
    <n v="90"/>
    <n v="600"/>
    <n v="1"/>
    <n v="635"/>
    <n v="390"/>
    <n v="150"/>
    <n v="1200"/>
    <n v="1080"/>
    <n v="1200"/>
    <n v="8"/>
    <n v="1"/>
    <n v="2"/>
    <n v="8"/>
    <n v="16"/>
    <n v="157.42218984437972"/>
    <n v="3.9370078740157481"/>
    <n v="1"/>
    <n v="37147500"/>
    <n v="1.3118515820364975"/>
    <x v="0"/>
    <n v="5"/>
    <n v="0.5"/>
    <n v="0.60000000000000009"/>
    <n v="1.4000000000000001"/>
    <n v="6"/>
    <n v="8.5"/>
  </r>
  <r>
    <s v="5 Ply Corrugated Box (size- 1880x305x280 mm)-OD, (Type-2 ,B.S -17 Kg/cm2)"/>
    <n v="322"/>
    <n v="133"/>
    <n v="133"/>
    <n v="172"/>
    <n v="5.1465608977459612E-4"/>
    <n v="26"/>
    <n v="7"/>
    <n v="15"/>
    <n v="42.52380278601327"/>
    <n v="105"/>
    <n v="600"/>
    <n v="1"/>
    <n v="1880"/>
    <n v="305"/>
    <n v="280"/>
    <n v="2000"/>
    <n v="1080"/>
    <n v="1200"/>
    <n v="4"/>
    <n v="1"/>
    <n v="3"/>
    <n v="4"/>
    <n v="12"/>
    <n v="510.28563343215922"/>
    <n v="3.9370078740157481"/>
    <n v="1"/>
    <n v="160552000"/>
    <n v="5.6698403714684362"/>
    <x v="3"/>
    <n v="10"/>
    <n v="0.5"/>
    <n v="0.60000000000000009"/>
    <n v="1.4000000000000001"/>
    <n v="6"/>
    <n v="8.5"/>
  </r>
  <r>
    <s v="CORRUGATED BOX (11x15x10) 7 PLY. With Original Vergin Paper."/>
    <n v="120"/>
    <n v="120"/>
    <n v="120"/>
    <n v="120"/>
    <n v="4.6435135919512433E-4"/>
    <n v="26"/>
    <n v="5"/>
    <n v="15"/>
    <n v="7.1614583333333321"/>
    <n v="75"/>
    <n v="600"/>
    <n v="1"/>
    <n v="279.39999999999998"/>
    <n v="381"/>
    <n v="254"/>
    <n v="1200"/>
    <n v="1080"/>
    <n v="1200"/>
    <n v="5"/>
    <n v="4"/>
    <n v="2"/>
    <n v="5"/>
    <n v="40"/>
    <n v="286.45833333333326"/>
    <n v="3.9370078740157481"/>
    <n v="1"/>
    <n v="27038655.599999998"/>
    <n v="0.95486111111111094"/>
    <x v="0"/>
    <n v="5"/>
    <n v="0.5"/>
    <n v="0.60000000000000009"/>
    <n v="1.4000000000000001"/>
    <n v="6"/>
    <n v="8.5"/>
  </r>
  <r>
    <s v="CB Box  960 x 500 x 300 mm , B.S-17 (5 Ply , Type-2)"/>
    <n v="100"/>
    <n v="100"/>
    <n v="100"/>
    <n v="100"/>
    <n v="3.8695946599593691E-4"/>
    <n v="26"/>
    <n v="4"/>
    <n v="15"/>
    <n v="38.139840059207678"/>
    <n v="60"/>
    <n v="600"/>
    <n v="1"/>
    <n v="960"/>
    <n v="500"/>
    <n v="300"/>
    <n v="1200"/>
    <n v="1080"/>
    <n v="1200"/>
    <n v="4"/>
    <n v="1"/>
    <n v="2"/>
    <n v="4"/>
    <n v="8"/>
    <n v="305.11872047366143"/>
    <n v="3.9370078740157481"/>
    <n v="1"/>
    <n v="144000000"/>
    <n v="5.0853120078943572"/>
    <x v="0"/>
    <n v="5"/>
    <n v="0.5"/>
    <n v="0.60000000000000009"/>
    <n v="1.4000000000000001"/>
    <n v="6"/>
    <n v="8.5"/>
  </r>
  <r>
    <s v="CB Box :  1560 x 200 x 150 mm 5-ply Type-1 (B.S-14kg/cm2)"/>
    <n v="100"/>
    <n v="100"/>
    <n v="100"/>
    <n v="100"/>
    <n v="3.8695946599593691E-4"/>
    <n v="26"/>
    <n v="4"/>
    <n v="15"/>
    <n v="12.395448019242496"/>
    <n v="60"/>
    <n v="600"/>
    <n v="1"/>
    <n v="1560"/>
    <n v="200"/>
    <n v="150"/>
    <n v="1500"/>
    <n v="1080"/>
    <n v="1200"/>
    <n v="8"/>
    <n v="1"/>
    <n v="5"/>
    <n v="8"/>
    <n v="40"/>
    <n v="495.81792076969981"/>
    <n v="3.9370078740157481"/>
    <n v="1"/>
    <n v="46800000"/>
    <n v="1.6527264025656661"/>
    <x v="2"/>
    <n v="10"/>
    <n v="0.5"/>
    <n v="0.60000000000000009"/>
    <n v="1.4000000000000001"/>
    <n v="6"/>
    <n v="8.5"/>
  </r>
  <r>
    <s v="5 Ply Corrugated Box (size- 1525x610x255 mm), (Type-2 ,B.S -17 Kg/cm2)"/>
    <n v="976"/>
    <n v="88.727272727272734"/>
    <n v="89"/>
    <n v="102"/>
    <n v="3.4439392473638384E-4"/>
    <n v="26"/>
    <n v="4"/>
    <n v="15"/>
    <n v="62.828433922533861"/>
    <n v="60"/>
    <n v="600"/>
    <n v="1"/>
    <n v="1525"/>
    <n v="610"/>
    <n v="255"/>
    <n v="1500"/>
    <n v="1080"/>
    <n v="1200"/>
    <n v="5"/>
    <n v="1"/>
    <n v="1"/>
    <n v="5"/>
    <n v="5"/>
    <n v="314.14216961266931"/>
    <n v="3.9370078740157481"/>
    <n v="1"/>
    <n v="237213750"/>
    <n v="8.3771245230045146"/>
    <x v="2"/>
    <n v="10"/>
    <n v="0.5"/>
    <n v="0.60000000000000009"/>
    <n v="1.4000000000000001"/>
    <n v="6"/>
    <n v="8.5"/>
  </r>
  <r>
    <s v="Corrugated Box  Ply-7, H-8&quot;, W-16&quot;, L-36&quot;"/>
    <n v="780"/>
    <n v="86.666666666666671"/>
    <n v="87"/>
    <n v="101"/>
    <n v="3.3665473541646512E-4"/>
    <n v="26"/>
    <n v="4"/>
    <n v="15"/>
    <n v="19.999999999999996"/>
    <n v="60"/>
    <n v="600"/>
    <n v="1"/>
    <n v="914.4"/>
    <n v="406.4"/>
    <n v="203.2"/>
    <n v="1200"/>
    <n v="1080"/>
    <n v="1200"/>
    <n v="6"/>
    <n v="1"/>
    <n v="2"/>
    <n v="6"/>
    <n v="12"/>
    <n v="239.99999999999994"/>
    <n v="3.9370078740157481"/>
    <n v="1"/>
    <n v="75511590.911999986"/>
    <n v="2.6666666666666661"/>
    <x v="0"/>
    <n v="5"/>
    <n v="0.5"/>
    <n v="0.60000000000000009"/>
    <n v="1.4000000000000001"/>
    <n v="6"/>
    <n v="8.5"/>
  </r>
  <r>
    <s v="5 Ply Corrugated Box (size- 765x455x230 mm)-OD, (Type-2 ,B.S -14 Kg/cm2)"/>
    <n v="163"/>
    <n v="81.5"/>
    <n v="82"/>
    <n v="91"/>
    <n v="3.1730676211666828E-4"/>
    <n v="26"/>
    <n v="4"/>
    <n v="15"/>
    <n v="21.203963267916691"/>
    <n v="60"/>
    <n v="600"/>
    <n v="1"/>
    <n v="765"/>
    <n v="455"/>
    <n v="230"/>
    <n v="1200"/>
    <n v="1080"/>
    <n v="1200"/>
    <n v="5"/>
    <n v="1"/>
    <n v="2"/>
    <n v="5"/>
    <n v="10"/>
    <n v="212.03963267916691"/>
    <n v="3.9370078740157481"/>
    <n v="1"/>
    <n v="80057250"/>
    <n v="2.8271951023888922"/>
    <x v="0"/>
    <n v="5"/>
    <n v="0.5"/>
    <n v="0.60000000000000009"/>
    <n v="1.4000000000000001"/>
    <n v="6"/>
    <n v="8.5"/>
  </r>
  <r>
    <s v="Corrugated Box  Ply-5, H-180mm, W-240mm, L-410mm"/>
    <n v="153"/>
    <n v="76.5"/>
    <n v="77"/>
    <n v="91"/>
    <n v="2.9795878881687144E-4"/>
    <n v="26"/>
    <n v="4"/>
    <n v="15"/>
    <n v="4.6912003272825444"/>
    <n v="60"/>
    <n v="600"/>
    <n v="1"/>
    <n v="410"/>
    <n v="240"/>
    <n v="180"/>
    <n v="1200"/>
    <n v="1080"/>
    <n v="1200"/>
    <n v="7"/>
    <n v="2"/>
    <n v="4"/>
    <n v="7"/>
    <n v="56"/>
    <n v="262.70721832782249"/>
    <n v="3.9370078740157481"/>
    <n v="1"/>
    <n v="17712000"/>
    <n v="0.62549337697100593"/>
    <x v="0"/>
    <n v="5"/>
    <n v="0.5"/>
    <n v="0.60000000000000009"/>
    <n v="1.4000000000000001"/>
    <n v="6"/>
    <n v="8.5"/>
  </r>
  <r>
    <s v="5 Ply Corrugated Box (size- 960x500x300 mm)-OD, (Type-2 ,B.S -17 Kg/cm2)"/>
    <n v="527"/>
    <n v="75.285714285714292"/>
    <n v="76"/>
    <n v="90"/>
    <n v="2.9408919415691205E-4"/>
    <n v="26"/>
    <n v="4"/>
    <n v="15"/>
    <n v="38.139840059207678"/>
    <n v="60"/>
    <n v="600"/>
    <n v="1"/>
    <n v="960"/>
    <n v="500"/>
    <n v="300"/>
    <n v="1200"/>
    <n v="1080"/>
    <n v="1200"/>
    <n v="4"/>
    <n v="1"/>
    <n v="2"/>
    <n v="4"/>
    <n v="8"/>
    <n v="305.11872047366143"/>
    <n v="3.9370078740157481"/>
    <n v="1"/>
    <n v="144000000"/>
    <n v="5.0853120078943572"/>
    <x v="0"/>
    <n v="5"/>
    <n v="0.5"/>
    <n v="0.60000000000000009"/>
    <n v="1.4000000000000001"/>
    <n v="6"/>
    <n v="8.5"/>
  </r>
  <r>
    <s v="765X455X230 MM 7 PLY C. BOX"/>
    <n v="60"/>
    <n v="60"/>
    <n v="60"/>
    <n v="60"/>
    <n v="2.3217567959756216E-4"/>
    <n v="26"/>
    <n v="3"/>
    <n v="15"/>
    <n v="21.203963267916691"/>
    <n v="45"/>
    <n v="600"/>
    <n v="1"/>
    <n v="765"/>
    <n v="455"/>
    <n v="230"/>
    <n v="1200"/>
    <n v="1080"/>
    <n v="1200"/>
    <n v="5"/>
    <n v="1"/>
    <n v="2"/>
    <n v="5"/>
    <n v="10"/>
    <n v="212.03963267916691"/>
    <n v="3.9370078740157481"/>
    <n v="1"/>
    <n v="80057250"/>
    <n v="2.8271951023888922"/>
    <x v="0"/>
    <n v="5"/>
    <n v="0.5"/>
    <n v="0.60000000000000009"/>
    <n v="1.4000000000000001"/>
    <n v="6"/>
    <n v="8.5"/>
  </r>
  <r>
    <s v="Corrugatted Box 54x12x11 (7 PLY)"/>
    <n v="60"/>
    <n v="60"/>
    <n v="60"/>
    <n v="60"/>
    <n v="2.3217567959756216E-4"/>
    <n v="26"/>
    <n v="3"/>
    <n v="15"/>
    <n v="30.9375"/>
    <n v="45"/>
    <n v="600"/>
    <n v="1"/>
    <n v="1371.6"/>
    <n v="304.8"/>
    <n v="279.39999999999998"/>
    <n v="1500"/>
    <n v="1080"/>
    <n v="1200"/>
    <n v="4"/>
    <n v="1"/>
    <n v="3"/>
    <n v="4"/>
    <n v="12"/>
    <n v="371.25"/>
    <n v="3.9370078740157481"/>
    <n v="1"/>
    <n v="116806992.19199999"/>
    <n v="4.125"/>
    <x v="2"/>
    <n v="10"/>
    <n v="0.5"/>
    <n v="0.60000000000000009"/>
    <n v="1.4000000000000001"/>
    <n v="6"/>
    <n v="8.5"/>
  </r>
  <r>
    <s v="58X21X10 ( 3 KRAFT PAPER 180 GSM 22 BF, 2 SEMI KRAFT PAPER 125 GSM 18 BF) Corrugated Box"/>
    <n v="55"/>
    <n v="55"/>
    <n v="55"/>
    <n v="55"/>
    <n v="2.128277062977653E-4"/>
    <n v="26"/>
    <n v="3"/>
    <n v="15"/>
    <n v="52.864583333333329"/>
    <n v="45"/>
    <n v="600"/>
    <n v="1"/>
    <n v="1473.2"/>
    <n v="533.4"/>
    <n v="254"/>
    <n v="1500"/>
    <n v="1080"/>
    <n v="1200"/>
    <n v="5"/>
    <n v="1"/>
    <n v="2"/>
    <n v="5"/>
    <n v="10"/>
    <n v="528.64583333333326"/>
    <n v="3.9370078740157481"/>
    <n v="1"/>
    <n v="199594439.52000001"/>
    <n v="7.0486111111111107"/>
    <x v="2"/>
    <n v="10"/>
    <n v="0.5"/>
    <n v="0.60000000000000009"/>
    <n v="1.4000000000000001"/>
    <n v="6"/>
    <n v="8.5"/>
  </r>
  <r>
    <s v="COURROGATED BOX 60 x 24 x 10"/>
    <n v="53"/>
    <n v="53"/>
    <n v="53"/>
    <n v="53"/>
    <n v="2.0508851697784657E-4"/>
    <n v="26"/>
    <n v="3"/>
    <n v="15"/>
    <n v="62.500000000000007"/>
    <n v="45"/>
    <n v="600"/>
    <n v="1"/>
    <n v="1524"/>
    <n v="609.6"/>
    <n v="254"/>
    <n v="1500"/>
    <n v="1080"/>
    <n v="1200"/>
    <n v="5"/>
    <n v="1"/>
    <n v="1"/>
    <n v="5"/>
    <n v="5"/>
    <n v="312.50000000000006"/>
    <n v="3.9370078740157481"/>
    <n v="1"/>
    <n v="235973721.59999999"/>
    <n v="8.3333333333333339"/>
    <x v="2"/>
    <n v="10"/>
    <n v="0.5"/>
    <n v="0.60000000000000009"/>
    <n v="1.4000000000000001"/>
    <n v="6"/>
    <n v="8.5"/>
  </r>
  <r>
    <s v="CORRUGRADED BOX  Ø19X53"/>
    <n v="287"/>
    <n v="41"/>
    <n v="41"/>
    <n v="63"/>
    <n v="1.5865338105833414E-4"/>
    <n v="26"/>
    <n v="3"/>
    <n v="15"/>
    <n v="64.527456528871397"/>
    <n v="45"/>
    <n v="600"/>
    <n v="1"/>
    <n v="482.59999999999997"/>
    <n v="1346.2"/>
    <n v="375"/>
    <n v="1200"/>
    <n v="1300"/>
    <n v="1200"/>
    <n v="3"/>
    <n v="2"/>
    <n v="1"/>
    <n v="3"/>
    <n v="6"/>
    <n v="387.16473917322838"/>
    <n v="3.9370078740157481"/>
    <n v="1"/>
    <n v="243628545"/>
    <n v="8.6036608705161868"/>
    <x v="0"/>
    <n v="5"/>
    <n v="0.5"/>
    <n v="0.60000000000000009"/>
    <n v="1.4000000000000001"/>
    <n v="6"/>
    <n v="8.5"/>
  </r>
  <r>
    <s v="Corrugated separator sheet size 1160 x 1020 mm, 5- Ply type -1 (B.S 14Kg/cm2)"/>
    <n v="20"/>
    <n v="20"/>
    <n v="20"/>
    <n v="20"/>
    <n v="7.7391893199187388E-5"/>
    <n v="26"/>
    <n v="1"/>
    <n v="15"/>
    <n v="117.51838218243367"/>
    <n v="15"/>
    <n v="600"/>
    <n v="1"/>
    <n v="1160"/>
    <n v="1020"/>
    <n v="375"/>
    <n v="1200"/>
    <n v="1080"/>
    <n v="1200"/>
    <n v="3"/>
    <n v="1"/>
    <n v="1"/>
    <n v="3"/>
    <n v="3"/>
    <n v="352.55514654730098"/>
    <n v="3.9370078740157481"/>
    <n v="1"/>
    <n v="443700000"/>
    <n v="15.669117624324489"/>
    <x v="0"/>
    <n v="5"/>
    <n v="0.5"/>
    <n v="0.60000000000000009"/>
    <n v="1.4000000000000001"/>
    <n v="6"/>
    <n v="8.5"/>
  </r>
  <r>
    <s v="&quot;5 ply Corrugation partition assembly ,size: 1170x1060x460mm , (B.S-14kg/cm2)&quot;"/>
    <n v="10"/>
    <n v="10"/>
    <n v="10"/>
    <n v="10"/>
    <n v="3.8695946599593694E-5"/>
    <n v="26"/>
    <n v="1"/>
    <n v="15"/>
    <n v="151.10051135456601"/>
    <n v="15"/>
    <n v="600"/>
    <n v="1"/>
    <n v="1170"/>
    <n v="1060"/>
    <n v="460"/>
    <n v="1200"/>
    <n v="1080"/>
    <n v="1200"/>
    <n v="3"/>
    <n v="1"/>
    <n v="1"/>
    <n v="3"/>
    <n v="3"/>
    <n v="453.301534063698"/>
    <n v="3.9370078740157481"/>
    <n v="1"/>
    <n v="570492000"/>
    <n v="20.146734847275468"/>
    <x v="0"/>
    <n v="5"/>
    <n v="0.5"/>
    <n v="0.60000000000000009"/>
    <n v="1.4000000000000001"/>
    <n v="6"/>
    <n v="8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CNH-Noida"/>
    <n v="29733"/>
    <n v="2287.1538461538462"/>
    <n v="2288"/>
    <n v="2456"/>
    <n v="26"/>
    <n v="95"/>
    <n v="18"/>
    <n v="13.984608021709482"/>
    <n v="1710"/>
    <n v="600"/>
    <n v="3"/>
    <n v="0.33300000000000002"/>
    <n v="32"/>
    <n v="600"/>
    <n v="400"/>
    <n v="220"/>
    <n v="1200"/>
    <n v="1080"/>
    <n v="1200"/>
    <n v="5"/>
    <n v="2"/>
    <n v="2"/>
    <n v="5"/>
    <n v="20"/>
    <n v="279.69216043418965"/>
    <n v="3.9370078740157481"/>
    <n v="2"/>
    <n v="52800000"/>
    <n v="1.8646144028945977"/>
    <x v="0"/>
    <n v="20"/>
    <n v="1"/>
    <n v="1.2000000000000002"/>
    <n v="2.8000000000000003"/>
    <n v="12"/>
    <n v="17"/>
  </r>
  <r>
    <m/>
    <m/>
    <m/>
    <m/>
    <m/>
    <m/>
    <m/>
    <m/>
    <n v="26.486000041116444"/>
    <m/>
    <m/>
    <m/>
    <n v="0.33300000000000002"/>
    <n v="32"/>
    <n v="1000"/>
    <n v="400"/>
    <n v="250"/>
    <n v="1200"/>
    <n v="1080"/>
    <n v="1200"/>
    <n v="4"/>
    <n v="1"/>
    <n v="2"/>
    <n v="4"/>
    <n v="8"/>
    <n v="111.87686417367586"/>
    <n v="3.9370078740157481"/>
    <n v="5"/>
    <n v="100000000"/>
    <n v="3.5314666721488592"/>
    <x v="0"/>
    <n v="50"/>
    <n v="2.5"/>
    <n v="3"/>
    <n v="7"/>
    <n v="30"/>
    <n v="42.5"/>
  </r>
  <r>
    <m/>
    <m/>
    <m/>
    <m/>
    <m/>
    <m/>
    <m/>
    <m/>
    <n v="38.404700059618847"/>
    <m/>
    <m/>
    <m/>
    <n v="0.33300000000000002"/>
    <n v="32"/>
    <n v="1450"/>
    <n v="400"/>
    <n v="250"/>
    <n v="1500"/>
    <n v="1080"/>
    <n v="1200"/>
    <n v="4"/>
    <n v="1"/>
    <n v="2"/>
    <n v="4"/>
    <n v="8"/>
    <n v="111.87686417367586"/>
    <n v="3.9370078740157481"/>
    <n v="5"/>
    <n v="145000000"/>
    <n v="5.1206266746158464"/>
    <x v="1"/>
    <n v="50"/>
    <n v="2.5"/>
    <n v="3"/>
    <n v="7"/>
    <n v="30"/>
    <n v="42.5"/>
  </r>
  <r>
    <s v="IAI -Sanand (SMG part)"/>
    <n v="26392.75"/>
    <n v="2030.2115384615386"/>
    <n v="2031"/>
    <n v="2263"/>
    <n v="26"/>
    <n v="88"/>
    <n v="18"/>
    <n v="22.883904035524608"/>
    <n v="1584"/>
    <n v="600"/>
    <n v="3"/>
    <n v="1"/>
    <n v="88"/>
    <n v="600"/>
    <n v="400"/>
    <n v="360"/>
    <n v="1200"/>
    <n v="1080"/>
    <n v="1200"/>
    <n v="3"/>
    <n v="2"/>
    <n v="2"/>
    <n v="3"/>
    <n v="12"/>
    <n v="167.81529626051378"/>
    <n v="3.9370078740157481"/>
    <n v="8"/>
    <n v="86400000"/>
    <n v="3.0511872047366144"/>
    <x v="0"/>
    <n v="80"/>
    <n v="4"/>
    <n v="4.8000000000000007"/>
    <n v="11.200000000000001"/>
    <n v="48"/>
    <n v="68"/>
  </r>
  <r>
    <s v="JCB (Jaipur)"/>
    <n v="42"/>
    <n v="14"/>
    <n v="14"/>
    <n v="20"/>
    <n v="26"/>
    <n v="1"/>
    <n v="18"/>
    <n v="22.883904035524608"/>
    <n v="18"/>
    <n v="600"/>
    <n v="1"/>
    <n v="1"/>
    <n v="1"/>
    <n v="600"/>
    <n v="400"/>
    <n v="360"/>
    <n v="1200"/>
    <n v="1080"/>
    <n v="1200"/>
    <n v="3"/>
    <n v="2"/>
    <n v="2"/>
    <n v="3"/>
    <n v="12"/>
    <n v="167.81529626051378"/>
    <n v="3.9370078740157481"/>
    <n v="1"/>
    <n v="86400000"/>
    <n v="3.0511872047366144"/>
    <x v="0"/>
    <n v="10"/>
    <n v="0.5"/>
    <n v="0.60000000000000009"/>
    <n v="1.4000000000000001"/>
    <n v="6"/>
    <n v="8.5"/>
  </r>
  <r>
    <s v="Mahindra (Pune)"/>
    <n v="66677"/>
    <n v="5129"/>
    <n v="5129"/>
    <n v="5880"/>
    <n v="26"/>
    <n v="227"/>
    <n v="18"/>
    <n v="15.255936023683072"/>
    <n v="4086"/>
    <n v="600"/>
    <n v="7"/>
    <n v="0.16600000000000001"/>
    <n v="38"/>
    <n v="600"/>
    <n v="400"/>
    <n v="240"/>
    <n v="1200"/>
    <n v="1080"/>
    <n v="1200"/>
    <n v="5"/>
    <n v="2"/>
    <n v="2"/>
    <n v="5"/>
    <n v="20"/>
    <n v="279.69216043418965"/>
    <n v="3.9370078740157481"/>
    <n v="2"/>
    <n v="57600000"/>
    <n v="2.0341248031577428"/>
    <x v="0"/>
    <n v="20"/>
    <n v="1"/>
    <n v="1.2000000000000002"/>
    <n v="2.8000000000000003"/>
    <n v="12"/>
    <n v="17"/>
  </r>
  <r>
    <m/>
    <m/>
    <m/>
    <m/>
    <m/>
    <m/>
    <m/>
    <m/>
    <n v="7.6279680118415358"/>
    <m/>
    <m/>
    <m/>
    <n v="0.16600000000000001"/>
    <n v="38"/>
    <n v="600"/>
    <n v="300"/>
    <n v="160"/>
    <n v="1200"/>
    <n v="1080"/>
    <n v="1200"/>
    <n v="7"/>
    <n v="2"/>
    <n v="3"/>
    <n v="7"/>
    <n v="42"/>
    <n v="587.35353691179819"/>
    <n v="3.9370078740157481"/>
    <n v="1"/>
    <n v="28800000"/>
    <n v="1.0170624015788714"/>
    <x v="0"/>
    <n v="10"/>
    <n v="0.5"/>
    <n v="0.60000000000000009"/>
    <n v="1.4000000000000001"/>
    <n v="6"/>
    <n v="8.5"/>
  </r>
  <r>
    <m/>
    <m/>
    <m/>
    <m/>
    <m/>
    <m/>
    <m/>
    <m/>
    <n v="30.511872047366143"/>
    <m/>
    <m/>
    <m/>
    <n v="0.16600000000000001"/>
    <n v="38"/>
    <n v="800"/>
    <n v="600"/>
    <n v="240"/>
    <n v="1200"/>
    <n v="1080"/>
    <n v="1200"/>
    <n v="5"/>
    <n v="1"/>
    <n v="1"/>
    <n v="5"/>
    <n v="5"/>
    <n v="69.923040108547411"/>
    <n v="3.9370078740157481"/>
    <n v="8"/>
    <n v="115200000"/>
    <n v="4.0682496063154856"/>
    <x v="0"/>
    <n v="80"/>
    <n v="4"/>
    <n v="4.8000000000000007"/>
    <n v="11.200000000000001"/>
    <n v="48"/>
    <n v="68"/>
  </r>
  <r>
    <m/>
    <m/>
    <m/>
    <m/>
    <m/>
    <m/>
    <m/>
    <m/>
    <n v="10.19711001582983"/>
    <m/>
    <m/>
    <m/>
    <n v="0.16600000000000001"/>
    <n v="38"/>
    <n v="550"/>
    <n v="350"/>
    <n v="200"/>
    <n v="1200"/>
    <n v="1080"/>
    <n v="1200"/>
    <n v="5"/>
    <n v="2"/>
    <n v="3"/>
    <n v="5"/>
    <n v="30"/>
    <n v="419.53824065128447"/>
    <n v="3.9370078740157481"/>
    <n v="2"/>
    <n v="38500000"/>
    <n v="1.3596146687773107"/>
    <x v="0"/>
    <n v="20"/>
    <n v="1"/>
    <n v="1.2000000000000002"/>
    <n v="2.8000000000000003"/>
    <n v="12"/>
    <n v="17"/>
  </r>
  <r>
    <m/>
    <m/>
    <m/>
    <m/>
    <m/>
    <m/>
    <m/>
    <m/>
    <n v="7.6279680118415358"/>
    <m/>
    <m/>
    <m/>
    <n v="0.16600000000000001"/>
    <n v="38"/>
    <n v="400"/>
    <n v="300"/>
    <n v="240"/>
    <n v="1200"/>
    <n v="1080"/>
    <n v="1200"/>
    <n v="3"/>
    <n v="3"/>
    <n v="3"/>
    <n v="3"/>
    <n v="27"/>
    <n v="377.58441658615601"/>
    <n v="3.9370078740157481"/>
    <n v="2"/>
    <n v="28800000"/>
    <n v="1.0170624015788714"/>
    <x v="0"/>
    <n v="20"/>
    <n v="1"/>
    <n v="1.2000000000000002"/>
    <n v="2.8000000000000003"/>
    <n v="12"/>
    <n v="17"/>
  </r>
  <r>
    <m/>
    <m/>
    <m/>
    <m/>
    <m/>
    <m/>
    <m/>
    <m/>
    <n v="22.883904035524608"/>
    <m/>
    <m/>
    <m/>
    <n v="0.16600000000000001"/>
    <n v="38"/>
    <n v="900"/>
    <n v="400"/>
    <n v="240"/>
    <n v="1200"/>
    <n v="1080"/>
    <n v="1200"/>
    <n v="5"/>
    <n v="1"/>
    <n v="2"/>
    <n v="5"/>
    <n v="10"/>
    <n v="139.84608021709482"/>
    <n v="3.9370078740157481"/>
    <n v="4"/>
    <n v="86400000"/>
    <n v="3.0511872047366144"/>
    <x v="0"/>
    <n v="40"/>
    <n v="2"/>
    <n v="2.4000000000000004"/>
    <n v="5.6000000000000005"/>
    <n v="24"/>
    <n v="34"/>
  </r>
  <r>
    <s v="Mohali"/>
    <n v="56531"/>
    <n v="4348.5384615384619"/>
    <n v="4349"/>
    <n v="4867"/>
    <n v="26"/>
    <n v="188"/>
    <n v="18"/>
    <n v="8.3333333333333321"/>
    <n v="3384"/>
    <n v="600"/>
    <n v="6"/>
    <n v="1"/>
    <n v="188"/>
    <n v="508"/>
    <n v="304.8"/>
    <n v="203.2"/>
    <n v="1200"/>
    <n v="1080"/>
    <n v="1200"/>
    <n v="5"/>
    <n v="2"/>
    <n v="3"/>
    <n v="5"/>
    <n v="30"/>
    <n v="419.53824065128447"/>
    <n v="3.9370078740157481"/>
    <n v="7"/>
    <n v="31463162.879999995"/>
    <n v="1.1111111111111109"/>
    <x v="0"/>
    <n v="70"/>
    <n v="3.5"/>
    <n v="4.2"/>
    <n v="9.8000000000000007"/>
    <n v="42.000000000000007"/>
    <n v="59.500000000000007"/>
  </r>
  <r>
    <s v="Nagpur"/>
    <n v="980"/>
    <n v="326.66666666666669"/>
    <n v="327"/>
    <n v="552"/>
    <n v="26"/>
    <n v="22"/>
    <n v="18"/>
    <n v="22.883904035524608"/>
    <n v="396"/>
    <n v="600"/>
    <n v="1"/>
    <n v="1"/>
    <n v="22"/>
    <n v="600"/>
    <n v="400"/>
    <n v="360"/>
    <n v="1200"/>
    <n v="1080"/>
    <n v="1200"/>
    <n v="3"/>
    <n v="2"/>
    <n v="2"/>
    <n v="3"/>
    <n v="12"/>
    <n v="167.81529626051378"/>
    <n v="3.9370078740157481"/>
    <n v="2"/>
    <n v="86400000"/>
    <n v="3.0511872047366144"/>
    <x v="0"/>
    <n v="20"/>
    <n v="1"/>
    <n v="1.2000000000000002"/>
    <n v="2.8000000000000003"/>
    <n v="12"/>
    <n v="17"/>
  </r>
  <r>
    <s v="Nasik"/>
    <n v="86209"/>
    <n v="6631.4615384615381"/>
    <n v="6632"/>
    <n v="7308"/>
    <n v="26"/>
    <n v="282"/>
    <n v="18"/>
    <n v="15.255936023683072"/>
    <n v="5076"/>
    <n v="600"/>
    <n v="9"/>
    <n v="0.33300000000000002"/>
    <n v="94"/>
    <n v="600"/>
    <n v="400"/>
    <n v="240"/>
    <n v="1200"/>
    <n v="1080"/>
    <n v="1200"/>
    <n v="5"/>
    <n v="2"/>
    <n v="2"/>
    <n v="5"/>
    <n v="20"/>
    <n v="279.69216043418965"/>
    <n v="3.9370078740157481"/>
    <n v="5"/>
    <n v="57600000"/>
    <n v="2.0341248031577428"/>
    <x v="0"/>
    <n v="50"/>
    <n v="2.5"/>
    <n v="3"/>
    <n v="7"/>
    <n v="30"/>
    <n v="42.5"/>
  </r>
  <r>
    <m/>
    <m/>
    <m/>
    <m/>
    <m/>
    <m/>
    <m/>
    <m/>
    <n v="22.883904035524608"/>
    <m/>
    <m/>
    <m/>
    <n v="0.33300000000000002"/>
    <n v="94"/>
    <n v="600"/>
    <n v="400"/>
    <n v="360"/>
    <n v="1200"/>
    <n v="1080"/>
    <n v="1200"/>
    <n v="3"/>
    <n v="2"/>
    <n v="2"/>
    <n v="3"/>
    <n v="12"/>
    <n v="167.81529626051378"/>
    <n v="3.9370078740157481"/>
    <n v="9"/>
    <n v="86400000"/>
    <n v="3.0511872047366144"/>
    <x v="0"/>
    <n v="90"/>
    <n v="4.5"/>
    <n v="5.4"/>
    <n v="12.6"/>
    <n v="54"/>
    <n v="76.5"/>
  </r>
  <r>
    <m/>
    <m/>
    <m/>
    <m/>
    <m/>
    <m/>
    <m/>
    <m/>
    <n v="22.883904035524608"/>
    <m/>
    <m/>
    <m/>
    <n v="0.33300000000000002"/>
    <n v="94"/>
    <n v="900"/>
    <n v="400"/>
    <n v="240"/>
    <n v="1200"/>
    <n v="1080"/>
    <n v="1200"/>
    <n v="5"/>
    <n v="1"/>
    <n v="2"/>
    <n v="5"/>
    <n v="10"/>
    <n v="139.84608021709482"/>
    <n v="3.9370078740157481"/>
    <n v="10"/>
    <n v="86400000"/>
    <n v="3.0511872047366144"/>
    <x v="0"/>
    <n v="100"/>
    <n v="5"/>
    <n v="6"/>
    <n v="14"/>
    <n v="60"/>
    <n v="8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Full pallet size (AMG)"/>
    <n v="200"/>
    <s v="&quot;Export pallet size : 1200 x 800 x 1166 mm (Eucalyptus wooden Pallet (As per ISPM 15) , 5 ply corrugated sleeve (printed) , 8 mm thk plywood top lid.&quot;"/>
    <m/>
    <n v="455"/>
    <n v="210"/>
    <n v="335"/>
    <n v="254"/>
    <n v="275"/>
    <n v="135"/>
    <n v="500"/>
    <m/>
    <n v="272"/>
    <n v="485"/>
    <n v="275"/>
    <n v="205"/>
    <n v="155"/>
    <n v="3556"/>
    <n v="0.11910902696365767"/>
    <n v="296.33333333333331"/>
    <n v="11.397435897435896"/>
    <n v="1200"/>
    <n v="800"/>
    <n v="1166"/>
    <n v="1200"/>
    <n v="1080"/>
    <n v="1200"/>
    <m/>
    <n v="1"/>
    <n v="1"/>
    <n v="1"/>
    <n v="1"/>
    <n v="200"/>
    <n v="12"/>
    <x v="0"/>
    <n v="120"/>
    <n v="6"/>
    <n v="7.2000000000000011"/>
    <n v="16.800000000000004"/>
    <n v="72.000000000000014"/>
    <n v="102.00000000000003"/>
  </r>
  <r>
    <s v="Half Pallet size "/>
    <n v="200"/>
    <s v="Consisting eucalyptus Pallet/Plywood 8 mm To Lid/Corrugated Edge Pak Sleeve With Ply Reinforce Size (1200 X 1080 X 587 MM)"/>
    <s v="1200 x 1080 x 587"/>
    <n v="625"/>
    <n v="580"/>
    <n v="380"/>
    <n v="480"/>
    <n v="395"/>
    <n v="535"/>
    <n v="535"/>
    <n v="630"/>
    <n v="419"/>
    <n v="550"/>
    <n v="455"/>
    <n v="360"/>
    <n v="405"/>
    <n v="6349"/>
    <n v="0.21266119577960141"/>
    <n v="488.38461538461536"/>
    <n v="18.784023668639051"/>
    <n v="1200"/>
    <n v="1080"/>
    <n v="587"/>
    <n v="1200"/>
    <n v="1080"/>
    <n v="1200"/>
    <m/>
    <n v="1"/>
    <n v="1"/>
    <n v="2"/>
    <n v="2"/>
    <n v="200"/>
    <n v="10"/>
    <x v="0"/>
    <n v="100"/>
    <n v="5"/>
    <n v="6"/>
    <n v="14"/>
    <n v="60"/>
    <n v="85"/>
  </r>
  <r>
    <s v="wooden box"/>
    <m/>
    <s v="Eucalyptus wooden pallet (size : 1200 x 1080 x 125 mm)"/>
    <m/>
    <n v="40"/>
    <m/>
    <m/>
    <m/>
    <m/>
    <m/>
    <m/>
    <m/>
    <m/>
    <m/>
    <m/>
    <m/>
    <m/>
    <n v="40"/>
    <n v="1.3398090772064981E-3"/>
    <n v="40"/>
    <n v="1.5384615384615385"/>
    <n v="1200"/>
    <n v="1080"/>
    <n v="125"/>
    <n v="1200"/>
    <n v="1080"/>
    <n v="1200"/>
    <m/>
    <n v="1"/>
    <n v="1"/>
    <n v="9"/>
    <n v="9"/>
    <n v="0"/>
    <n v="1"/>
    <x v="0"/>
    <n v="10"/>
    <n v="0.5"/>
    <n v="0.60000000000000009"/>
    <n v="1.4000000000000001"/>
    <n v="6"/>
    <n v="8.5"/>
  </r>
  <r>
    <s v="Half Pallet size "/>
    <n v="200"/>
    <s v="Export pallet size : 760 x 760 x 610 mm(Eucalyptus wooden Pallet (As per ISPM 15) , 5 ply corrugated sleeve (printed) , 8 mm thk plywood top lid."/>
    <m/>
    <m/>
    <n v="10"/>
    <n v="20"/>
    <n v="10"/>
    <m/>
    <n v="10"/>
    <m/>
    <m/>
    <n v="65"/>
    <m/>
    <m/>
    <n v="40"/>
    <m/>
    <n v="155"/>
    <n v="5.1917601741751796E-3"/>
    <n v="25.833333333333332"/>
    <n v="0.9935897435897435"/>
    <n v="760"/>
    <n v="760"/>
    <n v="610"/>
    <n v="1200"/>
    <n v="1080"/>
    <n v="1200"/>
    <m/>
    <n v="1"/>
    <n v="1"/>
    <n v="1"/>
    <n v="1"/>
    <n v="200"/>
    <n v="1"/>
    <x v="1"/>
    <n v="10"/>
    <n v="0.5"/>
    <n v="0.60000000000000009"/>
    <n v="1.4000000000000001"/>
    <n v="6"/>
    <n v="8.5"/>
  </r>
  <r>
    <s v="wooden box"/>
    <m/>
    <s v="Export pallet size: 1140x980x1195mm(Perimeter Eucalyptus wooden pallet as per ISPM 15) ,5 ply corrugated sleeve(printed) ,8 mm thk ply wood top lid"/>
    <m/>
    <m/>
    <m/>
    <m/>
    <m/>
    <m/>
    <m/>
    <m/>
    <m/>
    <n v="2"/>
    <m/>
    <m/>
    <m/>
    <m/>
    <n v="2"/>
    <n v="6.69904538603249E-5"/>
    <n v="2"/>
    <n v="7.6923076923076927E-2"/>
    <n v="1140"/>
    <n v="980"/>
    <n v="1195"/>
    <n v="1200"/>
    <n v="1080"/>
    <n v="1200"/>
    <m/>
    <n v="1"/>
    <n v="1"/>
    <n v="1"/>
    <n v="1"/>
    <n v="0"/>
    <n v="1"/>
    <x v="2"/>
    <n v="10"/>
    <n v="0.5"/>
    <n v="0.60000000000000009"/>
    <n v="1.4000000000000001"/>
    <n v="6"/>
    <n v="8.5"/>
  </r>
  <r>
    <s v="Full pallet size (AMG)"/>
    <n v="500"/>
    <s v="Fumigated Consisting Eucalyptus Pallet/Plywood 8mm to Lid/Corrugated Edge Pak Sleeve with Ply Reinforce"/>
    <s v="1200 x 1080 x 1200"/>
    <n v="1365"/>
    <n v="1360"/>
    <n v="957"/>
    <n v="1305"/>
    <n v="915"/>
    <n v="1665"/>
    <n v="1430"/>
    <n v="1500"/>
    <n v="1046"/>
    <n v="1480"/>
    <n v="940"/>
    <n v="1265"/>
    <n v="1370"/>
    <n v="16598"/>
    <n v="0.55595377658683642"/>
    <n v="1276.7692307692307"/>
    <n v="49.106508875739642"/>
    <n v="1200"/>
    <n v="1080"/>
    <n v="1200"/>
    <n v="1200"/>
    <n v="1080"/>
    <n v="1200"/>
    <m/>
    <n v="1"/>
    <n v="1"/>
    <n v="1"/>
    <n v="1"/>
    <n v="500"/>
    <n v="50"/>
    <x v="0"/>
    <n v="500"/>
    <n v="25"/>
    <n v="30"/>
    <n v="70"/>
    <n v="300"/>
    <n v="425"/>
  </r>
  <r>
    <s v="wooden box"/>
    <m/>
    <s v="Hybrid Box consisting eucalyptus Pallet /plywood lid / HD sleeve (1200x800x1166 MM)"/>
    <m/>
    <m/>
    <m/>
    <m/>
    <m/>
    <m/>
    <m/>
    <m/>
    <n v="555"/>
    <m/>
    <m/>
    <m/>
    <m/>
    <m/>
    <n v="555"/>
    <n v="1.8589850946240161E-2"/>
    <n v="555"/>
    <n v="21.346153846153847"/>
    <n v="1200"/>
    <n v="800"/>
    <n v="1166"/>
    <n v="1200"/>
    <n v="1080"/>
    <n v="1200"/>
    <m/>
    <n v="1"/>
    <n v="1"/>
    <n v="1"/>
    <n v="1"/>
    <n v="0"/>
    <n v="22"/>
    <x v="0"/>
    <n v="220"/>
    <n v="11"/>
    <n v="13.200000000000001"/>
    <n v="30.800000000000004"/>
    <n v="132"/>
    <n v="187"/>
  </r>
  <r>
    <s v="wooden box"/>
    <m/>
    <s v="Nailess plywood top lid (8 mm thk) with GI sheet profile (size : 1200 x 1080 mm)"/>
    <m/>
    <n v="40"/>
    <m/>
    <m/>
    <m/>
    <m/>
    <m/>
    <m/>
    <m/>
    <m/>
    <m/>
    <m/>
    <m/>
    <m/>
    <n v="40"/>
    <n v="1.3398090772064981E-3"/>
    <n v="40"/>
    <n v="1.5384615384615385"/>
    <n v="1200"/>
    <n v="1080"/>
    <n v="1200"/>
    <n v="1200"/>
    <n v="1080"/>
    <n v="1200"/>
    <m/>
    <n v="1"/>
    <n v="1"/>
    <n v="1"/>
    <n v="1"/>
    <n v="0"/>
    <n v="2"/>
    <x v="0"/>
    <n v="20"/>
    <n v="1"/>
    <n v="1.2000000000000002"/>
    <n v="2.8000000000000003"/>
    <n v="12"/>
    <n v="17"/>
  </r>
  <r>
    <s v="wooden box"/>
    <m/>
    <s v="Plywood box (72x57x15 inch-ID) with wooden pallet"/>
    <m/>
    <m/>
    <m/>
    <m/>
    <m/>
    <m/>
    <m/>
    <m/>
    <m/>
    <n v="30"/>
    <m/>
    <m/>
    <m/>
    <m/>
    <n v="30"/>
    <n v="1.0048568079048736E-3"/>
    <n v="30"/>
    <n v="1.1538461538461537"/>
    <n v="1828.8"/>
    <n v="1447.8"/>
    <n v="381"/>
    <n v="1200"/>
    <n v="1080"/>
    <n v="1200"/>
    <m/>
    <n v="0"/>
    <n v="0"/>
    <n v="3"/>
    <n v="0"/>
    <n v="0"/>
    <n v="0"/>
    <x v="3"/>
    <n v="11.538461538461537"/>
    <n v="0.57692307692307687"/>
    <n v="0.69230769230769229"/>
    <n v="1.6153846153846152"/>
    <n v="6.9230769230769225"/>
    <n v="9.8076923076923066"/>
  </r>
  <r>
    <s v="wooden box"/>
    <m/>
    <s v="Plywood box (72x57x20 inch-ID) with wooden pallet"/>
    <m/>
    <m/>
    <m/>
    <m/>
    <m/>
    <m/>
    <m/>
    <m/>
    <m/>
    <n v="30"/>
    <m/>
    <m/>
    <m/>
    <m/>
    <n v="30"/>
    <n v="1.0048568079048736E-3"/>
    <n v="30"/>
    <n v="1.1538461538461537"/>
    <n v="1828.8"/>
    <n v="1447.8"/>
    <n v="508"/>
    <n v="1200"/>
    <n v="1080"/>
    <n v="1200"/>
    <m/>
    <n v="0"/>
    <n v="0"/>
    <n v="2"/>
    <n v="0"/>
    <n v="0"/>
    <n v="0"/>
    <x v="3"/>
    <n v="11.538461538461537"/>
    <n v="0.57692307692307687"/>
    <n v="0.69230769230769229"/>
    <n v="1.6153846153846152"/>
    <n v="6.9230769230769225"/>
    <n v="9.8076923076923066"/>
  </r>
  <r>
    <s v="wooden box"/>
    <m/>
    <s v="wooden crate size 58*42*21*3/4"/>
    <m/>
    <n v="70"/>
    <n v="50"/>
    <n v="55"/>
    <n v="20"/>
    <n v="60"/>
    <n v="30"/>
    <n v="65"/>
    <m/>
    <n v="35"/>
    <n v="10"/>
    <n v="20"/>
    <n v="10"/>
    <n v="70"/>
    <n v="495"/>
    <n v="1.6580137330430414E-2"/>
    <n v="41.25"/>
    <n v="1.5865384615384615"/>
    <n v="1473.2"/>
    <n v="1066.8"/>
    <n v="533.4"/>
    <n v="1200"/>
    <n v="1080"/>
    <n v="1200"/>
    <m/>
    <n v="0"/>
    <n v="1"/>
    <n v="2"/>
    <n v="0"/>
    <n v="0"/>
    <n v="0"/>
    <x v="4"/>
    <n v="15.865384615384615"/>
    <n v="0.79326923076923073"/>
    <n v="0.95192307692307687"/>
    <n v="2.2211538461538458"/>
    <n v="9.5192307692307683"/>
    <n v="13.485576923076922"/>
  </r>
  <r>
    <s v="wooden box"/>
    <m/>
    <s v="WOODEN CRATE SIZE- 62*48*21*3/4"/>
    <m/>
    <n v="40"/>
    <n v="75"/>
    <n v="20"/>
    <n v="95"/>
    <n v="115"/>
    <n v="25"/>
    <n v="210"/>
    <n v="55"/>
    <n v="20"/>
    <n v="100"/>
    <n v="65"/>
    <n v="80"/>
    <n v="30"/>
    <n v="930"/>
    <n v="3.1150561045051081E-2"/>
    <n v="71.538461538461533"/>
    <n v="2.751479289940828"/>
    <n v="1574.8"/>
    <n v="1219.2"/>
    <n v="533.4"/>
    <n v="1200"/>
    <n v="1080"/>
    <n v="1200"/>
    <m/>
    <n v="0"/>
    <n v="0"/>
    <n v="2"/>
    <n v="0"/>
    <n v="0"/>
    <n v="0"/>
    <x v="5"/>
    <n v="27.514792899408281"/>
    <n v="1.375739644970414"/>
    <n v="1.6508875739644968"/>
    <n v="3.8520710059171592"/>
    <n v="16.508875739644967"/>
    <n v="23.387573964497037"/>
  </r>
  <r>
    <s v="wooden box"/>
    <m/>
    <s v="Wooden Crate Size 80*42*21"/>
    <m/>
    <n v="10"/>
    <n v="5"/>
    <n v="5"/>
    <m/>
    <n v="5"/>
    <m/>
    <m/>
    <m/>
    <m/>
    <m/>
    <m/>
    <m/>
    <m/>
    <n v="25"/>
    <n v="8.3738067325406132E-4"/>
    <n v="6.25"/>
    <n v="0.24038461538461539"/>
    <n v="2032"/>
    <n v="1066.8"/>
    <n v="533.4"/>
    <n v="1200"/>
    <n v="1080"/>
    <n v="1200"/>
    <m/>
    <n v="0"/>
    <n v="1"/>
    <n v="2"/>
    <n v="0"/>
    <n v="0"/>
    <n v="0"/>
    <x v="6"/>
    <n v="2.4038461538461537"/>
    <n v="0.1201923076923077"/>
    <n v="0.14423076923076925"/>
    <n v="0.33653846153846156"/>
    <n v="1.4423076923076923"/>
    <n v="2.0432692307692308"/>
  </r>
  <r>
    <s v="wooden box"/>
    <m/>
    <s v="WOODEN CRATE SIZE- 96*36*12*3/4"/>
    <m/>
    <n v="10"/>
    <n v="15"/>
    <n v="30"/>
    <n v="10"/>
    <n v="45"/>
    <n v="10"/>
    <n v="15"/>
    <n v="10"/>
    <n v="15"/>
    <n v="20"/>
    <n v="10"/>
    <n v="40"/>
    <m/>
    <n v="230"/>
    <n v="7.7039021939373639E-3"/>
    <n v="19.166666666666668"/>
    <n v="0.73717948717948723"/>
    <n v="2438.4"/>
    <n v="914.4"/>
    <n v="304.8"/>
    <n v="1200"/>
    <n v="1080"/>
    <n v="1200"/>
    <m/>
    <n v="0"/>
    <n v="1"/>
    <n v="3"/>
    <n v="0"/>
    <n v="0"/>
    <n v="0"/>
    <x v="7"/>
    <n v="7.3717948717948723"/>
    <n v="0.36858974358974361"/>
    <n v="0.44230769230769229"/>
    <n v="1.0320512820512822"/>
    <n v="4.4230769230769234"/>
    <n v="6.2660256410256414"/>
  </r>
  <r>
    <s v="wooden box"/>
    <m/>
    <s v="wooden ply box size in inch 36*29*18"/>
    <m/>
    <m/>
    <m/>
    <n v="30"/>
    <n v="20"/>
    <n v="50"/>
    <m/>
    <n v="15"/>
    <n v="10"/>
    <n v="20"/>
    <m/>
    <n v="15"/>
    <m/>
    <m/>
    <n v="160"/>
    <n v="5.3592363088259924E-3"/>
    <n v="22.857142857142858"/>
    <n v="0.87912087912087911"/>
    <n v="914.4"/>
    <n v="736.6"/>
    <n v="457.2"/>
    <n v="1200"/>
    <n v="1080"/>
    <n v="1200"/>
    <m/>
    <n v="1"/>
    <n v="1"/>
    <n v="2"/>
    <n v="2"/>
    <n v="0"/>
    <n v="1"/>
    <x v="8"/>
    <n v="10"/>
    <n v="0.5"/>
    <n v="0.60000000000000009"/>
    <n v="1.4000000000000001"/>
    <n v="6"/>
    <n v="8.5"/>
  </r>
  <r>
    <s v="wooden box"/>
    <m/>
    <s v="wooden ply box size in inch 50*40*12*"/>
    <m/>
    <m/>
    <n v="40"/>
    <m/>
    <m/>
    <n v="20"/>
    <n v="20"/>
    <n v="35"/>
    <m/>
    <m/>
    <m/>
    <m/>
    <n v="60"/>
    <m/>
    <n v="175"/>
    <n v="5.8616647127784291E-3"/>
    <n v="35"/>
    <n v="1.3461538461538463"/>
    <n v="1270"/>
    <n v="1016"/>
    <n v="304.8"/>
    <n v="1200"/>
    <n v="1080"/>
    <n v="1200"/>
    <m/>
    <n v="0"/>
    <n v="1"/>
    <n v="3"/>
    <n v="0"/>
    <n v="0"/>
    <n v="0"/>
    <x v="9"/>
    <n v="13.461538461538463"/>
    <n v="0.67307692307692313"/>
    <n v="0.80769230769230782"/>
    <n v="1.884615384615385"/>
    <n v="8.0769230769230784"/>
    <n v="11.442307692307693"/>
  </r>
  <r>
    <s v="wooden box"/>
    <m/>
    <s v="wooden ply box size in inch 50*40*18*"/>
    <m/>
    <m/>
    <n v="10"/>
    <n v="110"/>
    <m/>
    <n v="70"/>
    <n v="55"/>
    <n v="20"/>
    <n v="20"/>
    <n v="10"/>
    <m/>
    <n v="100"/>
    <n v="50"/>
    <n v="40"/>
    <n v="485"/>
    <n v="1.6245185061128788E-2"/>
    <n v="48.5"/>
    <n v="1.8653846153846154"/>
    <n v="1270"/>
    <n v="1016"/>
    <n v="457.2"/>
    <n v="1200"/>
    <n v="1080"/>
    <n v="1200"/>
    <m/>
    <n v="0"/>
    <n v="1"/>
    <n v="2"/>
    <n v="0"/>
    <n v="0"/>
    <n v="0"/>
    <x v="9"/>
    <n v="18.653846153846153"/>
    <n v="0.93269230769230771"/>
    <n v="1.1192307692307693"/>
    <n v="2.6115384615384616"/>
    <n v="11.192307692307693"/>
    <n v="15.85576923076923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">
  <r>
    <s v="5 Ply Corrugated Box (size- 457x380x330 mm)-OD, (Type-1 ,B.S -14 Kg/cm2)"/>
    <n v="250378"/>
    <n v="20921.833333333332"/>
    <n v="20922"/>
    <n v="23187"/>
    <n v="8.0959659475669923E-2"/>
    <n v="26"/>
    <n v="892"/>
    <n v="15"/>
    <n v="15.178543931562928"/>
    <n v="13380"/>
    <n v="600"/>
    <n v="23"/>
    <n v="457"/>
    <n v="380"/>
    <n v="330"/>
    <n v="1200"/>
    <n v="1080"/>
    <n v="1200"/>
    <n v="4"/>
    <n v="2"/>
    <n v="2"/>
    <n v="4"/>
    <n v="16"/>
    <n v="242.85670290500684"/>
    <n v="3.9370078740157481"/>
    <n v="59"/>
    <n v="57307800"/>
    <n v="2.0238058575417237"/>
    <x v="0"/>
    <n v="295"/>
    <n v="446"/>
    <n v="178.4"/>
    <n v="178.4"/>
    <n v="89.2"/>
    <n v="892"/>
    <n v="28"/>
    <n v="33"/>
    <n v="78"/>
    <n v="335"/>
    <n v="474"/>
  </r>
  <r>
    <s v="18X15X13( 3 KRAFT PAPER 180 GSM 22 BF, 2 SEMI KRAFT PAPER 125 GSM 18 BF) Corrugated Box"/>
    <n v="20816"/>
    <n v="17819"/>
    <n v="17819"/>
    <n v="19121"/>
    <n v="6.8952307245815997E-2"/>
    <n v="26"/>
    <n v="736"/>
    <n v="15"/>
    <n v="15.234375"/>
    <n v="11040"/>
    <n v="600"/>
    <n v="19"/>
    <n v="457.2"/>
    <n v="381"/>
    <n v="330.2"/>
    <n v="1200"/>
    <n v="1080"/>
    <n v="1200"/>
    <n v="4"/>
    <n v="2"/>
    <n v="2"/>
    <n v="4"/>
    <n v="16"/>
    <n v="243.75"/>
    <n v="3.9370078740157481"/>
    <n v="49"/>
    <n v="57518594.639999993"/>
    <n v="2.03125"/>
    <x v="0"/>
    <n v="245"/>
    <n v="368"/>
    <n v="147.20000000000002"/>
    <n v="147.20000000000002"/>
    <n v="73.600000000000009"/>
    <n v="736.00000000000011"/>
    <n v="23"/>
    <n v="28"/>
    <n v="64"/>
    <n v="276"/>
    <n v="391"/>
  </r>
  <r>
    <s v="5 Ply Corrugated Box (size- 940x355x320 mm)-OD, (Type-1 ,B.S -14 Kg/cm2)"/>
    <n v="205779"/>
    <n v="17683.933333333331"/>
    <n v="17684"/>
    <n v="20615"/>
    <n v="6.8429911966721491E-2"/>
    <n v="26"/>
    <n v="793"/>
    <n v="15"/>
    <n v="28.282810283905786"/>
    <n v="11895"/>
    <n v="600"/>
    <n v="20"/>
    <n v="940"/>
    <n v="355"/>
    <n v="320"/>
    <n v="1200"/>
    <n v="1080"/>
    <n v="1200"/>
    <n v="4"/>
    <n v="1"/>
    <n v="3"/>
    <n v="4"/>
    <n v="12"/>
    <n v="339.39372340686941"/>
    <n v="3.9370078740157481"/>
    <n v="70"/>
    <n v="106784000"/>
    <n v="3.771041371187438"/>
    <x v="0"/>
    <n v="350"/>
    <n v="396.5"/>
    <n v="158.60000000000002"/>
    <n v="158.60000000000002"/>
    <n v="79.300000000000011"/>
    <n v="793"/>
    <n v="33"/>
    <n v="40"/>
    <n v="93"/>
    <n v="397"/>
    <n v="563"/>
  </r>
  <r>
    <s v="37X14X12.5 ( 3 KRAFT PAPER 180 GSM 22 BF, 2 SEMI KRAFT PAPER 125 GSM 18 BF) Corrugated Box"/>
    <n v="19224"/>
    <n v="10494.1"/>
    <n v="10495"/>
    <n v="13564"/>
    <n v="4.0611395956273583E-2"/>
    <n v="26"/>
    <n v="522"/>
    <n v="15"/>
    <n v="28.103298611111114"/>
    <n v="7830"/>
    <n v="600"/>
    <n v="14"/>
    <n v="939.8"/>
    <n v="355.6"/>
    <n v="317.5"/>
    <n v="1200"/>
    <n v="1080"/>
    <n v="1200"/>
    <n v="4"/>
    <n v="1"/>
    <n v="3"/>
    <n v="4"/>
    <n v="12"/>
    <n v="337.23958333333337"/>
    <n v="3.9370078740157481"/>
    <n v="46"/>
    <n v="106106239.40000001"/>
    <n v="3.7471064814814818"/>
    <x v="0"/>
    <n v="230"/>
    <n v="261"/>
    <n v="104.4"/>
    <n v="104.4"/>
    <n v="52.2"/>
    <n v="522"/>
    <n v="22"/>
    <n v="26"/>
    <n v="61"/>
    <n v="261"/>
    <n v="370"/>
  </r>
  <r>
    <s v="5 Ply Corrugated Box (size- 508x305x205 mm)-OD, (Type-1 ,B.S -14 Kg/cm2)"/>
    <n v="66682"/>
    <n v="6488.7603535353537"/>
    <n v="6489"/>
    <n v="8372"/>
    <n v="2.5109799748476345E-2"/>
    <n v="26"/>
    <n v="322"/>
    <n v="15"/>
    <n v="8.4126687350596931"/>
    <n v="4830"/>
    <n v="600"/>
    <n v="9"/>
    <n v="508"/>
    <n v="305"/>
    <n v="205"/>
    <n v="1200"/>
    <n v="1080"/>
    <n v="1200"/>
    <n v="6"/>
    <n v="2"/>
    <n v="3"/>
    <n v="6"/>
    <n v="36"/>
    <n v="302.85607446214897"/>
    <n v="3.9370078740157481"/>
    <n v="10"/>
    <n v="31762700"/>
    <n v="1.1216891646746256"/>
    <x v="0"/>
    <n v="50"/>
    <n v="161"/>
    <n v="64.400000000000006"/>
    <n v="64.400000000000006"/>
    <n v="32.200000000000003"/>
    <n v="322"/>
    <n v="4"/>
    <n v="5"/>
    <n v="13"/>
    <n v="54"/>
    <n v="76"/>
  </r>
  <r>
    <s v="CORRUGATED BOX (36 X 12 X 15 )&quot; 5 PLY"/>
    <n v="77868"/>
    <n v="5989.8461538461534"/>
    <n v="5990"/>
    <n v="7215"/>
    <n v="2.3178872013156621E-2"/>
    <n v="26"/>
    <n v="278"/>
    <n v="15"/>
    <n v="28.125000000000004"/>
    <n v="4170"/>
    <n v="600"/>
    <n v="7"/>
    <n v="914.4"/>
    <n v="304.8"/>
    <n v="381"/>
    <n v="1200"/>
    <n v="1080"/>
    <n v="1200"/>
    <n v="3"/>
    <n v="1"/>
    <n v="3"/>
    <n v="3"/>
    <n v="9"/>
    <n v="253.12500000000003"/>
    <n v="3.9370078740157481"/>
    <n v="33"/>
    <n v="106188174.72"/>
    <n v="3.7500000000000004"/>
    <x v="0"/>
    <n v="165"/>
    <n v="139"/>
    <n v="55.6"/>
    <n v="55.6"/>
    <n v="27.8"/>
    <n v="278"/>
    <n v="15"/>
    <n v="19"/>
    <n v="43"/>
    <n v="185"/>
    <n v="262"/>
  </r>
  <r>
    <s v="24X15X10 ( 3 KRAFT PAPER 180 GSM 22 BF, 2 SEMI KRAFT PAPER 125 GSM 18 BF) Corrugated Box"/>
    <n v="66718"/>
    <n v="5776.9290709290708"/>
    <n v="5777"/>
    <n v="6705"/>
    <n v="2.2354648350585277E-2"/>
    <n v="26"/>
    <n v="258"/>
    <n v="15"/>
    <n v="15.625000000000002"/>
    <n v="3870"/>
    <n v="600"/>
    <n v="7"/>
    <n v="609.6"/>
    <n v="381"/>
    <n v="254"/>
    <n v="1200"/>
    <n v="1080"/>
    <n v="1200"/>
    <n v="5"/>
    <n v="1"/>
    <n v="2"/>
    <n v="5"/>
    <n v="10"/>
    <n v="156.25000000000003"/>
    <n v="3.9370078740157481"/>
    <n v="28"/>
    <n v="58993430.399999999"/>
    <n v="2.0833333333333335"/>
    <x v="0"/>
    <n v="140"/>
    <n v="129"/>
    <n v="51.6"/>
    <n v="51.6"/>
    <n v="25.8"/>
    <n v="258"/>
    <n v="13"/>
    <n v="15"/>
    <n v="36"/>
    <n v="155"/>
    <n v="219"/>
  </r>
  <r>
    <s v="5 Ply Corrugated Box (size- 410x240x160 mm)-OD, (Type-1 ,B.S -14 Kg/cm2)"/>
    <n v="56294"/>
    <n v="5564.9238095238097"/>
    <n v="5565"/>
    <n v="7118"/>
    <n v="2.153429428267389E-2"/>
    <n v="26"/>
    <n v="274"/>
    <n v="15"/>
    <n v="4.169955846473373"/>
    <n v="4110"/>
    <n v="600"/>
    <n v="7"/>
    <n v="410"/>
    <n v="240"/>
    <n v="160"/>
    <n v="1200"/>
    <n v="1080"/>
    <n v="1200"/>
    <n v="8"/>
    <n v="2"/>
    <n v="4"/>
    <n v="8"/>
    <n v="64"/>
    <n v="266.87717417429587"/>
    <n v="3.9370078740157481"/>
    <n v="5"/>
    <n v="15744000"/>
    <n v="0.5559941128631164"/>
    <x v="0"/>
    <n v="25"/>
    <n v="137"/>
    <n v="54.800000000000004"/>
    <n v="54.800000000000004"/>
    <n v="27.400000000000002"/>
    <n v="274"/>
    <n v="2"/>
    <n v="3"/>
    <n v="6"/>
    <n v="26"/>
    <n v="37"/>
  </r>
  <r>
    <s v="20.5X16X11.5 BOX (TOP 300GSM)"/>
    <n v="52590"/>
    <n v="5407.1846153846154"/>
    <n v="5408"/>
    <n v="7524"/>
    <n v="2.0926767921060269E-2"/>
    <n v="26"/>
    <n v="290"/>
    <n v="15"/>
    <n v="16.371527777777779"/>
    <n v="4350"/>
    <n v="600"/>
    <n v="8"/>
    <n v="520.70000000000005"/>
    <n v="406.4"/>
    <n v="292.10000000000002"/>
    <n v="1200"/>
    <n v="1080"/>
    <n v="1200"/>
    <n v="4"/>
    <n v="2"/>
    <n v="2"/>
    <n v="4"/>
    <n v="16"/>
    <n v="261.94444444444446"/>
    <n v="3.9370078740157481"/>
    <n v="20"/>
    <n v="61812005.408000007"/>
    <n v="2.1828703703703707"/>
    <x v="0"/>
    <n v="100"/>
    <n v="145"/>
    <n v="58"/>
    <n v="58"/>
    <n v="29"/>
    <n v="290"/>
    <n v="9"/>
    <n v="11"/>
    <n v="25"/>
    <n v="109"/>
    <n v="154"/>
  </r>
  <r>
    <s v="3 ply, inner selflocking CB box size : 105 x 105 x 170 mm -(OD) Paper combination ( 250 VK ,22 BF X 140 VK,22BF X 250 VK ,22 BF) , B.S : 11 Kg/cm2."/>
    <n v="5006"/>
    <n v="5006"/>
    <n v="5006"/>
    <n v="5006"/>
    <n v="1.9371190867756603E-2"/>
    <n v="26"/>
    <n v="193"/>
    <n v="15"/>
    <n v="0.49641385577062497"/>
    <n v="2895"/>
    <n v="600"/>
    <n v="5"/>
    <n v="105"/>
    <n v="105"/>
    <n v="170"/>
    <n v="1200"/>
    <n v="1080"/>
    <n v="1200"/>
    <n v="7"/>
    <n v="11"/>
    <n v="10"/>
    <n v="7"/>
    <n v="770"/>
    <n v="382.23866894338124"/>
    <n v="3.9370078740157481"/>
    <n v="1"/>
    <n v="1874250"/>
    <n v="6.6188514102749993E-2"/>
    <x v="0"/>
    <n v="5"/>
    <n v="96.5"/>
    <n v="38.6"/>
    <n v="38.6"/>
    <n v="19.3"/>
    <n v="193"/>
    <n v="0"/>
    <n v="0"/>
    <n v="0"/>
    <n v="2"/>
    <n v="2"/>
  </r>
  <r>
    <s v="5 Ply Corrugated Box (size- 670x410x320 mm)-OD, (Type-1 ,B.S -14 Kg/cm2)"/>
    <n v="47263"/>
    <n v="4840.1219336219337"/>
    <n v="4841"/>
    <n v="5896"/>
    <n v="1.8732707748863306E-2"/>
    <n v="26"/>
    <n v="227"/>
    <n v="15"/>
    <n v="23.282253476142998"/>
    <n v="3405"/>
    <n v="600"/>
    <n v="6"/>
    <n v="670"/>
    <n v="410"/>
    <n v="320"/>
    <n v="1200"/>
    <n v="1080"/>
    <n v="1200"/>
    <n v="4"/>
    <n v="1"/>
    <n v="2"/>
    <n v="4"/>
    <n v="8"/>
    <n v="186.25802780914398"/>
    <n v="3.9370078740157481"/>
    <n v="30"/>
    <n v="87904000"/>
    <n v="3.1043004634857332"/>
    <x v="0"/>
    <n v="150"/>
    <n v="113.5"/>
    <n v="45.400000000000006"/>
    <n v="45.400000000000006"/>
    <n v="22.700000000000003"/>
    <n v="227"/>
    <n v="14"/>
    <n v="17"/>
    <n v="40"/>
    <n v="170"/>
    <n v="241"/>
  </r>
  <r>
    <s v="670X410X320 7 PLY 300 GM CB BOX"/>
    <n v="5781"/>
    <n v="4551"/>
    <n v="4551"/>
    <n v="4562"/>
    <n v="1.7610525297475088E-2"/>
    <n v="26"/>
    <n v="176"/>
    <n v="15"/>
    <n v="23.282253476142998"/>
    <n v="2640"/>
    <n v="600"/>
    <n v="5"/>
    <n v="670"/>
    <n v="410"/>
    <n v="320"/>
    <n v="1200"/>
    <n v="1080"/>
    <n v="1200"/>
    <n v="4"/>
    <n v="1"/>
    <n v="2"/>
    <n v="4"/>
    <n v="8"/>
    <n v="186.25802780914398"/>
    <n v="3.9370078740157481"/>
    <n v="24"/>
    <n v="87904000"/>
    <n v="3.1043004634857332"/>
    <x v="0"/>
    <n v="120"/>
    <n v="88"/>
    <n v="35.200000000000003"/>
    <n v="35.200000000000003"/>
    <n v="17.600000000000001"/>
    <n v="176"/>
    <n v="11"/>
    <n v="13"/>
    <n v="31"/>
    <n v="132"/>
    <n v="187"/>
  </r>
  <r>
    <s v="CORRUGATED BOXES 560X370X160,5PLY,25BF"/>
    <n v="54661"/>
    <n v="4481.6153846153848"/>
    <n v="4482"/>
    <n v="5455"/>
    <n v="1.7343523265937893E-2"/>
    <n v="26"/>
    <n v="210"/>
    <n v="15"/>
    <n v="8.7806387336309246"/>
    <n v="3150"/>
    <n v="600"/>
    <n v="6"/>
    <n v="560"/>
    <n v="370"/>
    <n v="160"/>
    <n v="1200"/>
    <n v="1080"/>
    <n v="1200"/>
    <n v="8"/>
    <n v="2"/>
    <n v="2"/>
    <n v="8"/>
    <n v="32"/>
    <n v="280.98043947618959"/>
    <n v="3.9370078740157481"/>
    <n v="7"/>
    <n v="33152000"/>
    <n v="1.1707518311507898"/>
    <x v="0"/>
    <n v="35"/>
    <n v="105"/>
    <n v="42"/>
    <n v="42"/>
    <n v="21"/>
    <n v="210"/>
    <n v="3"/>
    <n v="4"/>
    <n v="9"/>
    <n v="39"/>
    <n v="55"/>
  </r>
  <r>
    <s v="5 Ply Corrugated Box (size- 787x381x254 mm)-OD, (Type-1 ,B.S -14 Kg/cm2)"/>
    <n v="49876"/>
    <n v="4431.3333333333339"/>
    <n v="4432"/>
    <n v="5074"/>
    <n v="1.7150043532939925E-2"/>
    <n v="26"/>
    <n v="196"/>
    <n v="15"/>
    <n v="20.172039041994751"/>
    <n v="2940"/>
    <n v="600"/>
    <n v="5"/>
    <n v="787"/>
    <n v="381"/>
    <n v="254"/>
    <n v="1200"/>
    <n v="1080"/>
    <n v="1200"/>
    <n v="5"/>
    <n v="1"/>
    <n v="2"/>
    <n v="5"/>
    <n v="10"/>
    <n v="201.72039041994751"/>
    <n v="3.9370078740157481"/>
    <n v="21"/>
    <n v="76161138"/>
    <n v="2.6896052055993001"/>
    <x v="0"/>
    <n v="105"/>
    <n v="98"/>
    <n v="39.200000000000003"/>
    <n v="39.200000000000003"/>
    <n v="19.600000000000001"/>
    <n v="195.99999999999997"/>
    <n v="10"/>
    <n v="12"/>
    <n v="27"/>
    <n v="118"/>
    <n v="167"/>
  </r>
  <r>
    <s v="CB Box  410 x 240 x 160 mm , B.S-14 (5 Ply , Type-1)"/>
    <n v="4201"/>
    <n v="4201"/>
    <n v="4201"/>
    <n v="4201"/>
    <n v="1.625616716648931E-2"/>
    <n v="26"/>
    <n v="162"/>
    <n v="15"/>
    <n v="4.169955846473373"/>
    <n v="2430"/>
    <n v="600"/>
    <n v="5"/>
    <n v="410"/>
    <n v="240"/>
    <n v="160"/>
    <n v="1200"/>
    <n v="1080"/>
    <n v="1200"/>
    <n v="8"/>
    <n v="2"/>
    <n v="4"/>
    <n v="8"/>
    <n v="64"/>
    <n v="266.87717417429587"/>
    <n v="3.9370078740157481"/>
    <n v="3"/>
    <n v="15744000"/>
    <n v="0.5559941128631164"/>
    <x v="0"/>
    <n v="15"/>
    <n v="81"/>
    <n v="32.4"/>
    <n v="32.4"/>
    <n v="16.2"/>
    <n v="162"/>
    <n v="1"/>
    <n v="2"/>
    <n v="4"/>
    <n v="15"/>
    <n v="22"/>
  </r>
  <r>
    <s v="WHITE BOX FOR DORMAN 80X72X120  PARTNO.- 904-325"/>
    <n v="12587"/>
    <n v="4195.666666666667"/>
    <n v="4196"/>
    <n v="4794"/>
    <n v="1.6236819193189513E-2"/>
    <n v="26"/>
    <n v="185"/>
    <n v="15"/>
    <n v="0"/>
    <n v="2775"/>
    <n v="600"/>
    <n v="5"/>
    <n v="2032"/>
    <n v="1955.8"/>
    <n v="3048"/>
    <n v="2050"/>
    <n v="2000"/>
    <n v="1200"/>
    <n v="0"/>
    <n v="1"/>
    <n v="1"/>
    <n v="0"/>
    <n v="0"/>
    <n v="0"/>
    <n v="3.9370078740157481"/>
    <n v="0"/>
    <n v="12113317708.800001"/>
    <n v="0"/>
    <x v="1"/>
    <n v="0"/>
    <n v="92.5"/>
    <n v="37"/>
    <n v="37"/>
    <n v="18.5"/>
    <n v="185"/>
    <n v="0"/>
    <n v="0"/>
    <n v="0"/>
    <n v="0"/>
    <n v="0"/>
  </r>
  <r>
    <s v="BOX SIZE 20X12X8 ( BURSTING STRENGTH -14 )"/>
    <n v="5100"/>
    <n v="3975"/>
    <n v="3975"/>
    <n v="4038"/>
    <n v="1.5381638773338493E-2"/>
    <n v="26"/>
    <n v="156"/>
    <n v="15"/>
    <n v="8.3333333333333321"/>
    <n v="2340"/>
    <n v="600"/>
    <n v="4"/>
    <n v="508"/>
    <n v="304.8"/>
    <n v="203.2"/>
    <n v="1200"/>
    <n v="1080"/>
    <n v="1200"/>
    <n v="6"/>
    <n v="2"/>
    <n v="3"/>
    <n v="6"/>
    <n v="36"/>
    <n v="299.99999999999994"/>
    <n v="3.9370078740157481"/>
    <n v="5"/>
    <n v="31463162.879999995"/>
    <n v="1.1111111111111109"/>
    <x v="0"/>
    <n v="25"/>
    <n v="78"/>
    <n v="31.200000000000003"/>
    <n v="31.200000000000003"/>
    <n v="15.600000000000001"/>
    <n v="156"/>
    <n v="2"/>
    <n v="3"/>
    <n v="6"/>
    <n v="26"/>
    <n v="37"/>
  </r>
  <r>
    <s v="C.B. BOXES   22.1/2 X 13 X 7&quot;  5PLY"/>
    <n v="47379"/>
    <n v="3644.5384615384614"/>
    <n v="3645"/>
    <n v="4087"/>
    <n v="1.41046725355519E-2"/>
    <n v="26"/>
    <n v="158"/>
    <n v="15"/>
    <n v="8.7287326388888875"/>
    <n v="2370"/>
    <n v="600"/>
    <n v="4"/>
    <n v="561.33999999999992"/>
    <n v="330.2"/>
    <n v="177.8"/>
    <n v="1200"/>
    <n v="1080"/>
    <n v="1200"/>
    <n v="7"/>
    <n v="2"/>
    <n v="3"/>
    <n v="7"/>
    <n v="42"/>
    <n v="366.60677083333326"/>
    <n v="3.9370078740157481"/>
    <n v="4"/>
    <n v="32956024.410399996"/>
    <n v="1.1638310185185183"/>
    <x v="0"/>
    <n v="20"/>
    <n v="79"/>
    <n v="31.6"/>
    <n v="31.6"/>
    <n v="15.8"/>
    <n v="158"/>
    <n v="2"/>
    <n v="2"/>
    <n v="5"/>
    <n v="23"/>
    <n v="32"/>
  </r>
  <r>
    <s v="WHITE BOX FOR DORMAN 220 X 130 X 58 mm  PART NO.-904-968/969/971/972"/>
    <n v="6400"/>
    <n v="3200"/>
    <n v="3200"/>
    <n v="3200"/>
    <n v="1.2382702911869981E-2"/>
    <n v="26"/>
    <n v="124"/>
    <n v="15"/>
    <n v="0.43934976868203957"/>
    <n v="1860"/>
    <n v="600"/>
    <n v="4"/>
    <n v="220"/>
    <n v="130"/>
    <n v="58"/>
    <n v="1200"/>
    <n v="1080"/>
    <n v="1200"/>
    <n v="21"/>
    <n v="4"/>
    <n v="3"/>
    <n v="21"/>
    <n v="252"/>
    <n v="110.71614170787397"/>
    <n v="3.9370078740157481"/>
    <n v="1"/>
    <n v="1658800"/>
    <n v="5.8579969157605272E-2"/>
    <x v="0"/>
    <n v="5"/>
    <n v="62"/>
    <n v="24.8"/>
    <n v="24.8"/>
    <n v="12.4"/>
    <n v="124"/>
    <n v="0"/>
    <n v="0"/>
    <n v="1"/>
    <n v="3"/>
    <n v="4"/>
  </r>
  <r>
    <s v="5 PLY UNIVERSAL CORRUGATED BOX (760X370X180mm)"/>
    <n v="7719"/>
    <n v="3154.2272727272725"/>
    <n v="3155"/>
    <n v="4425"/>
    <n v="1.220857115217181E-2"/>
    <n v="26"/>
    <n v="171"/>
    <n v="15"/>
    <n v="13.406153780811499"/>
    <n v="2565"/>
    <n v="600"/>
    <n v="5"/>
    <n v="760"/>
    <n v="370"/>
    <n v="180"/>
    <n v="1200"/>
    <n v="1080"/>
    <n v="1200"/>
    <n v="7"/>
    <n v="1"/>
    <n v="2"/>
    <n v="7"/>
    <n v="14"/>
    <n v="187.68615293136099"/>
    <n v="3.9370078740157481"/>
    <n v="13"/>
    <n v="50616000"/>
    <n v="1.7874871707748665"/>
    <x v="0"/>
    <n v="65"/>
    <n v="85.5"/>
    <n v="34.200000000000003"/>
    <n v="34.200000000000003"/>
    <n v="17.100000000000001"/>
    <n v="171"/>
    <n v="6"/>
    <n v="7"/>
    <n v="17"/>
    <n v="73"/>
    <n v="103"/>
  </r>
  <r>
    <s v="31X15X10 ( 3 KRAFT PAPER 180 GSM 22 BF, 2 SEMI KRAFT PAPER 125 GSM 18 BF) Corrugated Box"/>
    <n v="3040"/>
    <n v="3040"/>
    <n v="3040"/>
    <n v="3040"/>
    <n v="1.1763567766276482E-2"/>
    <n v="26"/>
    <n v="117"/>
    <n v="15"/>
    <n v="20.182291666666668"/>
    <n v="1755"/>
    <n v="600"/>
    <n v="3"/>
    <n v="787.4"/>
    <n v="381"/>
    <n v="254"/>
    <n v="1200"/>
    <n v="1080"/>
    <n v="1200"/>
    <n v="5"/>
    <n v="1"/>
    <n v="2"/>
    <n v="5"/>
    <n v="10"/>
    <n v="201.82291666666669"/>
    <n v="3.9370078740157481"/>
    <n v="13"/>
    <n v="76199847.599999994"/>
    <n v="2.6909722222222223"/>
    <x v="0"/>
    <n v="65"/>
    <n v="58.5"/>
    <n v="23.400000000000002"/>
    <n v="23.400000000000002"/>
    <n v="11.700000000000001"/>
    <n v="117.00000000000001"/>
    <n v="6"/>
    <n v="7"/>
    <n v="16"/>
    <n v="70"/>
    <n v="99"/>
  </r>
  <r>
    <s v="WHITE BOX FOR DORMAN 110x90x130  PART NO.-904-128/904-129"/>
    <n v="8270"/>
    <n v="2756.6666666666665"/>
    <n v="2757"/>
    <n v="3143"/>
    <n v="1.0668472477507981E-2"/>
    <n v="26"/>
    <n v="121"/>
    <n v="15"/>
    <n v="0.34087482052916862"/>
    <n v="1815"/>
    <n v="600"/>
    <n v="4"/>
    <n v="110"/>
    <n v="90"/>
    <n v="130"/>
    <n v="1200"/>
    <n v="1080"/>
    <n v="1200"/>
    <n v="9"/>
    <n v="3"/>
    <n v="5"/>
    <n v="9"/>
    <n v="135"/>
    <n v="46.018100771437766"/>
    <n v="3.9370078740157481"/>
    <n v="1"/>
    <n v="1287000"/>
    <n v="4.5449976070555814E-2"/>
    <x v="0"/>
    <n v="5"/>
    <n v="60.5"/>
    <n v="24.200000000000003"/>
    <n v="24.200000000000003"/>
    <n v="12.100000000000001"/>
    <n v="121"/>
    <n v="0"/>
    <n v="1"/>
    <n v="1"/>
    <n v="5"/>
    <n v="7"/>
  </r>
  <r>
    <s v="Corrugated Box 5 Ply   45&quot; x 13&quot; x 12&quot;"/>
    <n v="28782"/>
    <n v="2659.2051282051279"/>
    <n v="2660"/>
    <n v="3283"/>
    <n v="1.0293121795491923E-2"/>
    <n v="26"/>
    <n v="127"/>
    <n v="15"/>
    <n v="30.46875"/>
    <n v="1905"/>
    <n v="600"/>
    <n v="4"/>
    <n v="1143"/>
    <n v="330.2"/>
    <n v="304.8"/>
    <n v="1200"/>
    <n v="1080"/>
    <n v="1200"/>
    <n v="4"/>
    <n v="1"/>
    <n v="3"/>
    <n v="4"/>
    <n v="12"/>
    <n v="365.625"/>
    <n v="3.9370078740157481"/>
    <n v="12"/>
    <n v="115037189.28"/>
    <n v="4.0625"/>
    <x v="0"/>
    <n v="60"/>
    <n v="63.5"/>
    <n v="25.400000000000002"/>
    <n v="25.400000000000002"/>
    <n v="12.700000000000001"/>
    <n v="127.00000000000001"/>
    <n v="5"/>
    <n v="6"/>
    <n v="15"/>
    <n v="64"/>
    <n v="90"/>
  </r>
  <r>
    <s v="5 Ply Corrugated Box (size- 940x355x205 mm)-OD, (Type-1 ,B.S -14 Kg/cm2)"/>
    <n v="31379"/>
    <n v="2614.9166666666665"/>
    <n v="2615"/>
    <n v="3202"/>
    <n v="1.0118990035793751E-2"/>
    <n v="26"/>
    <n v="124"/>
    <n v="15"/>
    <n v="18.118675338127144"/>
    <n v="1860"/>
    <n v="600"/>
    <n v="4"/>
    <n v="940"/>
    <n v="355"/>
    <n v="205"/>
    <n v="1200"/>
    <n v="1080"/>
    <n v="1200"/>
    <n v="6"/>
    <n v="1"/>
    <n v="3"/>
    <n v="6"/>
    <n v="18"/>
    <n v="326.13615608628857"/>
    <n v="3.9370078740157481"/>
    <n v="8"/>
    <n v="68408500"/>
    <n v="2.4158233784169525"/>
    <x v="0"/>
    <n v="40"/>
    <n v="62"/>
    <n v="24.8"/>
    <n v="24.8"/>
    <n v="12.4"/>
    <n v="124"/>
    <n v="3"/>
    <n v="4"/>
    <n v="10"/>
    <n v="41"/>
    <n v="58"/>
  </r>
  <r>
    <s v="5PLY BOX  14&quot;X14&quot;6&quot;"/>
    <n v="33094"/>
    <n v="2545.6923076923076"/>
    <n v="2546"/>
    <n v="3020"/>
    <n v="9.8519880042565542E-3"/>
    <n v="26"/>
    <n v="117"/>
    <n v="15"/>
    <n v="5.1041666666666679"/>
    <n v="1755"/>
    <n v="600"/>
    <n v="3"/>
    <n v="355.6"/>
    <n v="355.6"/>
    <n v="152.4"/>
    <n v="1200"/>
    <n v="1080"/>
    <n v="1200"/>
    <n v="8"/>
    <n v="3"/>
    <n v="3"/>
    <n v="8"/>
    <n v="72"/>
    <n v="367.50000000000011"/>
    <n v="3.9370078740157481"/>
    <n v="2"/>
    <n v="19271187.264000002"/>
    <n v="0.68055555555555569"/>
    <x v="0"/>
    <n v="10"/>
    <n v="58.5"/>
    <n v="23.400000000000002"/>
    <n v="23.400000000000002"/>
    <n v="11.700000000000001"/>
    <n v="117.00000000000001"/>
    <n v="1"/>
    <n v="1"/>
    <n v="2"/>
    <n v="10"/>
    <n v="14"/>
  </r>
  <r>
    <s v="5 Ply Corrugated Box (size- 760x370x180 mm)-OD, (Type-1 ,B.S -14 Kg/cm2)-automatic corrugated board"/>
    <n v="30076"/>
    <n v="2506.3333333333335"/>
    <n v="2507"/>
    <n v="3562"/>
    <n v="9.7010738125181389E-3"/>
    <n v="26"/>
    <n v="137"/>
    <n v="15"/>
    <n v="13.406153780811499"/>
    <n v="2055"/>
    <n v="600"/>
    <n v="4"/>
    <n v="760"/>
    <n v="370"/>
    <n v="180"/>
    <n v="1200"/>
    <n v="1080"/>
    <n v="1200"/>
    <n v="7"/>
    <n v="1"/>
    <n v="2"/>
    <n v="7"/>
    <n v="14"/>
    <n v="187.68615293136099"/>
    <n v="3.9370078740157481"/>
    <n v="11"/>
    <n v="50616000"/>
    <n v="1.7874871707748665"/>
    <x v="0"/>
    <n v="55"/>
    <n v="68.5"/>
    <n v="27.400000000000002"/>
    <n v="27.400000000000002"/>
    <n v="13.700000000000001"/>
    <n v="137"/>
    <n v="5"/>
    <n v="6"/>
    <n v="14"/>
    <n v="59"/>
    <n v="84"/>
  </r>
  <r>
    <s v="5 Ply corrugated separator (size- 745x500x7 mm), (B.S -12 Kg/cm2)-automatic corrugated board"/>
    <n v="30027"/>
    <n v="2502.25"/>
    <n v="2503"/>
    <n v="2943"/>
    <n v="9.6855954338783013E-3"/>
    <n v="26"/>
    <n v="114"/>
    <n v="15"/>
    <n v="0.69062245107211129"/>
    <n v="1710"/>
    <n v="600"/>
    <n v="3"/>
    <n v="745"/>
    <n v="500"/>
    <n v="7"/>
    <n v="1200"/>
    <n v="1080"/>
    <n v="1200"/>
    <n v="171"/>
    <n v="1"/>
    <n v="2"/>
    <n v="171"/>
    <n v="342"/>
    <n v="236.19287826666206"/>
    <n v="3.9370078740157481"/>
    <n v="1"/>
    <n v="2607500"/>
    <n v="9.2082993476281502E-2"/>
    <x v="0"/>
    <n v="5"/>
    <n v="57"/>
    <n v="22.8"/>
    <n v="22.8"/>
    <n v="11.4"/>
    <n v="114"/>
    <n v="0"/>
    <n v="0"/>
    <n v="0"/>
    <n v="2"/>
    <n v="2"/>
  </r>
  <r>
    <s v="C.B.BOX 24 X15X 10 ( 7 PLY )"/>
    <n v="27546"/>
    <n v="2461.1205128205124"/>
    <n v="2462"/>
    <n v="2827"/>
    <n v="9.5269420528199672E-3"/>
    <n v="26"/>
    <n v="109"/>
    <n v="15"/>
    <n v="15.625000000000002"/>
    <n v="1635"/>
    <n v="600"/>
    <n v="3"/>
    <n v="609.6"/>
    <n v="381"/>
    <n v="254"/>
    <n v="1200"/>
    <n v="1080"/>
    <n v="1200"/>
    <n v="5"/>
    <n v="1"/>
    <n v="2"/>
    <n v="5"/>
    <n v="10"/>
    <n v="156.25000000000003"/>
    <n v="3.9370078740157481"/>
    <n v="12"/>
    <n v="58993430.399999999"/>
    <n v="2.0833333333333335"/>
    <x v="0"/>
    <n v="60"/>
    <n v="54.5"/>
    <n v="21.8"/>
    <n v="21.8"/>
    <n v="10.9"/>
    <n v="109"/>
    <n v="5"/>
    <n v="7"/>
    <n v="15"/>
    <n v="65"/>
    <n v="92"/>
  </r>
  <r>
    <s v="CB Box 520 x 240 x 160 mm , B.S-14 (5 Ply , Type-1)"/>
    <n v="2400"/>
    <n v="2400"/>
    <n v="2400"/>
    <n v="2400"/>
    <n v="9.2870271839024868E-3"/>
    <n v="26"/>
    <n v="93"/>
    <n v="15"/>
    <n v="5.2887244882101312"/>
    <n v="1395"/>
    <n v="600"/>
    <n v="3"/>
    <n v="520"/>
    <n v="240"/>
    <n v="160"/>
    <n v="1200"/>
    <n v="1080"/>
    <n v="1200"/>
    <n v="8"/>
    <n v="2"/>
    <n v="4"/>
    <n v="8"/>
    <n v="64"/>
    <n v="338.4783672454484"/>
    <n v="3.9370078740157481"/>
    <n v="2"/>
    <n v="19968000"/>
    <n v="0.70516326509468419"/>
    <x v="0"/>
    <n v="10"/>
    <n v="46.5"/>
    <n v="18.600000000000001"/>
    <n v="18.600000000000001"/>
    <n v="9.3000000000000007"/>
    <n v="92.999999999999986"/>
    <n v="1"/>
    <n v="1"/>
    <n v="2"/>
    <n v="9"/>
    <n v="13"/>
  </r>
  <r>
    <s v="510X380X205 MM 5 PLY C. BOX"/>
    <n v="21512"/>
    <n v="2367.9807692307695"/>
    <n v="2368"/>
    <n v="3055"/>
    <n v="9.1632001547837863E-3"/>
    <n v="26"/>
    <n v="118"/>
    <n v="15"/>
    <n v="10.522622956335152"/>
    <n v="1770"/>
    <n v="600"/>
    <n v="3"/>
    <n v="510"/>
    <n v="380"/>
    <n v="205"/>
    <n v="1200"/>
    <n v="1080"/>
    <n v="1200"/>
    <n v="6"/>
    <n v="2"/>
    <n v="2"/>
    <n v="6"/>
    <n v="24"/>
    <n v="252.54295095204364"/>
    <n v="3.9370078740157481"/>
    <n v="6"/>
    <n v="39729000"/>
    <n v="1.4030163941780203"/>
    <x v="0"/>
    <n v="30"/>
    <n v="59"/>
    <n v="23.6"/>
    <n v="23.6"/>
    <n v="11.8"/>
    <n v="117.99999999999999"/>
    <n v="2"/>
    <n v="3"/>
    <n v="7"/>
    <n v="30"/>
    <n v="42"/>
  </r>
  <r>
    <s v="5 PLY CORRUGATION SEPARATOR SHEET (745x500x7mm)"/>
    <n v="4722"/>
    <n v="2361"/>
    <n v="2361"/>
    <n v="2361"/>
    <n v="9.1361129921640714E-3"/>
    <n v="26"/>
    <n v="91"/>
    <n v="15"/>
    <n v="0.69062245107211129"/>
    <n v="1365"/>
    <n v="600"/>
    <n v="3"/>
    <n v="745"/>
    <n v="500"/>
    <n v="7"/>
    <n v="1200"/>
    <n v="1080"/>
    <n v="1200"/>
    <n v="171"/>
    <n v="1"/>
    <n v="2"/>
    <n v="171"/>
    <n v="342"/>
    <n v="236.19287826666206"/>
    <n v="3.9370078740157481"/>
    <n v="1"/>
    <n v="2607500"/>
    <n v="9.2082993476281502E-2"/>
    <x v="0"/>
    <n v="5"/>
    <n v="45.5"/>
    <n v="18.2"/>
    <n v="18.2"/>
    <n v="9.1"/>
    <n v="91"/>
    <n v="0"/>
    <n v="0"/>
    <n v="0"/>
    <n v="2"/>
    <n v="2"/>
  </r>
  <r>
    <s v="CB Box 650 x 370 x 320 mm , B.S-17 (5 Ply , Type-2)"/>
    <n v="2361"/>
    <n v="2361"/>
    <n v="2361"/>
    <n v="3098"/>
    <n v="9.1361129921640714E-3"/>
    <n v="26"/>
    <n v="120"/>
    <n v="15"/>
    <n v="20.383625631643216"/>
    <n v="1800"/>
    <n v="600"/>
    <n v="3"/>
    <n v="650"/>
    <n v="370"/>
    <n v="320"/>
    <n v="1200"/>
    <n v="1080"/>
    <n v="1200"/>
    <n v="4"/>
    <n v="1"/>
    <n v="2"/>
    <n v="4"/>
    <n v="8"/>
    <n v="163.06900505314573"/>
    <n v="3.9370078740157481"/>
    <n v="16"/>
    <n v="76960000"/>
    <n v="2.717816750885762"/>
    <x v="0"/>
    <n v="80"/>
    <n v="60"/>
    <n v="24"/>
    <n v="24"/>
    <n v="12"/>
    <n v="120"/>
    <n v="8"/>
    <n v="9"/>
    <n v="21"/>
    <n v="90"/>
    <n v="128"/>
  </r>
  <r>
    <s v="C.B. BOXES   36 X 9 X 5&quot;  7 PLY (719 Gm.)"/>
    <n v="28215"/>
    <n v="2351.25"/>
    <n v="2352"/>
    <n v="3172"/>
    <n v="9.1012866402244361E-3"/>
    <n v="26"/>
    <n v="122"/>
    <n v="15"/>
    <n v="7.0312500000000009"/>
    <n v="1830"/>
    <n v="600"/>
    <n v="4"/>
    <n v="914.4"/>
    <n v="228.6"/>
    <n v="127"/>
    <n v="1200"/>
    <n v="1080"/>
    <n v="1200"/>
    <n v="9"/>
    <n v="1"/>
    <n v="4"/>
    <n v="9"/>
    <n v="36"/>
    <n v="253.12500000000003"/>
    <n v="3.9370078740157481"/>
    <n v="4"/>
    <n v="26547043.68"/>
    <n v="0.93750000000000011"/>
    <x v="0"/>
    <n v="20"/>
    <n v="61"/>
    <n v="24.400000000000002"/>
    <n v="24.400000000000002"/>
    <n v="12.200000000000001"/>
    <n v="122.00000000000001"/>
    <n v="2"/>
    <n v="2"/>
    <n v="5"/>
    <n v="20"/>
    <n v="29"/>
  </r>
  <r>
    <s v="C.B.BOX22X19X9.5&quot;  5 PLY"/>
    <n v="25187"/>
    <n v="2289.7272727272725"/>
    <n v="2290"/>
    <n v="2900"/>
    <n v="8.8613717713069556E-3"/>
    <n v="26"/>
    <n v="112"/>
    <n v="15"/>
    <n v="17.23524305555555"/>
    <n v="1680"/>
    <n v="600"/>
    <n v="3"/>
    <n v="558.79999999999995"/>
    <n v="482.59999999999997"/>
    <n v="241.29999999999998"/>
    <n v="1200"/>
    <n v="1080"/>
    <n v="1200"/>
    <n v="5"/>
    <n v="2"/>
    <n v="2"/>
    <n v="5"/>
    <n v="20"/>
    <n v="344.70486111111097"/>
    <n v="3.9370078740157481"/>
    <n v="6"/>
    <n v="65073031.143999979"/>
    <n v="2.2980324074074066"/>
    <x v="0"/>
    <n v="30"/>
    <n v="56"/>
    <n v="22.400000000000002"/>
    <n v="22.400000000000002"/>
    <n v="11.200000000000001"/>
    <n v="112.00000000000001"/>
    <n v="3"/>
    <n v="3"/>
    <n v="8"/>
    <n v="34"/>
    <n v="48"/>
  </r>
  <r>
    <s v="Corrugated Box (5Ply HSC(B.S&gt;14)&amp; 3Ply lid) Size-413*362*286mm(O.D)"/>
    <n v="6703"/>
    <n v="2234.3333333333335"/>
    <n v="2235"/>
    <n v="2442"/>
    <n v="8.6485440650091901E-3"/>
    <n v="26"/>
    <n v="94"/>
    <n v="15"/>
    <n v="11.325073537340863"/>
    <n v="1410"/>
    <n v="600"/>
    <n v="3"/>
    <n v="413"/>
    <n v="362"/>
    <n v="286"/>
    <n v="1200"/>
    <n v="1080"/>
    <n v="1200"/>
    <n v="4"/>
    <n v="2"/>
    <n v="2"/>
    <n v="4"/>
    <n v="16"/>
    <n v="181.20117659745381"/>
    <n v="3.9370078740157481"/>
    <n v="7"/>
    <n v="42758716"/>
    <n v="1.5100098049787818"/>
    <x v="0"/>
    <n v="35"/>
    <n v="47"/>
    <n v="18.8"/>
    <n v="18.8"/>
    <n v="9.4"/>
    <n v="94"/>
    <n v="3"/>
    <n v="4"/>
    <n v="8"/>
    <n v="35"/>
    <n v="50"/>
  </r>
  <r>
    <s v="30X18X8 ( 3 KRAFT PAPER 180 GSM 22 BF, 2 SEMI KRAFT PAPER 125 GSM 18 BF) Corrugated Box"/>
    <n v="22847"/>
    <n v="2168.604487179487"/>
    <n v="2169"/>
    <n v="2531"/>
    <n v="8.3931508174518721E-3"/>
    <n v="26"/>
    <n v="98"/>
    <n v="15"/>
    <n v="18.749999999999996"/>
    <n v="1470"/>
    <n v="600"/>
    <n v="3"/>
    <n v="762"/>
    <n v="457.2"/>
    <n v="203.2"/>
    <n v="1200"/>
    <n v="1080"/>
    <n v="1200"/>
    <n v="6"/>
    <n v="1"/>
    <n v="2"/>
    <n v="6"/>
    <n v="12"/>
    <n v="224.99999999999994"/>
    <n v="3.9370078740157481"/>
    <n v="9"/>
    <n v="70792116.479999989"/>
    <n v="2.4999999999999996"/>
    <x v="0"/>
    <n v="45"/>
    <n v="49"/>
    <n v="19.600000000000001"/>
    <n v="19.600000000000001"/>
    <n v="9.8000000000000007"/>
    <n v="97.999999999999986"/>
    <n v="4"/>
    <n v="5"/>
    <n v="11"/>
    <n v="49"/>
    <n v="69"/>
  </r>
  <r>
    <s v="20X17X9.5( 3 KRAFT PAPER 180 GSM 22 BF, 2 SEMI KRAFT PAPER 125 GSM 18 BF) Corrugated Box"/>
    <n v="2116"/>
    <n v="2116"/>
    <n v="2116"/>
    <n v="2116"/>
    <n v="8.1880623004740253E-3"/>
    <n v="26"/>
    <n v="82"/>
    <n v="15"/>
    <n v="14.019097222222221"/>
    <n v="1230"/>
    <n v="600"/>
    <n v="3"/>
    <n v="508"/>
    <n v="431.8"/>
    <n v="241.29999999999998"/>
    <n v="1200"/>
    <n v="1080"/>
    <n v="1200"/>
    <n v="5"/>
    <n v="2"/>
    <n v="2"/>
    <n v="5"/>
    <n v="20"/>
    <n v="280.38194444444446"/>
    <n v="3.9370078740157481"/>
    <n v="5"/>
    <n v="52930216.719999991"/>
    <n v="1.8692129629629628"/>
    <x v="0"/>
    <n v="25"/>
    <n v="41"/>
    <n v="16.400000000000002"/>
    <n v="16.400000000000002"/>
    <n v="8.2000000000000011"/>
    <n v="82.000000000000014"/>
    <n v="2"/>
    <n v="2"/>
    <n v="6"/>
    <n v="25"/>
    <n v="35"/>
  </r>
  <r>
    <s v="20X15X8 ( 3 KRAFT PAPER 180 GSM 22 BF, 2 SEMI KRAFT PAPER 125 GSM 18 BF) Corrugated Box"/>
    <n v="21670"/>
    <n v="2071.6666666666665"/>
    <n v="2072"/>
    <n v="2689"/>
    <n v="8.0178001354358139E-3"/>
    <n v="26"/>
    <n v="104"/>
    <n v="15"/>
    <n v="10.416666666666666"/>
    <n v="1560"/>
    <n v="600"/>
    <n v="3"/>
    <n v="508"/>
    <n v="381"/>
    <n v="203.2"/>
    <n v="1200"/>
    <n v="1080"/>
    <n v="1200"/>
    <n v="6"/>
    <n v="2"/>
    <n v="2"/>
    <n v="6"/>
    <n v="24"/>
    <n v="250"/>
    <n v="3.9370078740157481"/>
    <n v="5"/>
    <n v="39328953.600000001"/>
    <n v="1.3888888888888888"/>
    <x v="0"/>
    <n v="25"/>
    <n v="52"/>
    <n v="20.8"/>
    <n v="20.8"/>
    <n v="10.4"/>
    <n v="104"/>
    <n v="2"/>
    <n v="3"/>
    <n v="6"/>
    <n v="26"/>
    <n v="37"/>
  </r>
  <r>
    <s v="5 Ply Corrugated Box (size- 725x700x335 mm)-OD, (Type-2 ,B.S -17 Kg/cm2)"/>
    <n v="15764"/>
    <n v="2037.3333333333333"/>
    <n v="2038"/>
    <n v="2487"/>
    <n v="7.8862339169971946E-3"/>
    <n v="26"/>
    <n v="96"/>
    <n v="15"/>
    <n v="45.029510819903095"/>
    <n v="1440"/>
    <n v="600"/>
    <n v="3"/>
    <n v="725"/>
    <n v="700"/>
    <n v="335"/>
    <n v="1200"/>
    <n v="1080"/>
    <n v="1200"/>
    <n v="4"/>
    <n v="1"/>
    <n v="1"/>
    <n v="4"/>
    <n v="4"/>
    <n v="180.11804327961238"/>
    <n v="3.9370078740157481"/>
    <n v="26"/>
    <n v="170012500"/>
    <n v="6.0039347759870791"/>
    <x v="0"/>
    <n v="130"/>
    <n v="48"/>
    <n v="19.200000000000003"/>
    <n v="19.200000000000003"/>
    <n v="9.6000000000000014"/>
    <n v="96"/>
    <n v="12"/>
    <n v="14"/>
    <n v="34"/>
    <n v="144"/>
    <n v="204"/>
  </r>
  <r>
    <s v="5 Ply Corrugated Box (size- 508x430x320 mm)-OD, (Type-1 ,B.S -14 Kg/cm2)"/>
    <n v="23536"/>
    <n v="2024.3015151515149"/>
    <n v="2025"/>
    <n v="2417"/>
    <n v="7.8359291864177234E-3"/>
    <n v="26"/>
    <n v="93"/>
    <n v="15"/>
    <n v="18.513925916740721"/>
    <n v="1395"/>
    <n v="600"/>
    <n v="3"/>
    <n v="508"/>
    <n v="430"/>
    <n v="320"/>
    <n v="1200"/>
    <n v="1080"/>
    <n v="1200"/>
    <n v="4"/>
    <n v="2"/>
    <n v="2"/>
    <n v="4"/>
    <n v="16"/>
    <n v="296.22281466785154"/>
    <n v="3.9370078740157481"/>
    <n v="7"/>
    <n v="69900800"/>
    <n v="2.4685234555654296"/>
    <x v="0"/>
    <n v="35"/>
    <n v="46.5"/>
    <n v="18.600000000000001"/>
    <n v="18.600000000000001"/>
    <n v="9.3000000000000007"/>
    <n v="92.999999999999986"/>
    <n v="3"/>
    <n v="3"/>
    <n v="8"/>
    <n v="35"/>
    <n v="49"/>
  </r>
  <r>
    <s v="5 Ply Corrugated Box (size- 520x240x160 mm)-OD, (Type-1 ,B.S -14 Kg/cm2)"/>
    <n v="22277"/>
    <n v="1883.9166666666667"/>
    <n v="1884"/>
    <n v="2120"/>
    <n v="7.2903163393634521E-3"/>
    <n v="26"/>
    <n v="82"/>
    <n v="15"/>
    <n v="5.2887244882101312"/>
    <n v="1230"/>
    <n v="600"/>
    <n v="3"/>
    <n v="520"/>
    <n v="240"/>
    <n v="160"/>
    <n v="1200"/>
    <n v="1080"/>
    <n v="1200"/>
    <n v="8"/>
    <n v="2"/>
    <n v="4"/>
    <n v="8"/>
    <n v="64"/>
    <n v="338.4783672454484"/>
    <n v="3.9370078740157481"/>
    <n v="2"/>
    <n v="19968000"/>
    <n v="0.70516326509468419"/>
    <x v="0"/>
    <n v="10"/>
    <n v="41"/>
    <n v="16.400000000000002"/>
    <n v="16.400000000000002"/>
    <n v="8.2000000000000011"/>
    <n v="82.000000000000014"/>
    <n v="1"/>
    <n v="1"/>
    <n v="2"/>
    <n v="8"/>
    <n v="12"/>
  </r>
  <r>
    <s v="5 Ply Corrugated Box (size- 650x370x320 mm)-OD, (Type-2 ,B.S -17 Kg/cm2)"/>
    <n v="22096"/>
    <n v="1841.3333333333333"/>
    <n v="1842"/>
    <n v="2210"/>
    <n v="7.1277933636451586E-3"/>
    <n v="26"/>
    <n v="85"/>
    <n v="15"/>
    <n v="20.383625631643216"/>
    <n v="1275"/>
    <n v="600"/>
    <n v="3"/>
    <n v="650"/>
    <n v="370"/>
    <n v="320"/>
    <n v="1200"/>
    <n v="1080"/>
    <n v="1200"/>
    <n v="4"/>
    <n v="1"/>
    <n v="2"/>
    <n v="4"/>
    <n v="8"/>
    <n v="163.06900505314573"/>
    <n v="3.9370078740157481"/>
    <n v="12"/>
    <n v="76960000"/>
    <n v="2.717816750885762"/>
    <x v="0"/>
    <n v="60"/>
    <n v="42.5"/>
    <n v="17"/>
    <n v="17"/>
    <n v="8.5"/>
    <n v="85"/>
    <n v="5"/>
    <n v="6"/>
    <n v="15"/>
    <n v="64"/>
    <n v="90"/>
  </r>
  <r>
    <s v="5 Ply Corrugated Box (size- 508x305x255 mm)-OD, (Type-1 ,B.S -14 Kg/cm2)"/>
    <n v="19640"/>
    <n v="1829.0476190476193"/>
    <n v="1830"/>
    <n v="2194"/>
    <n v="7.0813582277256459E-3"/>
    <n v="26"/>
    <n v="85"/>
    <n v="15"/>
    <n v="10.464539158244984"/>
    <n v="1275"/>
    <n v="600"/>
    <n v="3"/>
    <n v="508"/>
    <n v="305"/>
    <n v="255"/>
    <n v="1200"/>
    <n v="1080"/>
    <n v="1200"/>
    <n v="5"/>
    <n v="2"/>
    <n v="3"/>
    <n v="5"/>
    <n v="30"/>
    <n v="313.93617474734953"/>
    <n v="3.9370078740157481"/>
    <n v="3"/>
    <n v="39509700"/>
    <n v="1.3952718877659978"/>
    <x v="0"/>
    <n v="15"/>
    <n v="42.5"/>
    <n v="17"/>
    <n v="17"/>
    <n v="8.5"/>
    <n v="85"/>
    <n v="1"/>
    <n v="2"/>
    <n v="4"/>
    <n v="17"/>
    <n v="24"/>
  </r>
  <r>
    <s v="Corrugated Box Size  400 X 400 X 150"/>
    <n v="22201"/>
    <n v="1780.9560439560441"/>
    <n v="1781"/>
    <n v="2030"/>
    <n v="6.8917480893876367E-3"/>
    <n v="26"/>
    <n v="79"/>
    <n v="15"/>
    <n v="6.3566400098679461"/>
    <n v="1185"/>
    <n v="600"/>
    <n v="2"/>
    <n v="400"/>
    <n v="400"/>
    <n v="150"/>
    <n v="1200"/>
    <n v="1080"/>
    <n v="1200"/>
    <n v="8"/>
    <n v="3"/>
    <n v="2"/>
    <n v="8"/>
    <n v="48"/>
    <n v="305.11872047366143"/>
    <n v="3.9370078740157481"/>
    <n v="2"/>
    <n v="24000000"/>
    <n v="0.84755200131572617"/>
    <x v="0"/>
    <n v="10"/>
    <n v="39.5"/>
    <n v="15.8"/>
    <n v="15.8"/>
    <n v="7.9"/>
    <n v="79"/>
    <n v="1"/>
    <n v="1"/>
    <n v="2"/>
    <n v="10"/>
    <n v="14"/>
  </r>
  <r>
    <s v="5 Ply Corrugated Box (size- 1090x470x240 mm)-OD, (Type-1 ,B.S -14 Kg/cm2)"/>
    <n v="19538"/>
    <n v="1750.1944444444443"/>
    <n v="1751"/>
    <n v="2191"/>
    <n v="6.7756602495888558E-3"/>
    <n v="26"/>
    <n v="85"/>
    <n v="15"/>
    <n v="32.565066770553493"/>
    <n v="1275"/>
    <n v="600"/>
    <n v="3"/>
    <n v="1090"/>
    <n v="470"/>
    <n v="240"/>
    <n v="1200"/>
    <n v="1080"/>
    <n v="1200"/>
    <n v="5"/>
    <n v="1"/>
    <n v="2"/>
    <n v="5"/>
    <n v="10"/>
    <n v="325.65066770553494"/>
    <n v="3.9370078740157481"/>
    <n v="9"/>
    <n v="122952000"/>
    <n v="4.3420089027404654"/>
    <x v="0"/>
    <n v="45"/>
    <n v="42.5"/>
    <n v="17"/>
    <n v="17"/>
    <n v="8.5"/>
    <n v="85"/>
    <n v="4"/>
    <n v="5"/>
    <n v="12"/>
    <n v="51"/>
    <n v="72"/>
  </r>
  <r>
    <s v="Corrugated Box 3 Ply Size- 18&quot;*15&quot;"/>
    <n v="19241"/>
    <n v="1749.1818181818182"/>
    <n v="1750"/>
    <n v="2003"/>
    <n v="6.7717906549288965E-3"/>
    <n v="26"/>
    <n v="78"/>
    <n v="15"/>
    <n v="17.301304133858263"/>
    <n v="1170"/>
    <n v="600"/>
    <n v="2"/>
    <n v="457.2"/>
    <n v="381"/>
    <n v="375"/>
    <n v="1200"/>
    <n v="1080"/>
    <n v="1200"/>
    <n v="3"/>
    <n v="2"/>
    <n v="2"/>
    <n v="3"/>
    <n v="12"/>
    <n v="207.61564960629914"/>
    <n v="3.9370078740157481"/>
    <n v="7"/>
    <n v="65322449.999999993"/>
    <n v="2.3068405511811019"/>
    <x v="0"/>
    <n v="35"/>
    <n v="39"/>
    <n v="15.600000000000001"/>
    <n v="15.600000000000001"/>
    <n v="7.8000000000000007"/>
    <n v="78"/>
    <n v="3"/>
    <n v="4"/>
    <n v="9"/>
    <n v="39"/>
    <n v="55"/>
  </r>
  <r>
    <s v="5 Ply Corrugated Box (size- 508x430x240 mm)-OD, (Type-1 ,B.S -14 Kg/cm2)"/>
    <n v="20478"/>
    <n v="1706.5"/>
    <n v="1707"/>
    <n v="1966"/>
    <n v="6.6053980845506436E-3"/>
    <n v="26"/>
    <n v="76"/>
    <n v="15"/>
    <n v="13.885444437555542"/>
    <n v="1140"/>
    <n v="600"/>
    <n v="2"/>
    <n v="508"/>
    <n v="430"/>
    <n v="240"/>
    <n v="1200"/>
    <n v="1080"/>
    <n v="1200"/>
    <n v="5"/>
    <n v="2"/>
    <n v="2"/>
    <n v="5"/>
    <n v="20"/>
    <n v="277.70888875111086"/>
    <n v="3.9370078740157481"/>
    <n v="4"/>
    <n v="52425600"/>
    <n v="1.8513925916740723"/>
    <x v="0"/>
    <n v="20"/>
    <n v="38"/>
    <n v="15.200000000000001"/>
    <n v="15.200000000000001"/>
    <n v="7.6000000000000005"/>
    <n v="76"/>
    <n v="2"/>
    <n v="2"/>
    <n v="5"/>
    <n v="23"/>
    <n v="32"/>
  </r>
  <r>
    <s v="5 Ply Corrugated Box (size- 560x370x180 mm)-OD, (Type-1 ,B.S -14 Kg/cm2)-automatic corrugated board"/>
    <n v="20354"/>
    <n v="1696.1666666666667"/>
    <n v="1697"/>
    <n v="2180"/>
    <n v="6.5667021379510497E-3"/>
    <n v="26"/>
    <n v="84"/>
    <n v="15"/>
    <n v="9.8782185753347882"/>
    <n v="1260"/>
    <n v="600"/>
    <n v="3"/>
    <n v="560"/>
    <n v="370"/>
    <n v="180"/>
    <n v="1200"/>
    <n v="1080"/>
    <n v="1200"/>
    <n v="7"/>
    <n v="2"/>
    <n v="2"/>
    <n v="7"/>
    <n v="28"/>
    <n v="276.59012010937408"/>
    <n v="3.9370078740157481"/>
    <n v="4"/>
    <n v="37296000"/>
    <n v="1.3170958100446384"/>
    <x v="0"/>
    <n v="20"/>
    <n v="42"/>
    <n v="16.8"/>
    <n v="16.8"/>
    <n v="8.4"/>
    <n v="84"/>
    <n v="2"/>
    <n v="2"/>
    <n v="4"/>
    <n v="18"/>
    <n v="26"/>
  </r>
  <r>
    <s v="43X18.5X9.5 ( 3 KRAFT PAPER 180 GSM 22 BF, 2 SEMI KRAFT PAPER 125 GSM 18 BF) Corrugated Box"/>
    <n v="2260"/>
    <n v="1586.5"/>
    <n v="1587"/>
    <n v="1728"/>
    <n v="6.1410467253555194E-3"/>
    <n v="26"/>
    <n v="67"/>
    <n v="15"/>
    <n v="32.800564236111114"/>
    <n v="1005"/>
    <n v="600"/>
    <n v="2"/>
    <n v="1092.2"/>
    <n v="469.9"/>
    <n v="241.29999999999998"/>
    <n v="1200"/>
    <n v="1080"/>
    <n v="1200"/>
    <n v="5"/>
    <n v="1"/>
    <n v="2"/>
    <n v="5"/>
    <n v="10"/>
    <n v="328.00564236111114"/>
    <n v="3.9370078740157481"/>
    <n v="8"/>
    <n v="123841139.41399999"/>
    <n v="4.3734085648148149"/>
    <x v="0"/>
    <n v="40"/>
    <n v="33.5"/>
    <n v="13.4"/>
    <n v="13.4"/>
    <n v="6.7"/>
    <n v="67"/>
    <n v="3"/>
    <n v="4"/>
    <n v="9"/>
    <n v="40"/>
    <n v="56"/>
  </r>
  <r>
    <s v="CB Box  660 x 380 x 160 mm , B.S-14 (5 Ply , Type-1)"/>
    <n v="1553"/>
    <n v="1553"/>
    <n v="1553"/>
    <n v="1553"/>
    <n v="6.0094805069169002E-3"/>
    <n v="26"/>
    <n v="60"/>
    <n v="15"/>
    <n v="10.628302096499207"/>
    <n v="900"/>
    <n v="600"/>
    <n v="2"/>
    <n v="660"/>
    <n v="380"/>
    <n v="160"/>
    <n v="1200"/>
    <n v="1080"/>
    <n v="1200"/>
    <n v="8"/>
    <n v="1"/>
    <n v="2"/>
    <n v="8"/>
    <n v="16"/>
    <n v="170.0528335439873"/>
    <n v="3.9370078740157481"/>
    <n v="4"/>
    <n v="40128000"/>
    <n v="1.4171069461998942"/>
    <x v="0"/>
    <n v="20"/>
    <n v="30"/>
    <n v="12"/>
    <n v="12"/>
    <n v="6"/>
    <n v="60"/>
    <n v="2"/>
    <n v="2"/>
    <n v="5"/>
    <n v="23"/>
    <n v="32"/>
  </r>
  <r>
    <s v="CORRUGATED BOXES 410X235X160,5PLY,25BF"/>
    <n v="2950"/>
    <n v="1500"/>
    <n v="1500"/>
    <n v="1510"/>
    <n v="5.8043919899390542E-3"/>
    <n v="26"/>
    <n v="59"/>
    <n v="15"/>
    <n v="4.0830817663385108"/>
    <n v="885"/>
    <n v="600"/>
    <n v="2"/>
    <n v="410"/>
    <n v="235"/>
    <n v="160"/>
    <n v="1200"/>
    <n v="1080"/>
    <n v="1200"/>
    <n v="8"/>
    <n v="2"/>
    <n v="4"/>
    <n v="8"/>
    <n v="64"/>
    <n v="261.31723304566469"/>
    <n v="3.9370078740157481"/>
    <n v="1"/>
    <n v="15416000"/>
    <n v="0.5444109021784681"/>
    <x v="0"/>
    <n v="5"/>
    <n v="29.5"/>
    <n v="11.8"/>
    <n v="11.8"/>
    <n v="5.9"/>
    <n v="58.999999999999993"/>
    <n v="0"/>
    <n v="1"/>
    <n v="1"/>
    <n v="6"/>
    <n v="8"/>
  </r>
  <r>
    <s v="3 ply, inner selflocking CB box size : 205 x 105 x 140 mm -(OD) Paper combination ( 250 VK ,22 BF X 140 VK,22BF X 250 VK ,22 BF) , B.S : 11 Kg/cm2."/>
    <n v="1495"/>
    <n v="1495"/>
    <n v="1495"/>
    <n v="1495"/>
    <n v="5.7850440166392573E-3"/>
    <n v="26"/>
    <n v="58"/>
    <n v="15"/>
    <n v="0.79815561123904399"/>
    <n v="870"/>
    <n v="600"/>
    <n v="2"/>
    <n v="205"/>
    <n v="105"/>
    <n v="140"/>
    <n v="1200"/>
    <n v="1080"/>
    <n v="1200"/>
    <n v="9"/>
    <n v="3"/>
    <n v="5"/>
    <n v="9"/>
    <n v="135"/>
    <n v="107.75100751727093"/>
    <n v="3.9370078740157481"/>
    <n v="1"/>
    <n v="3013500"/>
    <n v="0.10642074816520587"/>
    <x v="0"/>
    <n v="5"/>
    <n v="29"/>
    <n v="11.600000000000001"/>
    <n v="11.600000000000001"/>
    <n v="5.8000000000000007"/>
    <n v="58"/>
    <n v="0"/>
    <n v="0"/>
    <n v="1"/>
    <n v="3"/>
    <n v="4"/>
  </r>
  <r>
    <s v="3 ply, outer selflocking CB box size : 230 x 225 x 180 mm -(OD) Paper combination ( 250 VK ,22 BF X 140 VK,22BF X 250 VK ,22 BF) , B.S : 11 Kg/cm2."/>
    <n v="1482"/>
    <n v="1482"/>
    <n v="1482"/>
    <n v="1482"/>
    <n v="5.7347392860597852E-3"/>
    <n v="26"/>
    <n v="57"/>
    <n v="15"/>
    <n v="2.4671709038299965"/>
    <n v="855"/>
    <n v="600"/>
    <n v="2"/>
    <n v="230"/>
    <n v="225"/>
    <n v="180"/>
    <n v="1200"/>
    <n v="1080"/>
    <n v="1200"/>
    <n v="7"/>
    <n v="5"/>
    <n v="4"/>
    <n v="7"/>
    <n v="140"/>
    <n v="345.40392653619949"/>
    <n v="3.9370078740157481"/>
    <n v="1"/>
    <n v="9315000"/>
    <n v="0.32895612051066619"/>
    <x v="0"/>
    <n v="5"/>
    <n v="28.5"/>
    <n v="11.4"/>
    <n v="11.4"/>
    <n v="5.7"/>
    <n v="57"/>
    <n v="0"/>
    <n v="0"/>
    <n v="1"/>
    <n v="2"/>
    <n v="3"/>
  </r>
  <r>
    <s v="CORRUGATED BOXES  35X16X6,5-PLY,300GM"/>
    <n v="18862"/>
    <n v="1450.9230769230769"/>
    <n v="1451"/>
    <n v="1655"/>
    <n v="5.614781851601045E-3"/>
    <n v="26"/>
    <n v="64"/>
    <n v="15"/>
    <n v="14.583333333333336"/>
    <n v="960"/>
    <n v="600"/>
    <n v="2"/>
    <n v="889"/>
    <n v="406.4"/>
    <n v="152.4"/>
    <n v="1200"/>
    <n v="1080"/>
    <n v="1200"/>
    <n v="8"/>
    <n v="1"/>
    <n v="2"/>
    <n v="8"/>
    <n v="16"/>
    <n v="233.33333333333337"/>
    <n v="3.9370078740157481"/>
    <n v="5"/>
    <n v="55060535.039999999"/>
    <n v="1.9444444444444446"/>
    <x v="0"/>
    <n v="25"/>
    <n v="32"/>
    <n v="12.8"/>
    <n v="12.8"/>
    <n v="6.4"/>
    <n v="63.999999999999993"/>
    <n v="2"/>
    <n v="2"/>
    <n v="6"/>
    <n v="24"/>
    <n v="34"/>
  </r>
  <r>
    <s v="5 Ply corrugated separator  (size- 555x500x7 mm), (B.S -12 Kg/cm2)-automatic corrugated board"/>
    <n v="14462"/>
    <n v="1446.2"/>
    <n v="1447"/>
    <n v="1394"/>
    <n v="5.5993034729612074E-3"/>
    <n v="26"/>
    <n v="54"/>
    <n v="15"/>
    <n v="0.51449055079868689"/>
    <n v="810"/>
    <n v="600"/>
    <n v="2"/>
    <n v="555"/>
    <n v="500"/>
    <n v="7"/>
    <n v="1200"/>
    <n v="1080"/>
    <n v="1200"/>
    <n v="171"/>
    <n v="2"/>
    <n v="2"/>
    <n v="171"/>
    <n v="684"/>
    <n v="351.91153674630181"/>
    <n v="3.9370078740157481"/>
    <n v="1"/>
    <n v="1942500"/>
    <n v="6.8598740106491585E-2"/>
    <x v="0"/>
    <n v="5"/>
    <n v="27"/>
    <n v="10.8"/>
    <n v="10.8"/>
    <n v="5.4"/>
    <n v="53.999999999999993"/>
    <n v="0"/>
    <n v="0"/>
    <n v="0"/>
    <n v="0"/>
    <n v="0"/>
  </r>
  <r>
    <s v="560X410X160 5PLY 300GM CB BOX"/>
    <n v="13302"/>
    <n v="1445.2773892773891"/>
    <n v="1446"/>
    <n v="1764"/>
    <n v="5.5954338783012481E-3"/>
    <n v="26"/>
    <n v="68"/>
    <n v="15"/>
    <n v="9.7298969751045359"/>
    <n v="1020"/>
    <n v="600"/>
    <n v="2"/>
    <n v="560"/>
    <n v="410"/>
    <n v="160"/>
    <n v="1200"/>
    <n v="1080"/>
    <n v="1200"/>
    <n v="8"/>
    <n v="2"/>
    <n v="2"/>
    <n v="8"/>
    <n v="32"/>
    <n v="311.35670320334515"/>
    <n v="3.9370078740157481"/>
    <n v="3"/>
    <n v="36736000"/>
    <n v="1.2973195966806048"/>
    <x v="0"/>
    <n v="15"/>
    <n v="34"/>
    <n v="13.600000000000001"/>
    <n v="13.600000000000001"/>
    <n v="6.8000000000000007"/>
    <n v="68"/>
    <n v="1"/>
    <n v="1"/>
    <n v="3"/>
    <n v="13"/>
    <n v="18"/>
  </r>
  <r>
    <s v="5 PLY CORRUGATION SEPARATOR SHEET (555x500x7mm)"/>
    <n v="2825"/>
    <n v="1412.5"/>
    <n v="1413"/>
    <n v="1519"/>
    <n v="5.4677372545225891E-3"/>
    <n v="26"/>
    <n v="59"/>
    <n v="15"/>
    <n v="0.51449055079868689"/>
    <n v="885"/>
    <n v="600"/>
    <n v="2"/>
    <n v="555"/>
    <n v="500"/>
    <n v="7"/>
    <n v="1200"/>
    <n v="1080"/>
    <n v="1200"/>
    <n v="171"/>
    <n v="2"/>
    <n v="2"/>
    <n v="171"/>
    <n v="684"/>
    <n v="351.91153674630181"/>
    <n v="3.9370078740157481"/>
    <n v="1"/>
    <n v="1942500"/>
    <n v="6.8598740106491585E-2"/>
    <x v="0"/>
    <n v="5"/>
    <n v="29.5"/>
    <n v="11.8"/>
    <n v="11.8"/>
    <n v="5.9"/>
    <n v="58.999999999999993"/>
    <n v="0"/>
    <n v="0"/>
    <n v="0"/>
    <n v="1"/>
    <n v="1"/>
  </r>
  <r>
    <s v="11X15X10 ( 3 KRAFT PAPER 180 GSM 22 BF, 2 SEMI KRAFT PAPER 125 GSM 18 BF) Corrugated Box"/>
    <n v="14048"/>
    <n v="1388.4307692307693"/>
    <n v="1389"/>
    <n v="1927"/>
    <n v="5.3748669826835637E-3"/>
    <n v="26"/>
    <n v="75"/>
    <n v="15"/>
    <n v="7.1614583333333321"/>
    <n v="1125"/>
    <n v="600"/>
    <n v="2"/>
    <n v="279.39999999999998"/>
    <n v="381"/>
    <n v="254"/>
    <n v="1200"/>
    <n v="1080"/>
    <n v="1200"/>
    <n v="5"/>
    <n v="4"/>
    <n v="2"/>
    <n v="5"/>
    <n v="40"/>
    <n v="286.45833333333326"/>
    <n v="3.9370078740157481"/>
    <n v="2"/>
    <n v="27038655.599999998"/>
    <n v="0.95486111111111094"/>
    <x v="0"/>
    <n v="10"/>
    <n v="37.5"/>
    <n v="15"/>
    <n v="15"/>
    <n v="7.5"/>
    <n v="75"/>
    <n v="1"/>
    <n v="1"/>
    <n v="3"/>
    <n v="11"/>
    <n v="16"/>
  </r>
  <r>
    <s v="5 Ply Corrugated Box (size- 762x508x305 mm)-OD, (Type-1 ,B.S -14 Kg/cm2)"/>
    <n v="9452"/>
    <n v="1258.439393939394"/>
    <n v="1259"/>
    <n v="1733"/>
    <n v="4.8718196768888456E-3"/>
    <n v="26"/>
    <n v="67"/>
    <n v="15"/>
    <n v="31.270505249343834"/>
    <n v="1005"/>
    <n v="600"/>
    <n v="2"/>
    <n v="762"/>
    <n v="508"/>
    <n v="305"/>
    <n v="1200"/>
    <n v="1080"/>
    <n v="1200"/>
    <n v="4"/>
    <n v="1"/>
    <n v="2"/>
    <n v="4"/>
    <n v="8"/>
    <n v="250.16404199475068"/>
    <n v="3.9370078740157481"/>
    <n v="9"/>
    <n v="118064280"/>
    <n v="4.1694006999125115"/>
    <x v="0"/>
    <n v="45"/>
    <n v="33.5"/>
    <n v="13.4"/>
    <n v="13.4"/>
    <n v="6.7"/>
    <n v="67"/>
    <n v="4"/>
    <n v="5"/>
    <n v="12"/>
    <n v="50"/>
    <n v="71"/>
  </r>
  <r>
    <s v="7 PLY CORRUGATED BOX ( 725 x 700 x 335 mm )"/>
    <n v="1245"/>
    <n v="1245"/>
    <n v="1245"/>
    <n v="1245"/>
    <n v="4.8176453516494151E-3"/>
    <n v="26"/>
    <n v="48"/>
    <n v="15"/>
    <n v="45.029510819903095"/>
    <n v="720"/>
    <n v="600"/>
    <n v="2"/>
    <n v="725"/>
    <n v="700"/>
    <n v="335"/>
    <n v="1200"/>
    <n v="1080"/>
    <n v="1200"/>
    <n v="4"/>
    <n v="1"/>
    <n v="1"/>
    <n v="4"/>
    <n v="4"/>
    <n v="180.11804327961238"/>
    <n v="3.9370078740157481"/>
    <n v="13"/>
    <n v="170012500"/>
    <n v="6.0039347759870791"/>
    <x v="0"/>
    <n v="65"/>
    <n v="24"/>
    <n v="9.6000000000000014"/>
    <n v="9.6000000000000014"/>
    <n v="4.8000000000000007"/>
    <n v="48"/>
    <n v="6"/>
    <n v="7"/>
    <n v="17"/>
    <n v="72"/>
    <n v="102"/>
  </r>
  <r>
    <s v="Corrugated Box SIZE-38X20X10 BRUSTING-21(7 PLY)"/>
    <n v="1153"/>
    <n v="1153"/>
    <n v="1153"/>
    <n v="1153"/>
    <n v="4.4616426429331529E-3"/>
    <n v="26"/>
    <n v="45"/>
    <n v="15"/>
    <n v="32.986111111111107"/>
    <n v="675"/>
    <n v="600"/>
    <n v="2"/>
    <n v="965.19999999999993"/>
    <n v="508"/>
    <n v="254"/>
    <n v="1200"/>
    <n v="1080"/>
    <n v="1200"/>
    <n v="5"/>
    <n v="1"/>
    <n v="2"/>
    <n v="5"/>
    <n v="10"/>
    <n v="329.86111111111109"/>
    <n v="3.9370078740157481"/>
    <n v="5"/>
    <n v="124541686.39999999"/>
    <n v="4.3981481481481479"/>
    <x v="0"/>
    <n v="25"/>
    <n v="22.5"/>
    <n v="9"/>
    <n v="9"/>
    <n v="4.5"/>
    <n v="45"/>
    <n v="2"/>
    <n v="3"/>
    <n v="6"/>
    <n v="27"/>
    <n v="38"/>
  </r>
  <r>
    <s v="C.B. BOXES   26 X 7 X 4&quot;  7PLY (420 Gm.)"/>
    <n v="13580"/>
    <n v="1131.6666666666667"/>
    <n v="1132"/>
    <n v="1511"/>
    <n v="4.3803811550740058E-3"/>
    <n v="26"/>
    <n v="59"/>
    <n v="15"/>
    <n v="3.1597222222222223"/>
    <n v="885"/>
    <n v="600"/>
    <n v="2"/>
    <n v="660.4"/>
    <n v="177.8"/>
    <n v="101.6"/>
    <n v="1200"/>
    <n v="1080"/>
    <n v="1200"/>
    <n v="12"/>
    <n v="1"/>
    <n v="6"/>
    <n v="12"/>
    <n v="72"/>
    <n v="227.5"/>
    <n v="3.9370078740157481"/>
    <n v="1"/>
    <n v="11929782.592"/>
    <n v="0.42129629629629634"/>
    <x v="0"/>
    <n v="5"/>
    <n v="29.5"/>
    <n v="11.8"/>
    <n v="11.8"/>
    <n v="5.9"/>
    <n v="58.999999999999993"/>
    <n v="0"/>
    <n v="0"/>
    <n v="1"/>
    <n v="5"/>
    <n v="6"/>
  </r>
  <r>
    <s v="5 PLY UNIVERSAL CORRUGATED BOX (560x370x180mm)"/>
    <n v="2242"/>
    <n v="1121"/>
    <n v="1121"/>
    <n v="1359"/>
    <n v="4.3378156138144533E-3"/>
    <n v="26"/>
    <n v="53"/>
    <n v="15"/>
    <n v="9.8782185753347882"/>
    <n v="795"/>
    <n v="600"/>
    <n v="2"/>
    <n v="560"/>
    <n v="370"/>
    <n v="180"/>
    <n v="1200"/>
    <n v="1080"/>
    <n v="1200"/>
    <n v="7"/>
    <n v="2"/>
    <n v="2"/>
    <n v="7"/>
    <n v="28"/>
    <n v="276.59012010937408"/>
    <n v="3.9370078740157481"/>
    <n v="2"/>
    <n v="37296000"/>
    <n v="1.3170958100446384"/>
    <x v="0"/>
    <n v="10"/>
    <n v="26.5"/>
    <n v="10.600000000000001"/>
    <n v="10.600000000000001"/>
    <n v="5.3000000000000007"/>
    <n v="53"/>
    <n v="1"/>
    <n v="1"/>
    <n v="3"/>
    <n v="11"/>
    <n v="16"/>
  </r>
  <r>
    <s v="20X15X6 ( 3 KRAFT PAPER 180 GSM 22 BF, 2 SEMI KRAFT PAPER 125 GSM 18 BF) Corrugated Box"/>
    <n v="6222"/>
    <n v="1116.6363636363635"/>
    <n v="1117"/>
    <n v="1482"/>
    <n v="4.3223372351746158E-3"/>
    <n v="26"/>
    <n v="57"/>
    <n v="15"/>
    <n v="7.8125000000000009"/>
    <n v="855"/>
    <n v="600"/>
    <n v="2"/>
    <n v="508"/>
    <n v="381"/>
    <n v="152.4"/>
    <n v="1200"/>
    <n v="1080"/>
    <n v="1200"/>
    <n v="8"/>
    <n v="2"/>
    <n v="2"/>
    <n v="8"/>
    <n v="32"/>
    <n v="250.00000000000003"/>
    <n v="3.9370078740157481"/>
    <n v="2"/>
    <n v="29496715.199999999"/>
    <n v="1.0416666666666667"/>
    <x v="0"/>
    <n v="10"/>
    <n v="28.5"/>
    <n v="11.4"/>
    <n v="11.4"/>
    <n v="5.7"/>
    <n v="57"/>
    <n v="1"/>
    <n v="1"/>
    <n v="2"/>
    <n v="11"/>
    <n v="15"/>
  </r>
  <r>
    <s v="1 Cardboard separator 5 ply size 4x3.8 in feet"/>
    <n v="11157"/>
    <n v="1111.6666666666665"/>
    <n v="1112"/>
    <n v="1464"/>
    <n v="4.3029892618748188E-3"/>
    <n v="26"/>
    <n v="57"/>
    <n v="15"/>
    <n v="140.25590551181105"/>
    <n v="855"/>
    <n v="600"/>
    <n v="2"/>
    <n v="1219.2"/>
    <n v="1158.24"/>
    <n v="375"/>
    <n v="1200"/>
    <n v="1200"/>
    <n v="1200"/>
    <n v="3"/>
    <n v="1"/>
    <n v="1"/>
    <n v="3"/>
    <n v="3"/>
    <n v="420.76771653543312"/>
    <n v="3.9370078740157481"/>
    <n v="20"/>
    <n v="529547328.00000006"/>
    <n v="18.700787401574807"/>
    <x v="0"/>
    <n v="100"/>
    <n v="28.5"/>
    <n v="11.4"/>
    <n v="11.4"/>
    <n v="5.7"/>
    <n v="57"/>
    <n v="10"/>
    <n v="11"/>
    <n v="27"/>
    <n v="114"/>
    <n v="162"/>
  </r>
  <r>
    <s v="5 Ply Corrugated Box (size- 1067x330x305 mm)-OD, (Type-1 ,B.S -14 Kg/cm2)"/>
    <n v="6541"/>
    <n v="1107.8"/>
    <n v="1108"/>
    <n v="1401"/>
    <n v="4.2875108832349813E-3"/>
    <n v="26"/>
    <n v="54"/>
    <n v="15"/>
    <n v="28.444255697156411"/>
    <n v="810"/>
    <n v="600"/>
    <n v="2"/>
    <n v="1067"/>
    <n v="330"/>
    <n v="305"/>
    <n v="1200"/>
    <n v="1080"/>
    <n v="1200"/>
    <n v="4"/>
    <n v="1"/>
    <n v="3"/>
    <n v="4"/>
    <n v="12"/>
    <n v="341.33106836587694"/>
    <n v="3.9370078740157481"/>
    <n v="5"/>
    <n v="107393550"/>
    <n v="3.7925674262875213"/>
    <x v="0"/>
    <n v="25"/>
    <n v="27"/>
    <n v="10.8"/>
    <n v="10.8"/>
    <n v="5.4"/>
    <n v="53.999999999999993"/>
    <n v="2"/>
    <n v="3"/>
    <n v="6"/>
    <n v="27"/>
    <n v="38"/>
  </r>
  <r>
    <s v="CORRUGATED BOX 25X14X10&quot; 5PLY BOX"/>
    <n v="11693"/>
    <n v="1063"/>
    <n v="1063"/>
    <n v="1408"/>
    <n v="4.1133791235368096E-3"/>
    <n v="26"/>
    <n v="55"/>
    <n v="15"/>
    <n v="15.190972222222221"/>
    <n v="825"/>
    <n v="600"/>
    <n v="2"/>
    <n v="635"/>
    <n v="355.6"/>
    <n v="254"/>
    <n v="1200"/>
    <n v="1080"/>
    <n v="1200"/>
    <n v="5"/>
    <n v="1"/>
    <n v="3"/>
    <n v="5"/>
    <n v="15"/>
    <n v="227.86458333333331"/>
    <n v="3.9370078740157481"/>
    <n v="4"/>
    <n v="57354724"/>
    <n v="2.0254629629629628"/>
    <x v="0"/>
    <n v="20"/>
    <n v="27.5"/>
    <n v="11"/>
    <n v="11"/>
    <n v="5.5"/>
    <n v="55"/>
    <n v="2"/>
    <n v="2"/>
    <n v="5"/>
    <n v="22"/>
    <n v="31"/>
  </r>
  <r>
    <s v="5 Ply Corrugated Box (size- 965x508x255 mm)-OD, (Type-1 ,B.S -14 Kg/cm2)"/>
    <n v="9110"/>
    <n v="1031.1666666666667"/>
    <n v="1032"/>
    <n v="1335"/>
    <n v="3.9934216890780694E-3"/>
    <n v="26"/>
    <n v="52"/>
    <n v="15"/>
    <n v="33.10911569739806"/>
    <n v="780"/>
    <n v="600"/>
    <n v="2"/>
    <n v="965"/>
    <n v="508"/>
    <n v="255"/>
    <n v="1200"/>
    <n v="1080"/>
    <n v="1200"/>
    <n v="5"/>
    <n v="1"/>
    <n v="2"/>
    <n v="5"/>
    <n v="10"/>
    <n v="331.09115697398062"/>
    <n v="3.9370078740157481"/>
    <n v="6"/>
    <n v="125006100"/>
    <n v="4.4145487596530746"/>
    <x v="0"/>
    <n v="30"/>
    <n v="26"/>
    <n v="10.4"/>
    <n v="10.4"/>
    <n v="5.2"/>
    <n v="52"/>
    <n v="3"/>
    <n v="3"/>
    <n v="7"/>
    <n v="31"/>
    <n v="44"/>
  </r>
  <r>
    <s v="C.B. BOXES   17x7x4&quot;   5 PLY (222 Gm.)"/>
    <n v="5605"/>
    <n v="992.5"/>
    <n v="993"/>
    <n v="1168"/>
    <n v="3.8425074973396536E-3"/>
    <n v="26"/>
    <n v="45"/>
    <n v="15"/>
    <n v="2.0659722222222228"/>
    <n v="675"/>
    <n v="600"/>
    <n v="2"/>
    <n v="431.8"/>
    <n v="177.8"/>
    <n v="101.6"/>
    <n v="1200"/>
    <n v="1080"/>
    <n v="1200"/>
    <n v="12"/>
    <n v="2"/>
    <n v="5"/>
    <n v="12"/>
    <n v="120"/>
    <n v="247.91666666666674"/>
    <n v="3.9370078740157481"/>
    <n v="1"/>
    <n v="7800242.4640000006"/>
    <n v="0.27546296296296302"/>
    <x v="0"/>
    <n v="5"/>
    <n v="22.5"/>
    <n v="9"/>
    <n v="9"/>
    <n v="4.5"/>
    <n v="45"/>
    <n v="0"/>
    <n v="0"/>
    <n v="1"/>
    <n v="2"/>
    <n v="3"/>
  </r>
  <r>
    <s v="20X12X10 ( 3 KRAFT PAPER 180 GSM 22 BF, 2 SEMI KRAFT PAPER 125 GSM 18 BF) Corrugated Box"/>
    <n v="980"/>
    <n v="980"/>
    <n v="980"/>
    <n v="980"/>
    <n v="3.792202766760182E-3"/>
    <n v="26"/>
    <n v="38"/>
    <n v="15"/>
    <n v="10.416666666666666"/>
    <n v="570"/>
    <n v="600"/>
    <n v="1"/>
    <n v="508"/>
    <n v="304.8"/>
    <n v="254"/>
    <n v="1200"/>
    <n v="1080"/>
    <n v="1200"/>
    <n v="5"/>
    <n v="2"/>
    <n v="3"/>
    <n v="5"/>
    <n v="30"/>
    <n v="312.5"/>
    <n v="3.9370078740157481"/>
    <n v="2"/>
    <n v="39328953.600000001"/>
    <n v="1.3888888888888888"/>
    <x v="0"/>
    <n v="10"/>
    <n v="19"/>
    <n v="7.6000000000000005"/>
    <n v="7.6000000000000005"/>
    <n v="3.8000000000000003"/>
    <n v="38"/>
    <n v="1"/>
    <n v="1"/>
    <n v="2"/>
    <n v="8"/>
    <n v="12"/>
  </r>
  <r>
    <s v="5 Ply Corrugated Box (size- 660x380x160 mm)-OD, (Type-1 ,B.S -14 Kg/cm2)"/>
    <n v="11404"/>
    <n v="950.33333333333337"/>
    <n v="951"/>
    <n v="1124"/>
    <n v="3.6799845216213601E-3"/>
    <n v="26"/>
    <n v="44"/>
    <n v="15"/>
    <n v="10.628302096499207"/>
    <n v="660"/>
    <n v="600"/>
    <n v="2"/>
    <n v="660"/>
    <n v="380"/>
    <n v="160"/>
    <n v="1200"/>
    <n v="1080"/>
    <n v="1200"/>
    <n v="8"/>
    <n v="1"/>
    <n v="2"/>
    <n v="8"/>
    <n v="16"/>
    <n v="170.0528335439873"/>
    <n v="3.9370078740157481"/>
    <n v="3"/>
    <n v="40128000"/>
    <n v="1.4171069461998942"/>
    <x v="0"/>
    <n v="15"/>
    <n v="22"/>
    <n v="8.8000000000000007"/>
    <n v="8.8000000000000007"/>
    <n v="4.4000000000000004"/>
    <n v="44"/>
    <n v="1"/>
    <n v="2"/>
    <n v="4"/>
    <n v="17"/>
    <n v="24"/>
  </r>
  <r>
    <s v="5 Ply Corrugated Box (size- 940x355x320 mm)-OD, (Type-2 ,B.S -17 Kg/cm2)"/>
    <n v="10272"/>
    <n v="933.81818181818187"/>
    <n v="934"/>
    <n v="1191"/>
    <n v="3.6142014124020509E-3"/>
    <n v="26"/>
    <n v="46"/>
    <n v="15"/>
    <n v="28.282810283905786"/>
    <n v="690"/>
    <n v="600"/>
    <n v="2"/>
    <n v="940"/>
    <n v="355"/>
    <n v="320"/>
    <n v="1200"/>
    <n v="1080"/>
    <n v="1200"/>
    <n v="4"/>
    <n v="1"/>
    <n v="3"/>
    <n v="4"/>
    <n v="12"/>
    <n v="339.39372340686941"/>
    <n v="3.9370078740157481"/>
    <n v="5"/>
    <n v="106784000"/>
    <n v="3.771041371187438"/>
    <x v="0"/>
    <n v="25"/>
    <n v="23"/>
    <n v="9.2000000000000011"/>
    <n v="9.2000000000000011"/>
    <n v="4.6000000000000005"/>
    <n v="46.000000000000007"/>
    <n v="2"/>
    <n v="2"/>
    <n v="5"/>
    <n v="23"/>
    <n v="32"/>
  </r>
  <r>
    <s v="CORRUGATED BOX (52 x 9  x 5 )&quot;  7 PLY NET WT. 1 KG."/>
    <n v="5397"/>
    <n v="899.5"/>
    <n v="900"/>
    <n v="883"/>
    <n v="3.4826351939634325E-3"/>
    <n v="26"/>
    <n v="34"/>
    <n v="15"/>
    <n v="10.156249999999998"/>
    <n v="510"/>
    <n v="600"/>
    <n v="1"/>
    <n v="1320.8"/>
    <n v="228.6"/>
    <n v="127"/>
    <n v="1500"/>
    <n v="1080"/>
    <n v="1200"/>
    <n v="9"/>
    <n v="1"/>
    <n v="4"/>
    <n v="9"/>
    <n v="36"/>
    <n v="365.62499999999994"/>
    <n v="3.9370078740157481"/>
    <n v="1"/>
    <n v="38345729.759999998"/>
    <n v="1.3541666666666665"/>
    <x v="2"/>
    <n v="10"/>
    <n v="17"/>
    <n v="6.8000000000000007"/>
    <n v="6.8000000000000007"/>
    <n v="3.4000000000000004"/>
    <n v="34"/>
    <n v="0"/>
    <n v="1"/>
    <n v="1"/>
    <n v="6"/>
    <n v="8"/>
  </r>
  <r>
    <s v="5 Ply Corrugated Box (size- 850x380x280 mm)-OD, (Type-2 ,B.S -17 Kg/cm2)"/>
    <n v="7702"/>
    <n v="898.58333333333326"/>
    <n v="899"/>
    <n v="1129"/>
    <n v="3.4787655993034731E-3"/>
    <n v="26"/>
    <n v="44"/>
    <n v="15"/>
    <n v="23.953938437185712"/>
    <n v="660"/>
    <n v="600"/>
    <n v="2"/>
    <n v="850"/>
    <n v="380"/>
    <n v="280"/>
    <n v="1200"/>
    <n v="1080"/>
    <n v="1200"/>
    <n v="4"/>
    <n v="1"/>
    <n v="2"/>
    <n v="4"/>
    <n v="8"/>
    <n v="191.6315074974857"/>
    <n v="3.9370078740157481"/>
    <n v="6"/>
    <n v="90440000"/>
    <n v="3.1938584582914284"/>
    <x v="0"/>
    <n v="30"/>
    <n v="22"/>
    <n v="8.8000000000000007"/>
    <n v="8.8000000000000007"/>
    <n v="4.4000000000000004"/>
    <n v="44"/>
    <n v="3"/>
    <n v="3"/>
    <n v="8"/>
    <n v="33"/>
    <n v="47"/>
  </r>
  <r>
    <s v="24X15X8 ( 3 KRAFT PAPER 180 GSM 22 BF, 2 SEMI KRAFT PAPER 125 GSM 18 BF) Corrugated Box"/>
    <n v="5437"/>
    <n v="892.86666666666667"/>
    <n v="893"/>
    <n v="1093"/>
    <n v="3.4555480313437168E-3"/>
    <n v="26"/>
    <n v="43"/>
    <n v="15"/>
    <n v="12.499999999999998"/>
    <n v="645"/>
    <n v="600"/>
    <n v="2"/>
    <n v="609.6"/>
    <n v="381"/>
    <n v="203.2"/>
    <n v="1200"/>
    <n v="1080"/>
    <n v="1200"/>
    <n v="6"/>
    <n v="1"/>
    <n v="2"/>
    <n v="6"/>
    <n v="12"/>
    <n v="149.99999999999997"/>
    <n v="3.9370078740157481"/>
    <n v="4"/>
    <n v="47194744.32"/>
    <n v="1.6666666666666665"/>
    <x v="0"/>
    <n v="20"/>
    <n v="21.5"/>
    <n v="8.6"/>
    <n v="8.6"/>
    <n v="4.3"/>
    <n v="43"/>
    <n v="2"/>
    <n v="2"/>
    <n v="5"/>
    <n v="22"/>
    <n v="31"/>
  </r>
  <r>
    <s v="30X20X12  300  TOP 7 PLY GM CB BOX"/>
    <n v="879"/>
    <n v="879"/>
    <n v="879"/>
    <n v="879"/>
    <n v="3.4013737061042858E-3"/>
    <n v="26"/>
    <n v="34"/>
    <n v="15"/>
    <n v="31.250000000000004"/>
    <n v="510"/>
    <n v="600"/>
    <n v="1"/>
    <n v="762"/>
    <n v="508"/>
    <n v="304.8"/>
    <n v="1200"/>
    <n v="1080"/>
    <n v="1200"/>
    <n v="4"/>
    <n v="1"/>
    <n v="2"/>
    <n v="4"/>
    <n v="8"/>
    <n v="250.00000000000003"/>
    <n v="3.9370078740157481"/>
    <n v="5"/>
    <n v="117986860.8"/>
    <n v="4.166666666666667"/>
    <x v="0"/>
    <n v="25"/>
    <n v="17"/>
    <n v="6.8000000000000007"/>
    <n v="6.8000000000000007"/>
    <n v="3.4000000000000004"/>
    <n v="34"/>
    <n v="2"/>
    <n v="3"/>
    <n v="6"/>
    <n v="26"/>
    <n v="37"/>
  </r>
  <r>
    <s v="CORRUGATED BOX 18x15x10 ( 3 KRAFT PAPER 180 GSM 22 BF, 2 SEMI KRAFT PAPER 125 GSM 18 BF)"/>
    <n v="7411"/>
    <n v="859.85714285714289"/>
    <n v="860"/>
    <n v="1121"/>
    <n v="3.3278514075650574E-3"/>
    <n v="26"/>
    <n v="44"/>
    <n v="15"/>
    <n v="11.71875"/>
    <n v="660"/>
    <n v="600"/>
    <n v="2"/>
    <n v="457.2"/>
    <n v="381"/>
    <n v="254"/>
    <n v="1200"/>
    <n v="1080"/>
    <n v="1200"/>
    <n v="5"/>
    <n v="2"/>
    <n v="2"/>
    <n v="5"/>
    <n v="20"/>
    <n v="234.375"/>
    <n v="3.9370078740157481"/>
    <n v="3"/>
    <n v="44245072.799999997"/>
    <n v="1.5625"/>
    <x v="0"/>
    <n v="15"/>
    <n v="22"/>
    <n v="8.8000000000000007"/>
    <n v="8.8000000000000007"/>
    <n v="4.4000000000000004"/>
    <n v="44"/>
    <n v="1"/>
    <n v="1"/>
    <n v="3"/>
    <n v="13"/>
    <n v="18"/>
  </r>
  <r>
    <s v="5 Ply Corrugated Box (size- 508x305x305 mm)-OD, (Type-1 ,B.S -14 Kg/cm2)"/>
    <n v="1632"/>
    <n v="816"/>
    <n v="816"/>
    <n v="978"/>
    <n v="3.1575892425268451E-3"/>
    <n v="26"/>
    <n v="38"/>
    <n v="15"/>
    <n v="12.516409581430276"/>
    <n v="570"/>
    <n v="600"/>
    <n v="1"/>
    <n v="508"/>
    <n v="305"/>
    <n v="305"/>
    <n v="1200"/>
    <n v="1080"/>
    <n v="1200"/>
    <n v="4"/>
    <n v="2"/>
    <n v="3"/>
    <n v="4"/>
    <n v="24"/>
    <n v="300.39382995432663"/>
    <n v="3.9370078740157481"/>
    <n v="2"/>
    <n v="47256700"/>
    <n v="1.6688546108573701"/>
    <x v="0"/>
    <n v="10"/>
    <n v="19"/>
    <n v="7.6000000000000005"/>
    <n v="7.6000000000000005"/>
    <n v="3.8000000000000003"/>
    <n v="38"/>
    <n v="1"/>
    <n v="1"/>
    <n v="2"/>
    <n v="10"/>
    <n v="14"/>
  </r>
  <r>
    <s v="3 ply, outer selflocking CB box size : 225 x 225 x 160 mm -(OD) Paper combination ( 250 VK ,22 BF X 140 VK,22BF X 250 VK ,22 BF) , B.S : 11 Kg/cm2."/>
    <n v="800"/>
    <n v="800"/>
    <n v="800"/>
    <n v="800"/>
    <n v="3.0956757279674953E-3"/>
    <n v="26"/>
    <n v="31"/>
    <n v="15"/>
    <n v="2.145366003330432"/>
    <n v="465"/>
    <n v="600"/>
    <n v="1"/>
    <n v="225"/>
    <n v="225"/>
    <n v="160"/>
    <n v="1200"/>
    <n v="1080"/>
    <n v="1200"/>
    <n v="8"/>
    <n v="5"/>
    <n v="4"/>
    <n v="8"/>
    <n v="160"/>
    <n v="343.25856053286913"/>
    <n v="3.9370078740157481"/>
    <n v="1"/>
    <n v="8100000"/>
    <n v="0.28604880044405762"/>
    <x v="0"/>
    <n v="5"/>
    <n v="15.5"/>
    <n v="6.2"/>
    <n v="6.2"/>
    <n v="3.1"/>
    <n v="31"/>
    <n v="0"/>
    <n v="0"/>
    <n v="0"/>
    <n v="1"/>
    <n v="1"/>
  </r>
  <r>
    <s v="37x14x12.5  17BS(5ply) TYPE - 2"/>
    <n v="1527"/>
    <n v="763.5"/>
    <n v="764"/>
    <n v="985"/>
    <n v="2.9563703202089581E-3"/>
    <n v="26"/>
    <n v="38"/>
    <n v="15"/>
    <n v="28.103298611111114"/>
    <n v="570"/>
    <n v="600"/>
    <n v="1"/>
    <n v="939.8"/>
    <n v="355.6"/>
    <n v="317.5"/>
    <n v="1200"/>
    <n v="1080"/>
    <n v="1200"/>
    <n v="4"/>
    <n v="1"/>
    <n v="3"/>
    <n v="4"/>
    <n v="12"/>
    <n v="337.23958333333337"/>
    <n v="3.9370078740157481"/>
    <n v="4"/>
    <n v="106106239.40000001"/>
    <n v="3.7471064814814818"/>
    <x v="0"/>
    <n v="20"/>
    <n v="19"/>
    <n v="7.6000000000000005"/>
    <n v="7.6000000000000005"/>
    <n v="3.8000000000000003"/>
    <n v="38"/>
    <n v="2"/>
    <n v="2"/>
    <n v="4"/>
    <n v="19"/>
    <n v="27"/>
  </r>
  <r>
    <s v="37X14X8 ( 3 KRAFT PAPER 180 GSM 22 BF, 2 SEMI KRAFT PAPER 125 GSM 18 BF) Corrugated Box"/>
    <n v="1420"/>
    <n v="710"/>
    <n v="710"/>
    <n v="816"/>
    <n v="2.747412208571152E-3"/>
    <n v="26"/>
    <n v="32"/>
    <n v="15"/>
    <n v="17.986111111111111"/>
    <n v="480"/>
    <n v="600"/>
    <n v="1"/>
    <n v="939.8"/>
    <n v="355.6"/>
    <n v="203.2"/>
    <n v="1200"/>
    <n v="1080"/>
    <n v="1200"/>
    <n v="6"/>
    <n v="1"/>
    <n v="3"/>
    <n v="6"/>
    <n v="18"/>
    <n v="323.75"/>
    <n v="3.9370078740157481"/>
    <n v="2"/>
    <n v="67907993.215999991"/>
    <n v="2.3981481481481479"/>
    <x v="0"/>
    <n v="10"/>
    <n v="16"/>
    <n v="6.4"/>
    <n v="6.4"/>
    <n v="3.2"/>
    <n v="31.999999999999996"/>
    <n v="1"/>
    <n v="1"/>
    <n v="2"/>
    <n v="11"/>
    <n v="15"/>
  </r>
  <r>
    <s v="Corrugated separator (16.9x16.9inchx 3ply Bursting pressure required: 14kgf  ~ 17kgf. Customer cummins export"/>
    <n v="2800"/>
    <n v="700"/>
    <n v="700"/>
    <n v="800"/>
    <n v="2.7087162619715585E-3"/>
    <n v="26"/>
    <n v="31"/>
    <n v="15"/>
    <n v="18.301575828412076"/>
    <n v="465"/>
    <n v="600"/>
    <n v="1"/>
    <n v="429.26"/>
    <n v="429.26"/>
    <n v="375"/>
    <n v="1200"/>
    <n v="1080"/>
    <n v="1200"/>
    <n v="3"/>
    <n v="2"/>
    <n v="2"/>
    <n v="3"/>
    <n v="12"/>
    <n v="219.61890994094492"/>
    <n v="3.9370078740157481"/>
    <n v="3"/>
    <n v="69099055.349999994"/>
    <n v="2.4402101104549434"/>
    <x v="0"/>
    <n v="15"/>
    <n v="15.5"/>
    <n v="6.2"/>
    <n v="6.2"/>
    <n v="3.1"/>
    <n v="31"/>
    <n v="1"/>
    <n v="2"/>
    <n v="4"/>
    <n v="16"/>
    <n v="23"/>
  </r>
  <r>
    <s v="26X24X15 ( 3 KRAFT PAPER 180 GSM 22 BF, 2 SEMI KRAFT PAPER 125 GSM 18 BF) Corrugated Box"/>
    <n v="7916"/>
    <n v="675.58974358974353"/>
    <n v="676"/>
    <n v="855"/>
    <n v="2.6158459901325336E-3"/>
    <n v="26"/>
    <n v="33"/>
    <n v="15"/>
    <n v="40.625000000000007"/>
    <n v="495"/>
    <n v="600"/>
    <n v="1"/>
    <n v="660.4"/>
    <n v="609.6"/>
    <n v="381"/>
    <n v="1200"/>
    <n v="1080"/>
    <n v="1200"/>
    <n v="3"/>
    <n v="1"/>
    <n v="1"/>
    <n v="3"/>
    <n v="3"/>
    <n v="121.87500000000003"/>
    <n v="3.9370078740157481"/>
    <n v="12"/>
    <n v="153382919.04000002"/>
    <n v="5.4166666666666679"/>
    <x v="0"/>
    <n v="60"/>
    <n v="16.5"/>
    <n v="6.6000000000000005"/>
    <n v="6.6000000000000005"/>
    <n v="3.3000000000000003"/>
    <n v="33"/>
    <n v="6"/>
    <n v="7"/>
    <n v="15"/>
    <n v="66"/>
    <n v="94"/>
  </r>
  <r>
    <s v="CB Box  850 x 380 x 280 mm ,  B.S-17 (5 Ply , Type-2)"/>
    <n v="590"/>
    <n v="590"/>
    <n v="590"/>
    <n v="590"/>
    <n v="2.2830608493760278E-3"/>
    <n v="26"/>
    <n v="23"/>
    <n v="15"/>
    <n v="23.953938437185712"/>
    <n v="345"/>
    <n v="600"/>
    <n v="1"/>
    <n v="850"/>
    <n v="380"/>
    <n v="280"/>
    <n v="1200"/>
    <n v="1080"/>
    <n v="1200"/>
    <n v="4"/>
    <n v="1"/>
    <n v="2"/>
    <n v="4"/>
    <n v="8"/>
    <n v="191.6315074974857"/>
    <n v="3.9370078740157481"/>
    <n v="4"/>
    <n v="90440000"/>
    <n v="3.1938584582914284"/>
    <x v="0"/>
    <n v="20"/>
    <n v="11.5"/>
    <n v="4.6000000000000005"/>
    <n v="4.6000000000000005"/>
    <n v="2.3000000000000003"/>
    <n v="23.000000000000004"/>
    <n v="1"/>
    <n v="2"/>
    <n v="4"/>
    <n v="17"/>
    <n v="24"/>
  </r>
  <r>
    <s v="20X17X12.5( 3 KRAFT PAPER 180 GSM 22 BF, 2 SEMI KRAFT PAPER 125 GSM 18 BF) Corrugated Box"/>
    <n v="954"/>
    <n v="577"/>
    <n v="577"/>
    <n v="663"/>
    <n v="2.2327561187965562E-3"/>
    <n v="26"/>
    <n v="26"/>
    <n v="15"/>
    <n v="18.446180555555557"/>
    <n v="390"/>
    <n v="600"/>
    <n v="1"/>
    <n v="508"/>
    <n v="431.8"/>
    <n v="317.5"/>
    <n v="1200"/>
    <n v="1080"/>
    <n v="1200"/>
    <n v="4"/>
    <n v="2"/>
    <n v="2"/>
    <n v="4"/>
    <n v="16"/>
    <n v="295.13888888888891"/>
    <n v="3.9370078740157481"/>
    <n v="2"/>
    <n v="69645022"/>
    <n v="2.4594907407407409"/>
    <x v="0"/>
    <n v="10"/>
    <n v="13"/>
    <n v="5.2"/>
    <n v="5.2"/>
    <n v="2.6"/>
    <n v="26"/>
    <n v="1"/>
    <n v="1"/>
    <n v="2"/>
    <n v="10"/>
    <n v="14"/>
  </r>
  <r>
    <s v="5-ply cardboard separator (size in inch 26*26)"/>
    <n v="4037"/>
    <n v="576.71428571428567"/>
    <n v="577"/>
    <n v="757"/>
    <n v="2.2327561187965562E-3"/>
    <n v="26"/>
    <n v="30"/>
    <n v="15"/>
    <n v="43.317339238845143"/>
    <n v="450"/>
    <n v="600"/>
    <n v="1"/>
    <n v="660.4"/>
    <n v="660.4"/>
    <n v="375"/>
    <n v="1200"/>
    <n v="1080"/>
    <n v="1200"/>
    <n v="3"/>
    <n v="1"/>
    <n v="1"/>
    <n v="3"/>
    <n v="3"/>
    <n v="129.95201771653544"/>
    <n v="3.9370078740157481"/>
    <n v="11"/>
    <n v="163548060"/>
    <n v="5.7756452318460187"/>
    <x v="0"/>
    <n v="55"/>
    <n v="15"/>
    <n v="6"/>
    <n v="6"/>
    <n v="3"/>
    <n v="30"/>
    <n v="5"/>
    <n v="6"/>
    <n v="14"/>
    <n v="60"/>
    <n v="85"/>
  </r>
  <r>
    <s v="5 Ply Corrugated Box (size- 965x535x508 mm)-OD, (Type-2 ,B.S -17 Kg/cm2)"/>
    <n v="2102"/>
    <n v="555.4"/>
    <n v="556"/>
    <n v="579"/>
    <n v="2.1514946309374094E-3"/>
    <n v="26"/>
    <n v="23"/>
    <n v="15"/>
    <n v="69.464223129835148"/>
    <n v="345"/>
    <n v="600"/>
    <n v="1"/>
    <n v="965"/>
    <n v="535"/>
    <n v="508"/>
    <n v="1200"/>
    <n v="1080"/>
    <n v="1200"/>
    <n v="2"/>
    <n v="1"/>
    <n v="2"/>
    <n v="2"/>
    <n v="4"/>
    <n v="277.85689251934059"/>
    <n v="3.9370078740157481"/>
    <n v="7"/>
    <n v="262267700"/>
    <n v="9.2618964173113536"/>
    <x v="0"/>
    <n v="35"/>
    <n v="11.5"/>
    <n v="4.6000000000000005"/>
    <n v="4.6000000000000005"/>
    <n v="2.3000000000000003"/>
    <n v="23.000000000000004"/>
    <n v="3"/>
    <n v="3"/>
    <n v="8"/>
    <n v="35"/>
    <n v="49"/>
  </r>
  <r>
    <s v="15X11X7 ( 3 KRAFT PAPER 180 GSM 22 BF, 2 SEMI KRAFT PAPER 125 GSM 18 BF) Corrugated Box"/>
    <n v="4406"/>
    <n v="525.5"/>
    <n v="526"/>
    <n v="665"/>
    <n v="2.0354067911386282E-3"/>
    <n v="26"/>
    <n v="26"/>
    <n v="15"/>
    <n v="5.013020833333333"/>
    <n v="390"/>
    <n v="600"/>
    <n v="1"/>
    <n v="381"/>
    <n v="279.39999999999998"/>
    <n v="177.8"/>
    <n v="1200"/>
    <n v="1080"/>
    <n v="1200"/>
    <n v="7"/>
    <n v="3"/>
    <n v="3"/>
    <n v="7"/>
    <n v="63"/>
    <n v="315.8203125"/>
    <n v="3.9370078740157481"/>
    <n v="1"/>
    <n v="18927058.920000002"/>
    <n v="0.66840277777777779"/>
    <x v="0"/>
    <n v="5"/>
    <n v="13"/>
    <n v="5.2"/>
    <n v="5.2"/>
    <n v="2.6"/>
    <n v="26"/>
    <n v="0"/>
    <n v="0"/>
    <n v="1"/>
    <n v="2"/>
    <n v="3"/>
  </r>
  <r>
    <s v="280X270X160 5 PLY 300GM CB BOX"/>
    <n v="1637"/>
    <n v="518.77777777777783"/>
    <n v="519"/>
    <n v="529"/>
    <n v="2.0083196285189129E-3"/>
    <n v="26"/>
    <n v="21"/>
    <n v="15"/>
    <n v="3.2037465649734456"/>
    <n v="315"/>
    <n v="600"/>
    <n v="1"/>
    <n v="280"/>
    <n v="270"/>
    <n v="160"/>
    <n v="1200"/>
    <n v="1080"/>
    <n v="1200"/>
    <n v="8"/>
    <n v="4"/>
    <n v="4"/>
    <n v="8"/>
    <n v="128"/>
    <n v="410.07956031660103"/>
    <n v="3.9370078740157481"/>
    <n v="1"/>
    <n v="12096000"/>
    <n v="0.42716620866312605"/>
    <x v="0"/>
    <n v="5"/>
    <n v="10.5"/>
    <n v="4.2"/>
    <n v="4.2"/>
    <n v="2.1"/>
    <n v="21"/>
    <n v="0"/>
    <n v="0"/>
    <n v="0"/>
    <n v="1"/>
    <n v="1"/>
  </r>
  <r>
    <s v="CB Box  280 x 240 x 160 mm , B.S-14 (5 Ply , Type-1)"/>
    <n v="5539"/>
    <n v="461.58333333333331"/>
    <n v="462"/>
    <n v="612"/>
    <n v="1.7877527329012285E-3"/>
    <n v="26"/>
    <n v="24"/>
    <n v="15"/>
    <n v="2.8477747244208396"/>
    <n v="360"/>
    <n v="600"/>
    <n v="1"/>
    <n v="280"/>
    <n v="240"/>
    <n v="160"/>
    <n v="1200"/>
    <n v="1080"/>
    <n v="1200"/>
    <n v="8"/>
    <n v="4"/>
    <n v="4"/>
    <n v="8"/>
    <n v="128"/>
    <n v="364.51516472586746"/>
    <n v="3.9370078740157481"/>
    <n v="1"/>
    <n v="10752000"/>
    <n v="0.37970329658944529"/>
    <x v="0"/>
    <n v="5"/>
    <n v="12"/>
    <n v="4.8000000000000007"/>
    <n v="4.8000000000000007"/>
    <n v="2.4000000000000004"/>
    <n v="24"/>
    <n v="0"/>
    <n v="0"/>
    <n v="0"/>
    <n v="1"/>
    <n v="1"/>
  </r>
  <r>
    <s v="37X14X10 ( 3 KRAFT PAPER 180 GSM 22 BF, 2 SEMI KRAFT PAPER 125 GSM 18 BF) Corrugated Box"/>
    <n v="868"/>
    <n v="434"/>
    <n v="434"/>
    <n v="516"/>
    <n v="1.6794040824223663E-3"/>
    <n v="26"/>
    <n v="20"/>
    <n v="15"/>
    <n v="22.482638888888889"/>
    <n v="300"/>
    <n v="600"/>
    <n v="1"/>
    <n v="939.8"/>
    <n v="355.6"/>
    <n v="254"/>
    <n v="1200"/>
    <n v="1080"/>
    <n v="1200"/>
    <n v="5"/>
    <n v="1"/>
    <n v="3"/>
    <n v="5"/>
    <n v="15"/>
    <n v="337.23958333333331"/>
    <n v="3.9370078740157481"/>
    <n v="2"/>
    <n v="84884991.519999996"/>
    <n v="2.9976851851851851"/>
    <x v="0"/>
    <n v="10"/>
    <n v="10"/>
    <n v="4"/>
    <n v="4"/>
    <n v="2"/>
    <n v="20"/>
    <n v="1"/>
    <n v="1"/>
    <n v="2"/>
    <n v="8"/>
    <n v="12"/>
  </r>
  <r>
    <s v="Corrugated BOX 20 x 22 x 9 7PLY"/>
    <n v="428"/>
    <n v="428"/>
    <n v="428"/>
    <n v="428"/>
    <n v="1.6561865144626101E-3"/>
    <n v="26"/>
    <n v="17"/>
    <n v="15"/>
    <n v="17.1875"/>
    <n v="255"/>
    <n v="600"/>
    <n v="1"/>
    <n v="508"/>
    <n v="558.79999999999995"/>
    <n v="228.6"/>
    <n v="1200"/>
    <n v="1080"/>
    <n v="1200"/>
    <n v="5"/>
    <n v="2"/>
    <n v="1"/>
    <n v="5"/>
    <n v="10"/>
    <n v="171.875"/>
    <n v="3.9370078740157481"/>
    <n v="2"/>
    <n v="64892773.43999999"/>
    <n v="2.2916666666666665"/>
    <x v="0"/>
    <n v="10"/>
    <n v="8.5"/>
    <n v="3.4000000000000004"/>
    <n v="3.4000000000000004"/>
    <n v="1.7000000000000002"/>
    <n v="17"/>
    <n v="1"/>
    <n v="1"/>
    <n v="2"/>
    <n v="10"/>
    <n v="14"/>
  </r>
  <r>
    <s v="CORRAGATED BOX  41.5X7.5X7"/>
    <n v="854"/>
    <n v="427"/>
    <n v="427"/>
    <n v="511"/>
    <n v="1.6523169198026507E-3"/>
    <n v="26"/>
    <n v="20"/>
    <n v="15"/>
    <n v="9.4563802083333357"/>
    <n v="300"/>
    <n v="600"/>
    <n v="1"/>
    <n v="1054.1000000000001"/>
    <n v="190.5"/>
    <n v="177.8"/>
    <n v="1200"/>
    <n v="1080"/>
    <n v="1200"/>
    <n v="7"/>
    <n v="1"/>
    <n v="5"/>
    <n v="7"/>
    <n v="35"/>
    <n v="330.97330729166674"/>
    <n v="3.9370078740157481"/>
    <n v="1"/>
    <n v="35703315.690000005"/>
    <n v="1.2608506944444446"/>
    <x v="0"/>
    <n v="5"/>
    <n v="10"/>
    <n v="4"/>
    <n v="4"/>
    <n v="2"/>
    <n v="20"/>
    <n v="0"/>
    <n v="0"/>
    <n v="1"/>
    <n v="3"/>
    <n v="4"/>
  </r>
  <r>
    <s v="7 PLY CORRUGATED BOXS 20 x 17 x 12.5"/>
    <n v="850"/>
    <n v="425"/>
    <n v="425"/>
    <n v="538"/>
    <n v="1.644577730482732E-3"/>
    <n v="26"/>
    <n v="21"/>
    <n v="15"/>
    <n v="18.446180555555557"/>
    <n v="315"/>
    <n v="600"/>
    <n v="1"/>
    <n v="508"/>
    <n v="431.8"/>
    <n v="317.5"/>
    <n v="1200"/>
    <n v="1080"/>
    <n v="1200"/>
    <n v="4"/>
    <n v="2"/>
    <n v="2"/>
    <n v="4"/>
    <n v="16"/>
    <n v="295.13888888888891"/>
    <n v="3.9370078740157481"/>
    <n v="2"/>
    <n v="69645022"/>
    <n v="2.4594907407407409"/>
    <x v="0"/>
    <n v="10"/>
    <n v="10.5"/>
    <n v="4.2"/>
    <n v="4.2"/>
    <n v="2.1"/>
    <n v="21"/>
    <n v="1"/>
    <n v="1"/>
    <n v="2"/>
    <n v="8"/>
    <n v="12"/>
  </r>
  <r>
    <s v="CB box : 560 x 370 x 190 mm (OD with lid) 5 ply HSC (B.S-14kg/cm2) &amp; 3ply lid (B.S-10-12kg/cm2)"/>
    <n v="411"/>
    <n v="411"/>
    <n v="411"/>
    <n v="411"/>
    <n v="1.5904034052433007E-3"/>
    <n v="26"/>
    <n v="16"/>
    <n v="15"/>
    <n v="10.427008496186721"/>
    <n v="240"/>
    <n v="600"/>
    <n v="1"/>
    <n v="560"/>
    <n v="370"/>
    <n v="190"/>
    <n v="1200"/>
    <n v="1080"/>
    <n v="1200"/>
    <n v="6"/>
    <n v="2"/>
    <n v="2"/>
    <n v="6"/>
    <n v="24"/>
    <n v="250.24820390848129"/>
    <n v="3.9370078740157481"/>
    <n v="1"/>
    <n v="39368000"/>
    <n v="1.3902677994915629"/>
    <x v="0"/>
    <n v="5"/>
    <n v="8"/>
    <n v="3.2"/>
    <n v="3.2"/>
    <n v="1.6"/>
    <n v="15.999999999999998"/>
    <n v="0"/>
    <n v="0"/>
    <n v="1"/>
    <n v="4"/>
    <n v="5"/>
  </r>
  <r>
    <s v="5 PLY CORRUGATED BOX  ( 660 x 380 x 180 mm)"/>
    <n v="3243"/>
    <n v="405.375"/>
    <n v="406"/>
    <n v="468"/>
    <n v="1.571055431943504E-3"/>
    <n v="26"/>
    <n v="18"/>
    <n v="15"/>
    <n v="11.956839858561606"/>
    <n v="270"/>
    <n v="600"/>
    <n v="1"/>
    <n v="660"/>
    <n v="380"/>
    <n v="180"/>
    <n v="1200"/>
    <n v="1080"/>
    <n v="1200"/>
    <n v="7"/>
    <n v="1"/>
    <n v="2"/>
    <n v="7"/>
    <n v="14"/>
    <n v="167.39575801986248"/>
    <n v="3.9370078740157481"/>
    <n v="2"/>
    <n v="45144000"/>
    <n v="1.5942453144748809"/>
    <x v="0"/>
    <n v="10"/>
    <n v="9"/>
    <n v="3.6"/>
    <n v="3.6"/>
    <n v="1.8"/>
    <n v="18"/>
    <n v="1"/>
    <n v="1"/>
    <n v="2"/>
    <n v="8"/>
    <n v="12"/>
  </r>
  <r>
    <s v="CB Box 750 x 460 x 200 mm , B.S-17 (5 Ply , Type-2)"/>
    <n v="395"/>
    <n v="395"/>
    <n v="395"/>
    <n v="395"/>
    <n v="1.5284898906839509E-3"/>
    <n v="26"/>
    <n v="16"/>
    <n v="15"/>
    <n v="18.275340028370344"/>
    <n v="240"/>
    <n v="600"/>
    <n v="1"/>
    <n v="750"/>
    <n v="460"/>
    <n v="200"/>
    <n v="1200"/>
    <n v="1080"/>
    <n v="1200"/>
    <n v="6"/>
    <n v="1"/>
    <n v="2"/>
    <n v="6"/>
    <n v="12"/>
    <n v="219.30408034044413"/>
    <n v="3.9370078740157481"/>
    <n v="2"/>
    <n v="69000000"/>
    <n v="2.4367120037827128"/>
    <x v="0"/>
    <n v="10"/>
    <n v="8"/>
    <n v="3.2"/>
    <n v="3.2"/>
    <n v="1.6"/>
    <n v="15.999999999999998"/>
    <n v="1"/>
    <n v="1"/>
    <n v="2"/>
    <n v="8"/>
    <n v="12"/>
  </r>
  <r>
    <s v="CORRUGATED BOX   840x520x280 (For GM)"/>
    <n v="3797"/>
    <n v="379.7"/>
    <n v="380"/>
    <n v="380"/>
    <n v="1.4704459707845603E-3"/>
    <n v="26"/>
    <n v="15"/>
    <n v="15"/>
    <n v="32.393437490287063"/>
    <n v="225"/>
    <n v="600"/>
    <n v="1"/>
    <n v="840"/>
    <n v="520"/>
    <n v="280"/>
    <n v="1200"/>
    <n v="1080"/>
    <n v="1200"/>
    <n v="4"/>
    <n v="1"/>
    <n v="2"/>
    <n v="4"/>
    <n v="8"/>
    <n v="259.1474999222965"/>
    <n v="3.9370078740157481"/>
    <n v="2"/>
    <n v="122304000"/>
    <n v="4.3191249987049414"/>
    <x v="0"/>
    <n v="10"/>
    <n v="7.5"/>
    <n v="3"/>
    <n v="3"/>
    <n v="1.5"/>
    <n v="15"/>
    <n v="1"/>
    <n v="1"/>
    <n v="3"/>
    <n v="11"/>
    <n v="16"/>
  </r>
  <r>
    <s v="CORRUGATED BOX (60 X 22 X 20 )&quot;  7 PLY"/>
    <n v="380"/>
    <n v="380"/>
    <n v="380"/>
    <n v="461"/>
    <n v="1.4704459707845603E-3"/>
    <n v="26"/>
    <n v="18"/>
    <n v="15"/>
    <n v="114.58333333333331"/>
    <n v="270"/>
    <n v="600"/>
    <n v="1"/>
    <n v="1524"/>
    <n v="558.79999999999995"/>
    <n v="508"/>
    <n v="1500"/>
    <n v="1080"/>
    <n v="1200"/>
    <n v="2"/>
    <n v="1"/>
    <n v="1"/>
    <n v="2"/>
    <n v="2"/>
    <n v="229.16666666666663"/>
    <n v="3.9370078740157481"/>
    <n v="10"/>
    <n v="432618489.59999996"/>
    <n v="15.277777777777775"/>
    <x v="2"/>
    <n v="100"/>
    <n v="9"/>
    <n v="3.6"/>
    <n v="3.6"/>
    <n v="1.8"/>
    <n v="18"/>
    <n v="5"/>
    <n v="5"/>
    <n v="13"/>
    <n v="54"/>
    <n v="77"/>
  </r>
  <r>
    <s v="Corrugated box (L:442*B:442*H:216mm) 5ply, Bursting pressure required: 14kgf  ~ 17kgf, Customer cummins export"/>
    <n v="1489"/>
    <n v="372.25"/>
    <n v="373"/>
    <n v="483"/>
    <n v="1.4433588081648448E-3"/>
    <n v="26"/>
    <n v="19"/>
    <n v="15"/>
    <n v="11.176727569990575"/>
    <n v="285"/>
    <n v="600"/>
    <n v="1"/>
    <n v="442"/>
    <n v="442"/>
    <n v="216"/>
    <n v="1200"/>
    <n v="1080"/>
    <n v="1200"/>
    <n v="6"/>
    <n v="2"/>
    <n v="2"/>
    <n v="6"/>
    <n v="24"/>
    <n v="268.24146167977381"/>
    <n v="3.9370078740157481"/>
    <n v="1"/>
    <n v="42198624"/>
    <n v="1.49023034266541"/>
    <x v="0"/>
    <n v="5"/>
    <n v="9.5"/>
    <n v="3.8000000000000003"/>
    <n v="3.8000000000000003"/>
    <n v="1.9000000000000001"/>
    <n v="19"/>
    <n v="0"/>
    <n v="0"/>
    <n v="1"/>
    <n v="5"/>
    <n v="6"/>
  </r>
  <r>
    <s v="CB box : 1015 x 230 x 125 mm  (OD ) 5 ply, Type-1  , (B.S-14kg/cm2)"/>
    <n v="1008"/>
    <n v="336"/>
    <n v="336"/>
    <n v="355"/>
    <n v="1.300183805746348E-3"/>
    <n v="26"/>
    <n v="14"/>
    <n v="15"/>
    <n v="7.7289458869982921"/>
    <n v="210"/>
    <n v="600"/>
    <n v="1"/>
    <n v="1015"/>
    <n v="230"/>
    <n v="125"/>
    <n v="1200"/>
    <n v="1080"/>
    <n v="1200"/>
    <n v="10"/>
    <n v="1"/>
    <n v="4"/>
    <n v="10"/>
    <n v="40"/>
    <n v="309.15783547993169"/>
    <n v="3.9370078740157481"/>
    <n v="1"/>
    <n v="29181250"/>
    <n v="1.0305261182664389"/>
    <x v="0"/>
    <n v="5"/>
    <n v="7"/>
    <n v="2.8000000000000003"/>
    <n v="2.8000000000000003"/>
    <n v="1.4000000000000001"/>
    <n v="14.000000000000002"/>
    <n v="0"/>
    <n v="0"/>
    <n v="0"/>
    <n v="2"/>
    <n v="2"/>
  </r>
  <r>
    <s v="CB Box:370x370x175mm 5ply (B.S-14kg/cm2)"/>
    <n v="630"/>
    <n v="315"/>
    <n v="315"/>
    <n v="323"/>
    <n v="1.2189223178872013E-3"/>
    <n v="26"/>
    <n v="13"/>
    <n v="15"/>
    <n v="6.3453834598504715"/>
    <n v="195"/>
    <n v="600"/>
    <n v="1"/>
    <n v="370"/>
    <n v="370"/>
    <n v="175"/>
    <n v="1200"/>
    <n v="1080"/>
    <n v="1200"/>
    <n v="7"/>
    <n v="3"/>
    <n v="2"/>
    <n v="7"/>
    <n v="42"/>
    <n v="266.50610531371979"/>
    <n v="3.9370078740157481"/>
    <n v="1"/>
    <n v="23957500"/>
    <n v="0.84605112798006288"/>
    <x v="0"/>
    <n v="5"/>
    <n v="6.5"/>
    <n v="2.6"/>
    <n v="2.6"/>
    <n v="1.3"/>
    <n v="13"/>
    <n v="0"/>
    <n v="0"/>
    <n v="0"/>
    <n v="2"/>
    <n v="2"/>
  </r>
  <r>
    <s v="13X8X5 ( 3 KRAFT PAPER 180 GSM 22 BF, 2 SEMI KRAFT PAPER 125 GSM 18 BF) Corrugated Box"/>
    <n v="300"/>
    <n v="300"/>
    <n v="300"/>
    <n v="400"/>
    <n v="1.1608783979878108E-3"/>
    <n v="26"/>
    <n v="16"/>
    <n v="15"/>
    <n v="2.2569444444444446"/>
    <n v="240"/>
    <n v="600"/>
    <n v="1"/>
    <n v="330.2"/>
    <n v="203.2"/>
    <n v="127"/>
    <n v="1200"/>
    <n v="1080"/>
    <n v="1200"/>
    <n v="9"/>
    <n v="3"/>
    <n v="5"/>
    <n v="9"/>
    <n v="135"/>
    <n v="304.6875"/>
    <n v="3.9370078740157481"/>
    <n v="1"/>
    <n v="8521273.2799999993"/>
    <n v="0.30092592592592593"/>
    <x v="0"/>
    <n v="5"/>
    <n v="8"/>
    <n v="3.2"/>
    <n v="3.2"/>
    <n v="1.6"/>
    <n v="15.999999999999998"/>
    <n v="0"/>
    <n v="0"/>
    <n v="0"/>
    <n v="1"/>
    <n v="1"/>
  </r>
  <r>
    <s v="20X12X8 7 PLY 300 TOP GM CB BOX"/>
    <n v="300"/>
    <n v="300"/>
    <n v="300"/>
    <n v="300"/>
    <n v="1.1608783979878108E-3"/>
    <n v="26"/>
    <n v="12"/>
    <n v="15"/>
    <n v="8.3333333333333321"/>
    <n v="180"/>
    <n v="600"/>
    <n v="1"/>
    <n v="508"/>
    <n v="304.8"/>
    <n v="203.2"/>
    <n v="1200"/>
    <n v="1080"/>
    <n v="1200"/>
    <n v="6"/>
    <n v="2"/>
    <n v="3"/>
    <n v="6"/>
    <n v="36"/>
    <n v="299.99999999999994"/>
    <n v="3.9370078740157481"/>
    <n v="1"/>
    <n v="31463162.879999995"/>
    <n v="1.1111111111111109"/>
    <x v="0"/>
    <n v="5"/>
    <n v="6"/>
    <n v="2.4000000000000004"/>
    <n v="2.4000000000000004"/>
    <n v="1.2000000000000002"/>
    <n v="12"/>
    <n v="0"/>
    <n v="0"/>
    <n v="0"/>
    <n v="2"/>
    <n v="2"/>
  </r>
  <r>
    <s v="5 Ply  Corrugated Box (size- 508x430x190 mm)-OD, (Type-1 ,B.S -14 Kg/cm2)"/>
    <n v="600"/>
    <n v="300"/>
    <n v="300"/>
    <n v="300"/>
    <n v="1.1608783979878108E-3"/>
    <n v="26"/>
    <n v="12"/>
    <n v="15"/>
    <n v="10.992643513064806"/>
    <n v="180"/>
    <n v="600"/>
    <n v="1"/>
    <n v="508"/>
    <n v="430"/>
    <n v="190"/>
    <n v="1200"/>
    <n v="1080"/>
    <n v="1200"/>
    <n v="6"/>
    <n v="2"/>
    <n v="2"/>
    <n v="6"/>
    <n v="24"/>
    <n v="263.82344431355534"/>
    <n v="3.9370078740157481"/>
    <n v="1"/>
    <n v="41503600"/>
    <n v="1.465685801741974"/>
    <x v="0"/>
    <n v="5"/>
    <n v="6"/>
    <n v="2.4000000000000004"/>
    <n v="2.4000000000000004"/>
    <n v="1.2000000000000002"/>
    <n v="12"/>
    <n v="0"/>
    <n v="0"/>
    <n v="1"/>
    <n v="3"/>
    <n v="4"/>
  </r>
  <r>
    <s v="C.B. BOXES   42 X 13 X 12&quot;   7PLY"/>
    <n v="296"/>
    <n v="296"/>
    <n v="296"/>
    <n v="296"/>
    <n v="1.1454000193479733E-3"/>
    <n v="26"/>
    <n v="12"/>
    <n v="15"/>
    <n v="28.437500000000004"/>
    <n v="180"/>
    <n v="600"/>
    <n v="1"/>
    <n v="1066.8"/>
    <n v="330.2"/>
    <n v="304.8"/>
    <n v="1200"/>
    <n v="1080"/>
    <n v="1200"/>
    <n v="4"/>
    <n v="1"/>
    <n v="3"/>
    <n v="4"/>
    <n v="12"/>
    <n v="341.25000000000006"/>
    <n v="3.9370078740157481"/>
    <n v="2"/>
    <n v="107368043.32799999"/>
    <n v="3.791666666666667"/>
    <x v="0"/>
    <n v="10"/>
    <n v="6"/>
    <n v="2.4000000000000004"/>
    <n v="2.4000000000000004"/>
    <n v="1.2000000000000002"/>
    <n v="12"/>
    <n v="1"/>
    <n v="1"/>
    <n v="1"/>
    <n v="6"/>
    <n v="9"/>
  </r>
  <r>
    <s v="Corrugated Box 38 X 21 X 20&quot; , 7Ply"/>
    <n v="295"/>
    <n v="295"/>
    <n v="295"/>
    <n v="295"/>
    <n v="1.1415304246880139E-3"/>
    <n v="26"/>
    <n v="12"/>
    <n v="15"/>
    <n v="69.270833333333314"/>
    <n v="180"/>
    <n v="600"/>
    <n v="1"/>
    <n v="965.19999999999993"/>
    <n v="533.4"/>
    <n v="508"/>
    <n v="1200"/>
    <n v="1080"/>
    <n v="1200"/>
    <n v="2"/>
    <n v="1"/>
    <n v="2"/>
    <n v="2"/>
    <n v="4"/>
    <n v="277.08333333333326"/>
    <n v="3.9370078740157481"/>
    <n v="4"/>
    <n v="261537541.43999997"/>
    <n v="9.2361111111111089"/>
    <x v="0"/>
    <n v="20"/>
    <n v="6"/>
    <n v="2.4000000000000004"/>
    <n v="2.4000000000000004"/>
    <n v="1.2000000000000002"/>
    <n v="12"/>
    <n v="2"/>
    <n v="2"/>
    <n v="4"/>
    <n v="18"/>
    <n v="26"/>
  </r>
  <r>
    <s v="5 Ply Corrugated Box (size- 1015x535x485 mm), (Type-2 ,B.S -17 Kg/cm2)"/>
    <n v="2627"/>
    <n v="262.7"/>
    <n v="263"/>
    <n v="343"/>
    <n v="1.0177033955693141E-3"/>
    <n v="26"/>
    <n v="14"/>
    <n v="15"/>
    <n v="69.755416835787187"/>
    <n v="210"/>
    <n v="600"/>
    <n v="1"/>
    <n v="1015"/>
    <n v="535"/>
    <n v="485"/>
    <n v="1200"/>
    <n v="1080"/>
    <n v="1200"/>
    <n v="2"/>
    <n v="1"/>
    <n v="2"/>
    <n v="2"/>
    <n v="4"/>
    <n v="279.02166734314875"/>
    <n v="3.9370078740157481"/>
    <n v="4"/>
    <n v="263367125"/>
    <n v="9.3007222447716256"/>
    <x v="0"/>
    <n v="20"/>
    <n v="7"/>
    <n v="2.8000000000000003"/>
    <n v="2.8000000000000003"/>
    <n v="1.4000000000000001"/>
    <n v="14.000000000000002"/>
    <n v="2"/>
    <n v="2"/>
    <n v="5"/>
    <n v="21"/>
    <n v="30"/>
  </r>
  <r>
    <s v="Corrugated Box ( 20 X 15 X 10 ) &quot; ( Export Quality )"/>
    <n v="2015"/>
    <n v="251.875"/>
    <n v="252"/>
    <n v="337"/>
    <n v="9.7513785430976101E-4"/>
    <n v="26"/>
    <n v="13"/>
    <n v="15"/>
    <n v="13.020833333333336"/>
    <n v="195"/>
    <n v="600"/>
    <n v="1"/>
    <n v="508"/>
    <n v="381"/>
    <n v="254"/>
    <n v="1200"/>
    <n v="1080"/>
    <n v="1200"/>
    <n v="5"/>
    <n v="2"/>
    <n v="2"/>
    <n v="5"/>
    <n v="20"/>
    <n v="260.41666666666674"/>
    <n v="3.9370078740157481"/>
    <n v="1"/>
    <n v="49161192"/>
    <n v="1.7361111111111114"/>
    <x v="0"/>
    <n v="5"/>
    <n v="6.5"/>
    <n v="2.6"/>
    <n v="2.6"/>
    <n v="1.3"/>
    <n v="13"/>
    <n v="0"/>
    <n v="0"/>
    <n v="1"/>
    <n v="4"/>
    <n v="5"/>
  </r>
  <r>
    <s v="CB box : 390x230x150 mm( OD with lid) 5 ply HSC, BS-14Kg/cm2 &amp; 3 Ply top lid ( BS-10kg/cm2)"/>
    <n v="250"/>
    <n v="250"/>
    <n v="250"/>
    <n v="250"/>
    <n v="9.6739866498984234E-4"/>
    <n v="26"/>
    <n v="10"/>
    <n v="15"/>
    <n v="3.5636913055322172"/>
    <n v="150"/>
    <n v="600"/>
    <n v="1"/>
    <n v="390"/>
    <n v="230"/>
    <n v="150"/>
    <n v="1200"/>
    <n v="1080"/>
    <n v="1200"/>
    <n v="8"/>
    <n v="3"/>
    <n v="4"/>
    <n v="8"/>
    <n v="96"/>
    <n v="342.11436533109287"/>
    <n v="3.9370078740157481"/>
    <n v="1"/>
    <n v="13455000"/>
    <n v="0.47515884073762898"/>
    <x v="0"/>
    <n v="5"/>
    <n v="5"/>
    <n v="2"/>
    <n v="2"/>
    <n v="1"/>
    <n v="10"/>
    <n v="0"/>
    <n v="0"/>
    <n v="0"/>
    <n v="1"/>
    <n v="1"/>
  </r>
  <r>
    <s v="5 Ply Corrugated Box (size- 750x460x200 mm)-OD, (Type-2 ,B.S -17 Kg/cm2)"/>
    <n v="2490"/>
    <n v="249"/>
    <n v="249"/>
    <n v="326"/>
    <n v="9.6352907032988295E-4"/>
    <n v="26"/>
    <n v="13"/>
    <n v="15"/>
    <n v="18.275340028370344"/>
    <n v="195"/>
    <n v="600"/>
    <n v="1"/>
    <n v="750"/>
    <n v="460"/>
    <n v="200"/>
    <n v="1200"/>
    <n v="1080"/>
    <n v="1200"/>
    <n v="6"/>
    <n v="1"/>
    <n v="2"/>
    <n v="6"/>
    <n v="12"/>
    <n v="219.30408034044413"/>
    <n v="3.9370078740157481"/>
    <n v="2"/>
    <n v="69000000"/>
    <n v="2.4367120037827128"/>
    <x v="0"/>
    <n v="10"/>
    <n v="6.5"/>
    <n v="2.6"/>
    <n v="2.6"/>
    <n v="1.3"/>
    <n v="13"/>
    <n v="1"/>
    <n v="1"/>
    <n v="2"/>
    <n v="7"/>
    <n v="11"/>
  </r>
  <r>
    <s v="Cardboard Box 40&quot;x24x20&quot; - 7Ply"/>
    <n v="242"/>
    <n v="242"/>
    <n v="242"/>
    <n v="242"/>
    <n v="9.3644190771016733E-4"/>
    <n v="26"/>
    <n v="10"/>
    <n v="15"/>
    <n v="83.333333333333329"/>
    <n v="150"/>
    <n v="600"/>
    <n v="1"/>
    <n v="1016"/>
    <n v="609.6"/>
    <n v="508"/>
    <n v="1200"/>
    <n v="1080"/>
    <n v="1200"/>
    <n v="2"/>
    <n v="1"/>
    <n v="1"/>
    <n v="2"/>
    <n v="2"/>
    <n v="166.66666666666666"/>
    <n v="3.9370078740157481"/>
    <n v="6"/>
    <n v="314631628.80000001"/>
    <n v="11.111111111111111"/>
    <x v="0"/>
    <n v="30"/>
    <n v="5"/>
    <n v="2"/>
    <n v="2"/>
    <n v="1"/>
    <n v="10"/>
    <n v="3"/>
    <n v="3"/>
    <n v="7"/>
    <n v="30"/>
    <n v="43"/>
  </r>
  <r>
    <s v="5 PLY Corrugated Box 26x24x16 &quot;"/>
    <n v="639"/>
    <n v="235"/>
    <n v="235"/>
    <n v="293"/>
    <n v="9.0935474509045182E-4"/>
    <n v="26"/>
    <n v="12"/>
    <n v="15"/>
    <n v="43.333333333333336"/>
    <n v="180"/>
    <n v="600"/>
    <n v="1"/>
    <n v="660.4"/>
    <n v="609.6"/>
    <n v="406.4"/>
    <n v="1200"/>
    <n v="1080"/>
    <n v="1200"/>
    <n v="3"/>
    <n v="1"/>
    <n v="1"/>
    <n v="3"/>
    <n v="3"/>
    <n v="130"/>
    <n v="3.9370078740157481"/>
    <n v="5"/>
    <n v="163608446.97600001"/>
    <n v="5.7777777777777777"/>
    <x v="0"/>
    <n v="25"/>
    <n v="6"/>
    <n v="2.4000000000000004"/>
    <n v="2.4000000000000004"/>
    <n v="1.2000000000000002"/>
    <n v="12"/>
    <n v="2"/>
    <n v="2"/>
    <n v="6"/>
    <n v="24"/>
    <n v="34"/>
  </r>
  <r>
    <s v="56X10X7 ( 3 KRAFT PAPER 180 GSM 22 BF, 2 SEMI KRAFT PAPER 125 GSM 18 BF) Corrugated Box"/>
    <n v="1515"/>
    <n v="216.42857142857142"/>
    <n v="217"/>
    <n v="270"/>
    <n v="8.3970204121118313E-4"/>
    <n v="26"/>
    <n v="11"/>
    <n v="15"/>
    <n v="17.013888888888893"/>
    <n v="165"/>
    <n v="600"/>
    <n v="1"/>
    <n v="1422.4"/>
    <n v="254"/>
    <n v="177.8"/>
    <n v="1500"/>
    <n v="1080"/>
    <n v="1200"/>
    <n v="7"/>
    <n v="1"/>
    <n v="4"/>
    <n v="7"/>
    <n v="28"/>
    <n v="476.38888888888903"/>
    <n v="3.9370078740157481"/>
    <n v="1"/>
    <n v="64237290.88000001"/>
    <n v="2.268518518518519"/>
    <x v="2"/>
    <n v="10"/>
    <n v="5.5"/>
    <n v="2.2000000000000002"/>
    <n v="2.2000000000000002"/>
    <n v="1.1000000000000001"/>
    <n v="11"/>
    <n v="0"/>
    <n v="0"/>
    <n v="1"/>
    <n v="2"/>
    <n v="3"/>
  </r>
  <r>
    <s v="5 Ply Corrugated Box (size- 1525x560x508 mm)-OD, (Type-2 ,B.S -17 Kg/cm2)"/>
    <n v="2575"/>
    <n v="214.58333333333334"/>
    <n v="215"/>
    <n v="254"/>
    <n v="8.3196285189126435E-4"/>
    <n v="26"/>
    <n v="10"/>
    <n v="15"/>
    <n v="114.90474369837629"/>
    <n v="150"/>
    <n v="600"/>
    <n v="1"/>
    <n v="1525"/>
    <n v="560"/>
    <n v="508"/>
    <n v="1500"/>
    <n v="1080"/>
    <n v="1200"/>
    <n v="2"/>
    <n v="1"/>
    <n v="1"/>
    <n v="2"/>
    <n v="2"/>
    <n v="229.80948739675259"/>
    <n v="3.9370078740157481"/>
    <n v="6"/>
    <n v="433832000"/>
    <n v="15.32063249311684"/>
    <x v="2"/>
    <n v="60"/>
    <n v="5"/>
    <n v="2"/>
    <n v="2"/>
    <n v="1"/>
    <n v="10"/>
    <n v="3"/>
    <n v="3"/>
    <n v="7"/>
    <n v="30"/>
    <n v="43"/>
  </r>
  <r>
    <s v="Corrugated Box  (970x1000x300mm )"/>
    <n v="931"/>
    <n v="211.57142857142856"/>
    <n v="212"/>
    <n v="274"/>
    <n v="8.2035406791138629E-4"/>
    <n v="26"/>
    <n v="11"/>
    <n v="15"/>
    <n v="77.074260119648855"/>
    <n v="165"/>
    <n v="600"/>
    <n v="1"/>
    <n v="970"/>
    <n v="1000"/>
    <n v="300"/>
    <n v="1200"/>
    <n v="1080"/>
    <n v="1200"/>
    <n v="4"/>
    <n v="1"/>
    <n v="1"/>
    <n v="4"/>
    <n v="4"/>
    <n v="308.29704047859542"/>
    <n v="3.9370078740157481"/>
    <n v="3"/>
    <n v="291000000"/>
    <n v="10.276568015953181"/>
    <x v="0"/>
    <n v="15"/>
    <n v="5.5"/>
    <n v="2.2000000000000002"/>
    <n v="2.2000000000000002"/>
    <n v="1.1000000000000001"/>
    <n v="11"/>
    <n v="1"/>
    <n v="2"/>
    <n v="4"/>
    <n v="17"/>
    <n v="24"/>
  </r>
  <r>
    <s v="C. B. BOX  26 X 9 X 9    300 GM  5 PLY"/>
    <n v="520"/>
    <n v="206.75"/>
    <n v="207"/>
    <n v="250"/>
    <n v="8.0100609461158944E-4"/>
    <n v="26"/>
    <n v="10"/>
    <n v="15"/>
    <n v="9.140625"/>
    <n v="150"/>
    <n v="600"/>
    <n v="1"/>
    <n v="660.4"/>
    <n v="228.6"/>
    <n v="228.6"/>
    <n v="1200"/>
    <n v="1080"/>
    <n v="1200"/>
    <n v="5"/>
    <n v="1"/>
    <n v="4"/>
    <n v="5"/>
    <n v="20"/>
    <n v="182.8125"/>
    <n v="3.9370078740157481"/>
    <n v="1"/>
    <n v="34511156.784000002"/>
    <n v="1.21875"/>
    <x v="0"/>
    <n v="5"/>
    <n v="5"/>
    <n v="2"/>
    <n v="2"/>
    <n v="1"/>
    <n v="10"/>
    <n v="0"/>
    <n v="0"/>
    <n v="1"/>
    <n v="3"/>
    <n v="4"/>
  </r>
  <r>
    <s v="CORRUGATED BOX (460 x 270 x 120) 5 PLY FOR G.M 3 Ply. 180V &amp; 2 Ply., 110SC."/>
    <n v="412"/>
    <n v="206"/>
    <n v="206"/>
    <n v="257"/>
    <n v="7.9713649995163006E-4"/>
    <n v="26"/>
    <n v="10"/>
    <n v="15"/>
    <n v="3.9474734461279946"/>
    <n v="150"/>
    <n v="600"/>
    <n v="1"/>
    <n v="460"/>
    <n v="270"/>
    <n v="120"/>
    <n v="1200"/>
    <n v="1080"/>
    <n v="1200"/>
    <n v="10"/>
    <n v="2"/>
    <n v="4"/>
    <n v="10"/>
    <n v="80"/>
    <n v="315.79787569023955"/>
    <n v="3.9370078740157481"/>
    <n v="1"/>
    <n v="14904000"/>
    <n v="0.52632979281706593"/>
    <x v="0"/>
    <n v="5"/>
    <n v="5"/>
    <n v="2"/>
    <n v="2"/>
    <n v="1"/>
    <n v="10"/>
    <n v="0"/>
    <n v="0"/>
    <n v="0"/>
    <n v="1"/>
    <n v="1"/>
  </r>
  <r>
    <s v="CORRUGRADED BOX Ø11X45"/>
    <n v="2375"/>
    <n v="182.69230769230768"/>
    <n v="183"/>
    <n v="230"/>
    <n v="7.0813582277256453E-4"/>
    <n v="26"/>
    <n v="9"/>
    <n v="15"/>
    <n v="31.719057578740152"/>
    <n v="135"/>
    <n v="600"/>
    <n v="1"/>
    <n v="279.39999999999998"/>
    <n v="1143"/>
    <n v="375"/>
    <n v="1200"/>
    <n v="1200"/>
    <n v="1200"/>
    <n v="3"/>
    <n v="4"/>
    <n v="1"/>
    <n v="3"/>
    <n v="12"/>
    <n v="380.62869094488184"/>
    <n v="3.9370078740157481"/>
    <n v="1"/>
    <n v="119757824.99999999"/>
    <n v="4.2292076771653537"/>
    <x v="0"/>
    <n v="5"/>
    <n v="4.5"/>
    <n v="1.8"/>
    <n v="1.8"/>
    <n v="0.9"/>
    <n v="9"/>
    <n v="0"/>
    <n v="0"/>
    <n v="1"/>
    <n v="5"/>
    <n v="6"/>
  </r>
  <r>
    <s v="Card Board Box 26&quot; x 17&quot; x 10-1/2&quot;"/>
    <n v="1405"/>
    <n v="175.625"/>
    <n v="176"/>
    <n v="180"/>
    <n v="6.8104866015284901E-4"/>
    <n v="26"/>
    <n v="7"/>
    <n v="15"/>
    <n v="19.184027777777779"/>
    <n v="105"/>
    <n v="600"/>
    <n v="1"/>
    <n v="660.4"/>
    <n v="431.8"/>
    <n v="254"/>
    <n v="1200"/>
    <n v="1080"/>
    <n v="1200"/>
    <n v="5"/>
    <n v="1"/>
    <n v="2"/>
    <n v="5"/>
    <n v="10"/>
    <n v="191.84027777777777"/>
    <n v="3.9370078740157481"/>
    <n v="1"/>
    <n v="72430822.879999995"/>
    <n v="2.5578703703703707"/>
    <x v="0"/>
    <n v="5"/>
    <n v="3.5"/>
    <n v="1.4000000000000001"/>
    <n v="1.4000000000000001"/>
    <n v="0.70000000000000007"/>
    <n v="7.0000000000000009"/>
    <n v="0"/>
    <n v="0"/>
    <n v="1"/>
    <n v="4"/>
    <n v="5"/>
  </r>
  <r>
    <s v="5 Ply Corrugated Box (size- 1370x305x280 mm)-OD, (Type-2 ,B.S -17 Kg/cm2)"/>
    <n v="1353"/>
    <n v="169.125"/>
    <n v="170"/>
    <n v="186"/>
    <n v="6.5783109219309278E-4"/>
    <n v="26"/>
    <n v="8"/>
    <n v="15"/>
    <n v="30.988090328105415"/>
    <n v="120"/>
    <n v="600"/>
    <n v="1"/>
    <n v="1370"/>
    <n v="305"/>
    <n v="280"/>
    <n v="1500"/>
    <n v="1080"/>
    <n v="1200"/>
    <n v="4"/>
    <n v="1"/>
    <n v="3"/>
    <n v="4"/>
    <n v="12"/>
    <n v="371.85708393726497"/>
    <n v="3.9370078740157481"/>
    <n v="1"/>
    <n v="116998000"/>
    <n v="4.1317453770807218"/>
    <x v="2"/>
    <n v="10"/>
    <n v="4"/>
    <n v="1.6"/>
    <n v="1.6"/>
    <n v="0.8"/>
    <n v="7.9999999999999991"/>
    <n v="0"/>
    <n v="0"/>
    <n v="1"/>
    <n v="4"/>
    <n v="5"/>
  </r>
  <r>
    <s v="5 Ply Corrugated Box (size- 560x508x230 mm)-OD, (Type-2 ,B.S -17 Kg/cm2)"/>
    <n v="649"/>
    <n v="162.25"/>
    <n v="163"/>
    <n v="214"/>
    <n v="6.3074392957337716E-4"/>
    <n v="26"/>
    <n v="9"/>
    <n v="15"/>
    <n v="17.329895770902652"/>
    <n v="135"/>
    <n v="600"/>
    <n v="1"/>
    <n v="560"/>
    <n v="508"/>
    <n v="230"/>
    <n v="1200"/>
    <n v="1080"/>
    <n v="1200"/>
    <n v="5"/>
    <n v="2"/>
    <n v="2"/>
    <n v="5"/>
    <n v="20"/>
    <n v="346.59791541805305"/>
    <n v="3.9370078740157481"/>
    <n v="1"/>
    <n v="65430400"/>
    <n v="2.3106527694536871"/>
    <x v="0"/>
    <n v="5"/>
    <n v="4.5"/>
    <n v="1.8"/>
    <n v="1.8"/>
    <n v="0.9"/>
    <n v="9"/>
    <n v="0"/>
    <n v="0"/>
    <n v="1"/>
    <n v="3"/>
    <n v="4"/>
  </r>
  <r>
    <s v="C.B.BOX 35X9X9  5PLY"/>
    <n v="454"/>
    <n v="151.33333333333334"/>
    <n v="152"/>
    <n v="152"/>
    <n v="5.8817838831382409E-4"/>
    <n v="26"/>
    <n v="6"/>
    <n v="15"/>
    <n v="12.3046875"/>
    <n v="90"/>
    <n v="600"/>
    <n v="1"/>
    <n v="889"/>
    <n v="228.6"/>
    <n v="228.6"/>
    <n v="1200"/>
    <n v="1080"/>
    <n v="1200"/>
    <n v="5"/>
    <n v="1"/>
    <n v="4"/>
    <n v="5"/>
    <n v="20"/>
    <n v="246.09375"/>
    <n v="3.9370078740157481"/>
    <n v="1"/>
    <n v="46457326.439999998"/>
    <n v="1.640625"/>
    <x v="0"/>
    <n v="5"/>
    <n v="3"/>
    <n v="1.2000000000000002"/>
    <n v="1.2000000000000002"/>
    <n v="0.60000000000000009"/>
    <n v="6"/>
    <n v="0"/>
    <n v="0"/>
    <n v="0"/>
    <n v="2"/>
    <n v="2"/>
  </r>
  <r>
    <s v="CB box : 510 x 380 x 145 mm (OD-with lid) 5 ply HSC (B.S-14kg/cm2) &amp; 3ply top lid (B.S: 10-12kg/cm2)"/>
    <n v="152"/>
    <n v="152"/>
    <n v="152"/>
    <n v="176"/>
    <n v="5.8817838831382409E-4"/>
    <n v="26"/>
    <n v="7"/>
    <n v="15"/>
    <n v="7.4428308715541309"/>
    <n v="105"/>
    <n v="600"/>
    <n v="1"/>
    <n v="510"/>
    <n v="380"/>
    <n v="145"/>
    <n v="1200"/>
    <n v="1080"/>
    <n v="1200"/>
    <n v="8"/>
    <n v="2"/>
    <n v="2"/>
    <n v="8"/>
    <n v="32"/>
    <n v="238.17058788973219"/>
    <n v="3.9370078740157481"/>
    <n v="1"/>
    <n v="28101000"/>
    <n v="0.99237744954055085"/>
    <x v="0"/>
    <n v="5"/>
    <n v="3.5"/>
    <n v="1.4000000000000001"/>
    <n v="1.4000000000000001"/>
    <n v="0.70000000000000007"/>
    <n v="7.0000000000000009"/>
    <n v="0"/>
    <n v="0"/>
    <n v="0"/>
    <n v="1"/>
    <n v="1"/>
  </r>
  <r>
    <s v="CB box : 790 x 380 x 150 mm (OD-with lid) 5 ply HSC (B.S-14kg/cm2) &amp; 3ply top lid (B.S:10-12kg/cm2)"/>
    <n v="150"/>
    <n v="150"/>
    <n v="150"/>
    <n v="150"/>
    <n v="5.8043919899390542E-4"/>
    <n v="26"/>
    <n v="6"/>
    <n v="15"/>
    <n v="11.926645818514736"/>
    <n v="90"/>
    <n v="600"/>
    <n v="1"/>
    <n v="790"/>
    <n v="380"/>
    <n v="150"/>
    <n v="1200"/>
    <n v="1080"/>
    <n v="1200"/>
    <n v="8"/>
    <n v="1"/>
    <n v="2"/>
    <n v="8"/>
    <n v="16"/>
    <n v="190.82633309623577"/>
    <n v="3.9370078740157481"/>
    <n v="1"/>
    <n v="45030000"/>
    <n v="1.5902194424686313"/>
    <x v="0"/>
    <n v="5"/>
    <n v="3"/>
    <n v="1.2000000000000002"/>
    <n v="1.2000000000000002"/>
    <n v="0.60000000000000009"/>
    <n v="6"/>
    <n v="0"/>
    <n v="0"/>
    <n v="1"/>
    <n v="2"/>
    <n v="3"/>
  </r>
  <r>
    <s v="CB box : 900 x 515 x 190 mm  (OD-with lid) 5 ply HSC (B.S-14kg/cm2) &amp; 3ply top lid (B.S-10-12kg/cm2)"/>
    <n v="150"/>
    <n v="150"/>
    <n v="150"/>
    <n v="150"/>
    <n v="5.8043919899390542E-4"/>
    <n v="26"/>
    <n v="6"/>
    <n v="15"/>
    <n v="23.324895936209199"/>
    <n v="90"/>
    <n v="600"/>
    <n v="1"/>
    <n v="900"/>
    <n v="515"/>
    <n v="190"/>
    <n v="1200"/>
    <n v="1080"/>
    <n v="1200"/>
    <n v="6"/>
    <n v="1"/>
    <n v="2"/>
    <n v="6"/>
    <n v="12"/>
    <n v="279.89875123451037"/>
    <n v="3.9370078740157481"/>
    <n v="1"/>
    <n v="88065000"/>
    <n v="3.1099861248278931"/>
    <x v="0"/>
    <n v="5"/>
    <n v="3"/>
    <n v="1.2000000000000002"/>
    <n v="1.2000000000000002"/>
    <n v="0.60000000000000009"/>
    <n v="6"/>
    <n v="0"/>
    <n v="0"/>
    <n v="1"/>
    <n v="3"/>
    <n v="4"/>
  </r>
  <r>
    <s v="CORGURATED BOX OF 7PLY (770 * 330 * 200mm)"/>
    <n v="1193"/>
    <n v="149.125"/>
    <n v="150"/>
    <n v="150"/>
    <n v="5.8043919899390542E-4"/>
    <n v="26"/>
    <n v="6"/>
    <n v="15"/>
    <n v="13.460185220895376"/>
    <n v="90"/>
    <n v="600"/>
    <n v="1"/>
    <n v="770"/>
    <n v="330"/>
    <n v="200"/>
    <n v="1200"/>
    <n v="1080"/>
    <n v="1200"/>
    <n v="6"/>
    <n v="1"/>
    <n v="3"/>
    <n v="6"/>
    <n v="18"/>
    <n v="242.28333397611675"/>
    <n v="3.9370078740157481"/>
    <n v="1"/>
    <n v="50820000"/>
    <n v="1.7946913627860501"/>
    <x v="0"/>
    <n v="5"/>
    <n v="3"/>
    <n v="1.2000000000000002"/>
    <n v="1.2000000000000002"/>
    <n v="0.60000000000000009"/>
    <n v="6"/>
    <n v="0"/>
    <n v="0"/>
    <n v="0"/>
    <n v="2"/>
    <n v="2"/>
  </r>
  <r>
    <s v="Corrogated Box (650 mm X 380 mm X 160 mm) with  Broad flute quality Strentgh 20 ±1 (3 version Kraft 250 gsm/25B.f &amp; 2 semi kraft 180 gsm/25 b.f"/>
    <n v="150"/>
    <n v="150"/>
    <n v="150"/>
    <n v="197"/>
    <n v="5.8043919899390542E-4"/>
    <n v="26"/>
    <n v="8"/>
    <n v="15"/>
    <n v="10.467267216249219"/>
    <n v="120"/>
    <n v="600"/>
    <n v="1"/>
    <n v="650"/>
    <n v="380"/>
    <n v="160"/>
    <n v="1200"/>
    <n v="1080"/>
    <n v="1200"/>
    <n v="8"/>
    <n v="1"/>
    <n v="2"/>
    <n v="8"/>
    <n v="16"/>
    <n v="167.47627545998751"/>
    <n v="3.9370078740157481"/>
    <n v="1"/>
    <n v="39520000"/>
    <n v="1.3956356288332292"/>
    <x v="0"/>
    <n v="5"/>
    <n v="4"/>
    <n v="1.6"/>
    <n v="1.6"/>
    <n v="0.8"/>
    <n v="7.9999999999999991"/>
    <n v="0"/>
    <n v="0"/>
    <n v="1"/>
    <n v="3"/>
    <n v="4"/>
  </r>
  <r>
    <s v="CB box : 570 x 340 x 150 mm (OD-with lid) 5 ply HSC (B.S-14kg/cm2) &amp; 3ply top lid (B.S:10-12kg/cm2)"/>
    <n v="149"/>
    <n v="149"/>
    <n v="149"/>
    <n v="149"/>
    <n v="5.7656960433394603E-4"/>
    <n v="26"/>
    <n v="6"/>
    <n v="15"/>
    <n v="7.6994802119525492"/>
    <n v="90"/>
    <n v="600"/>
    <n v="1"/>
    <n v="570"/>
    <n v="340"/>
    <n v="150"/>
    <n v="1200"/>
    <n v="1080"/>
    <n v="1200"/>
    <n v="8"/>
    <n v="2"/>
    <n v="3"/>
    <n v="8"/>
    <n v="48"/>
    <n v="369.57505017372239"/>
    <n v="3.9370078740157481"/>
    <n v="1"/>
    <n v="29070000"/>
    <n v="1.0265973615936732"/>
    <x v="0"/>
    <n v="5"/>
    <n v="3"/>
    <n v="1.2000000000000002"/>
    <n v="1.2000000000000002"/>
    <n v="0.60000000000000009"/>
    <n v="6"/>
    <n v="0"/>
    <n v="0"/>
    <n v="0"/>
    <n v="1"/>
    <n v="1"/>
  </r>
  <r>
    <s v="CB box : 635 x 390 x 150 mm (OD-with lid) 5 ply HSC (B.S-14kg/cm2) &amp; 3ply top lid (B.S:10-12kg/cm2)"/>
    <n v="149"/>
    <n v="149"/>
    <n v="149"/>
    <n v="149"/>
    <n v="5.7656960433394603E-4"/>
    <n v="26"/>
    <n v="6"/>
    <n v="15"/>
    <n v="9.8388868652737322"/>
    <n v="90"/>
    <n v="600"/>
    <n v="1"/>
    <n v="635"/>
    <n v="390"/>
    <n v="150"/>
    <n v="1200"/>
    <n v="1080"/>
    <n v="1200"/>
    <n v="8"/>
    <n v="1"/>
    <n v="2"/>
    <n v="8"/>
    <n v="16"/>
    <n v="157.42218984437972"/>
    <n v="3.9370078740157481"/>
    <n v="1"/>
    <n v="37147500"/>
    <n v="1.3118515820364975"/>
    <x v="0"/>
    <n v="5"/>
    <n v="3"/>
    <n v="1.2000000000000002"/>
    <n v="1.2000000000000002"/>
    <n v="0.60000000000000009"/>
    <n v="6"/>
    <n v="0"/>
    <n v="0"/>
    <n v="1"/>
    <n v="2"/>
    <n v="3"/>
  </r>
  <r>
    <s v="5 Ply Corrugated Box (size- 1880x305x280 mm)-OD, (Type-2 ,B.S -17 Kg/cm2)"/>
    <n v="322"/>
    <n v="133"/>
    <n v="133"/>
    <n v="172"/>
    <n v="5.1465608977459612E-4"/>
    <n v="26"/>
    <n v="7"/>
    <n v="15"/>
    <n v="42.52380278601327"/>
    <n v="105"/>
    <n v="600"/>
    <n v="1"/>
    <n v="1880"/>
    <n v="305"/>
    <n v="280"/>
    <n v="2000"/>
    <n v="1080"/>
    <n v="1200"/>
    <n v="4"/>
    <n v="1"/>
    <n v="3"/>
    <n v="4"/>
    <n v="12"/>
    <n v="510.28563343215922"/>
    <n v="3.9370078740157481"/>
    <n v="1"/>
    <n v="160552000"/>
    <n v="5.6698403714684362"/>
    <x v="3"/>
    <n v="10"/>
    <n v="3.5"/>
    <n v="1.4000000000000001"/>
    <n v="1.4000000000000001"/>
    <n v="0.70000000000000007"/>
    <n v="7.0000000000000009"/>
    <n v="0"/>
    <n v="0"/>
    <n v="1"/>
    <n v="4"/>
    <n v="5"/>
  </r>
  <r>
    <s v="CORRUGATED BOX (11x15x10) 7 PLY. With Original Vergin Paper."/>
    <n v="120"/>
    <n v="120"/>
    <n v="120"/>
    <n v="120"/>
    <n v="4.6435135919512433E-4"/>
    <n v="26"/>
    <n v="5"/>
    <n v="15"/>
    <n v="7.1614583333333321"/>
    <n v="75"/>
    <n v="600"/>
    <n v="1"/>
    <n v="279.39999999999998"/>
    <n v="381"/>
    <n v="254"/>
    <n v="1200"/>
    <n v="1080"/>
    <n v="1200"/>
    <n v="5"/>
    <n v="4"/>
    <n v="2"/>
    <n v="5"/>
    <n v="40"/>
    <n v="286.45833333333326"/>
    <n v="3.9370078740157481"/>
    <n v="1"/>
    <n v="27038655.599999998"/>
    <n v="0.95486111111111094"/>
    <x v="0"/>
    <n v="5"/>
    <n v="2.5"/>
    <n v="1"/>
    <n v="1"/>
    <n v="0.5"/>
    <n v="5"/>
    <n v="0"/>
    <n v="0"/>
    <n v="0"/>
    <n v="1"/>
    <n v="1"/>
  </r>
  <r>
    <s v="CB Box  960 x 500 x 300 mm , B.S-17 (5 Ply , Type-2)"/>
    <n v="100"/>
    <n v="100"/>
    <n v="100"/>
    <n v="100"/>
    <n v="3.8695946599593691E-4"/>
    <n v="26"/>
    <n v="4"/>
    <n v="15"/>
    <n v="38.139840059207678"/>
    <n v="60"/>
    <n v="600"/>
    <n v="1"/>
    <n v="960"/>
    <n v="500"/>
    <n v="300"/>
    <n v="1200"/>
    <n v="1080"/>
    <n v="1200"/>
    <n v="4"/>
    <n v="1"/>
    <n v="2"/>
    <n v="4"/>
    <n v="8"/>
    <n v="305.11872047366143"/>
    <n v="3.9370078740157481"/>
    <n v="1"/>
    <n v="144000000"/>
    <n v="5.0853120078943572"/>
    <x v="0"/>
    <n v="5"/>
    <n v="2"/>
    <n v="0.8"/>
    <n v="0.8"/>
    <n v="0.4"/>
    <n v="3.9999999999999996"/>
    <n v="0"/>
    <n v="0"/>
    <n v="1"/>
    <n v="3"/>
    <n v="4"/>
  </r>
  <r>
    <s v="CB Box :  1560 x 200 x 150 mm 5-ply Type-1 (B.S-14kg/cm2)"/>
    <n v="100"/>
    <n v="100"/>
    <n v="100"/>
    <n v="100"/>
    <n v="3.8695946599593691E-4"/>
    <n v="26"/>
    <n v="4"/>
    <n v="15"/>
    <n v="12.395448019242496"/>
    <n v="60"/>
    <n v="600"/>
    <n v="1"/>
    <n v="1560"/>
    <n v="200"/>
    <n v="150"/>
    <n v="1500"/>
    <n v="1080"/>
    <n v="1200"/>
    <n v="8"/>
    <n v="1"/>
    <n v="5"/>
    <n v="8"/>
    <n v="40"/>
    <n v="495.81792076969981"/>
    <n v="3.9370078740157481"/>
    <n v="1"/>
    <n v="46800000"/>
    <n v="1.6527264025656661"/>
    <x v="2"/>
    <n v="10"/>
    <n v="2"/>
    <n v="0.8"/>
    <n v="0.8"/>
    <n v="0.4"/>
    <n v="3.9999999999999996"/>
    <n v="0"/>
    <n v="0"/>
    <n v="0"/>
    <n v="1"/>
    <n v="1"/>
  </r>
  <r>
    <s v="5 Ply Corrugated Box (size- 1525x610x255 mm), (Type-2 ,B.S -17 Kg/cm2)"/>
    <n v="976"/>
    <n v="88.727272727272734"/>
    <n v="89"/>
    <n v="102"/>
    <n v="3.4439392473638384E-4"/>
    <n v="26"/>
    <n v="4"/>
    <n v="15"/>
    <n v="62.828433922533861"/>
    <n v="60"/>
    <n v="600"/>
    <n v="1"/>
    <n v="1525"/>
    <n v="610"/>
    <n v="255"/>
    <n v="1500"/>
    <n v="1080"/>
    <n v="1200"/>
    <n v="5"/>
    <n v="1"/>
    <n v="1"/>
    <n v="5"/>
    <n v="5"/>
    <n v="314.14216961266931"/>
    <n v="3.9370078740157481"/>
    <n v="1"/>
    <n v="237213750"/>
    <n v="8.3771245230045146"/>
    <x v="2"/>
    <n v="10"/>
    <n v="2"/>
    <n v="0.8"/>
    <n v="0.8"/>
    <n v="0.4"/>
    <n v="3.9999999999999996"/>
    <n v="0"/>
    <n v="0"/>
    <n v="1"/>
    <n v="5"/>
    <n v="6"/>
  </r>
  <r>
    <s v="Corrugated Box  Ply-7, H-8&quot;, W-16&quot;, L-36&quot;"/>
    <n v="780"/>
    <n v="86.666666666666671"/>
    <n v="87"/>
    <n v="101"/>
    <n v="3.3665473541646512E-4"/>
    <n v="26"/>
    <n v="4"/>
    <n v="15"/>
    <n v="19.999999999999996"/>
    <n v="60"/>
    <n v="600"/>
    <n v="1"/>
    <n v="914.4"/>
    <n v="406.4"/>
    <n v="203.2"/>
    <n v="1200"/>
    <n v="1080"/>
    <n v="1200"/>
    <n v="6"/>
    <n v="1"/>
    <n v="2"/>
    <n v="6"/>
    <n v="12"/>
    <n v="239.99999999999994"/>
    <n v="3.9370078740157481"/>
    <n v="1"/>
    <n v="75511590.911999986"/>
    <n v="2.6666666666666661"/>
    <x v="0"/>
    <n v="5"/>
    <n v="2"/>
    <n v="0.8"/>
    <n v="0.8"/>
    <n v="0.4"/>
    <n v="3.9999999999999996"/>
    <n v="0"/>
    <n v="0"/>
    <n v="0"/>
    <n v="2"/>
    <n v="2"/>
  </r>
  <r>
    <s v="5 Ply Corrugated Box (size- 765x455x230 mm)-OD, (Type-2 ,B.S -14 Kg/cm2)"/>
    <n v="163"/>
    <n v="81.5"/>
    <n v="82"/>
    <n v="91"/>
    <n v="3.1730676211666828E-4"/>
    <n v="26"/>
    <n v="4"/>
    <n v="15"/>
    <n v="21.203963267916691"/>
    <n v="60"/>
    <n v="600"/>
    <n v="1"/>
    <n v="765"/>
    <n v="455"/>
    <n v="230"/>
    <n v="1200"/>
    <n v="1080"/>
    <n v="1200"/>
    <n v="5"/>
    <n v="1"/>
    <n v="2"/>
    <n v="5"/>
    <n v="10"/>
    <n v="212.03963267916691"/>
    <n v="3.9370078740157481"/>
    <n v="1"/>
    <n v="80057250"/>
    <n v="2.8271951023888922"/>
    <x v="0"/>
    <n v="5"/>
    <n v="2"/>
    <n v="0.8"/>
    <n v="0.8"/>
    <n v="0.4"/>
    <n v="3.9999999999999996"/>
    <n v="0"/>
    <n v="0"/>
    <n v="1"/>
    <n v="2"/>
    <n v="3"/>
  </r>
  <r>
    <s v="Corrugated Box  Ply-5, H-180mm, W-240mm, L-410mm"/>
    <n v="153"/>
    <n v="76.5"/>
    <n v="77"/>
    <n v="91"/>
    <n v="2.9795878881687144E-4"/>
    <n v="26"/>
    <n v="4"/>
    <n v="15"/>
    <n v="4.6912003272825444"/>
    <n v="60"/>
    <n v="600"/>
    <n v="1"/>
    <n v="410"/>
    <n v="240"/>
    <n v="180"/>
    <n v="1200"/>
    <n v="1080"/>
    <n v="1200"/>
    <n v="7"/>
    <n v="2"/>
    <n v="4"/>
    <n v="7"/>
    <n v="56"/>
    <n v="262.70721832782249"/>
    <n v="3.9370078740157481"/>
    <n v="1"/>
    <n v="17712000"/>
    <n v="0.62549337697100593"/>
    <x v="0"/>
    <n v="5"/>
    <n v="2"/>
    <n v="0.8"/>
    <n v="0.8"/>
    <n v="0.4"/>
    <n v="3.9999999999999996"/>
    <n v="0"/>
    <n v="0"/>
    <n v="0"/>
    <n v="0"/>
    <n v="0"/>
  </r>
  <r>
    <s v="5 Ply Corrugated Box (size- 960x500x300 mm)-OD, (Type-2 ,B.S -17 Kg/cm2)"/>
    <n v="527"/>
    <n v="75.285714285714292"/>
    <n v="76"/>
    <n v="90"/>
    <n v="2.9408919415691205E-4"/>
    <n v="26"/>
    <n v="4"/>
    <n v="15"/>
    <n v="38.139840059207678"/>
    <n v="60"/>
    <n v="600"/>
    <n v="1"/>
    <n v="960"/>
    <n v="500"/>
    <n v="300"/>
    <n v="1200"/>
    <n v="1080"/>
    <n v="1200"/>
    <n v="4"/>
    <n v="1"/>
    <n v="2"/>
    <n v="4"/>
    <n v="8"/>
    <n v="305.11872047366143"/>
    <n v="3.9370078740157481"/>
    <n v="1"/>
    <n v="144000000"/>
    <n v="5.0853120078943572"/>
    <x v="0"/>
    <n v="5"/>
    <n v="2"/>
    <n v="0.8"/>
    <n v="0.8"/>
    <n v="0.4"/>
    <n v="3.9999999999999996"/>
    <n v="0"/>
    <n v="0"/>
    <n v="1"/>
    <n v="3"/>
    <n v="4"/>
  </r>
  <r>
    <s v="765X455X230 MM 7 PLY C. BOX"/>
    <n v="60"/>
    <n v="60"/>
    <n v="60"/>
    <n v="60"/>
    <n v="2.3217567959756216E-4"/>
    <n v="26"/>
    <n v="3"/>
    <n v="15"/>
    <n v="21.203963267916691"/>
    <n v="45"/>
    <n v="600"/>
    <n v="1"/>
    <n v="765"/>
    <n v="455"/>
    <n v="230"/>
    <n v="1200"/>
    <n v="1080"/>
    <n v="1200"/>
    <n v="5"/>
    <n v="1"/>
    <n v="2"/>
    <n v="5"/>
    <n v="10"/>
    <n v="212.03963267916691"/>
    <n v="3.9370078740157481"/>
    <n v="1"/>
    <n v="80057250"/>
    <n v="2.8271951023888922"/>
    <x v="0"/>
    <n v="5"/>
    <n v="1.5"/>
    <n v="0.60000000000000009"/>
    <n v="0.60000000000000009"/>
    <n v="0.30000000000000004"/>
    <n v="3"/>
    <n v="0"/>
    <n v="0"/>
    <n v="0"/>
    <n v="2"/>
    <n v="2"/>
  </r>
  <r>
    <s v="Corrugatted Box 54x12x11 (7 PLY)"/>
    <n v="60"/>
    <n v="60"/>
    <n v="60"/>
    <n v="60"/>
    <n v="2.3217567959756216E-4"/>
    <n v="26"/>
    <n v="3"/>
    <n v="15"/>
    <n v="30.9375"/>
    <n v="45"/>
    <n v="600"/>
    <n v="1"/>
    <n v="1371.6"/>
    <n v="304.8"/>
    <n v="279.39999999999998"/>
    <n v="1500"/>
    <n v="1080"/>
    <n v="1200"/>
    <n v="4"/>
    <n v="1"/>
    <n v="3"/>
    <n v="4"/>
    <n v="12"/>
    <n v="371.25"/>
    <n v="3.9370078740157481"/>
    <n v="1"/>
    <n v="116806992.19199999"/>
    <n v="4.125"/>
    <x v="2"/>
    <n v="10"/>
    <n v="1.5"/>
    <n v="0.60000000000000009"/>
    <n v="0.60000000000000009"/>
    <n v="0.30000000000000004"/>
    <n v="3"/>
    <n v="0"/>
    <n v="0"/>
    <n v="0"/>
    <n v="2"/>
    <n v="2"/>
  </r>
  <r>
    <s v="58X21X10 ( 3 KRAFT PAPER 180 GSM 22 BF, 2 SEMI KRAFT PAPER 125 GSM 18 BF) Corrugated Box"/>
    <n v="55"/>
    <n v="55"/>
    <n v="55"/>
    <n v="55"/>
    <n v="2.128277062977653E-4"/>
    <n v="26"/>
    <n v="3"/>
    <n v="15"/>
    <n v="52.864583333333329"/>
    <n v="45"/>
    <n v="600"/>
    <n v="1"/>
    <n v="1473.2"/>
    <n v="533.4"/>
    <n v="254"/>
    <n v="1500"/>
    <n v="1080"/>
    <n v="1200"/>
    <n v="5"/>
    <n v="1"/>
    <n v="2"/>
    <n v="5"/>
    <n v="10"/>
    <n v="528.64583333333326"/>
    <n v="3.9370078740157481"/>
    <n v="1"/>
    <n v="199594439.52000001"/>
    <n v="7.0486111111111107"/>
    <x v="2"/>
    <n v="10"/>
    <n v="1.5"/>
    <n v="0.60000000000000009"/>
    <n v="0.60000000000000009"/>
    <n v="0.30000000000000004"/>
    <n v="3"/>
    <n v="0"/>
    <n v="0"/>
    <n v="0"/>
    <n v="2"/>
    <n v="2"/>
  </r>
  <r>
    <s v="COURROGATED BOX 60 x 24 x 10"/>
    <n v="53"/>
    <n v="53"/>
    <n v="53"/>
    <n v="53"/>
    <n v="2.0508851697784657E-4"/>
    <n v="26"/>
    <n v="3"/>
    <n v="15"/>
    <n v="62.500000000000007"/>
    <n v="45"/>
    <n v="600"/>
    <n v="1"/>
    <n v="1524"/>
    <n v="609.6"/>
    <n v="254"/>
    <n v="1500"/>
    <n v="1080"/>
    <n v="1200"/>
    <n v="5"/>
    <n v="1"/>
    <n v="1"/>
    <n v="5"/>
    <n v="5"/>
    <n v="312.50000000000006"/>
    <n v="3.9370078740157481"/>
    <n v="1"/>
    <n v="235973721.59999999"/>
    <n v="8.3333333333333339"/>
    <x v="2"/>
    <n v="10"/>
    <n v="1.5"/>
    <n v="0.60000000000000009"/>
    <n v="0.60000000000000009"/>
    <n v="0.30000000000000004"/>
    <n v="3"/>
    <n v="0"/>
    <n v="0"/>
    <n v="1"/>
    <n v="4"/>
    <n v="5"/>
  </r>
  <r>
    <s v="CORRUGRADED BOX  Ø19X53"/>
    <n v="287"/>
    <n v="41"/>
    <n v="41"/>
    <n v="63"/>
    <n v="1.5865338105833414E-4"/>
    <n v="26"/>
    <n v="3"/>
    <n v="15"/>
    <n v="64.527456528871397"/>
    <n v="45"/>
    <n v="600"/>
    <n v="1"/>
    <n v="482.59999999999997"/>
    <n v="1346.2"/>
    <n v="375"/>
    <n v="1200"/>
    <n v="1300"/>
    <n v="1200"/>
    <n v="3"/>
    <n v="2"/>
    <n v="1"/>
    <n v="3"/>
    <n v="6"/>
    <n v="387.16473917322838"/>
    <n v="3.9370078740157481"/>
    <n v="1"/>
    <n v="243628545"/>
    <n v="8.6036608705161868"/>
    <x v="0"/>
    <n v="5"/>
    <n v="1.5"/>
    <n v="0.60000000000000009"/>
    <n v="0.60000000000000009"/>
    <n v="0.30000000000000004"/>
    <n v="3"/>
    <n v="0"/>
    <n v="0"/>
    <n v="1"/>
    <n v="3"/>
    <n v="4"/>
  </r>
  <r>
    <s v="Corrugated separator sheet size 1160 x 1020 mm, 5- Ply type -1 (B.S 14Kg/cm2)"/>
    <n v="20"/>
    <n v="20"/>
    <n v="20"/>
    <n v="20"/>
    <n v="7.7391893199187388E-5"/>
    <n v="26"/>
    <n v="1"/>
    <n v="15"/>
    <n v="117.51838218243367"/>
    <n v="15"/>
    <n v="600"/>
    <n v="1"/>
    <n v="1160"/>
    <n v="1020"/>
    <n v="375"/>
    <n v="1200"/>
    <n v="1080"/>
    <n v="1200"/>
    <n v="3"/>
    <n v="1"/>
    <n v="1"/>
    <n v="3"/>
    <n v="3"/>
    <n v="352.55514654730098"/>
    <n v="3.9370078740157481"/>
    <n v="1"/>
    <n v="443700000"/>
    <n v="15.669117624324489"/>
    <x v="0"/>
    <n v="5"/>
    <n v="0.5"/>
    <n v="0.2"/>
    <n v="0.2"/>
    <n v="0.1"/>
    <n v="0.99999999999999989"/>
    <n v="0"/>
    <n v="0"/>
    <n v="0"/>
    <n v="2"/>
    <n v="2"/>
  </r>
  <r>
    <s v="&quot;5 ply Corrugation partition assembly ,size: 1170x1060x460mm , (B.S-14kg/cm2)&quot;"/>
    <n v="10"/>
    <n v="10"/>
    <n v="10"/>
    <n v="10"/>
    <n v="3.8695946599593694E-5"/>
    <n v="26"/>
    <n v="1"/>
    <n v="15"/>
    <n v="151.10051135456601"/>
    <n v="15"/>
    <n v="600"/>
    <n v="1"/>
    <n v="1170"/>
    <n v="1060"/>
    <n v="460"/>
    <n v="1200"/>
    <n v="1080"/>
    <n v="1200"/>
    <n v="3"/>
    <n v="1"/>
    <n v="1"/>
    <n v="3"/>
    <n v="3"/>
    <n v="453.301534063698"/>
    <n v="3.9370078740157481"/>
    <n v="1"/>
    <n v="570492000"/>
    <n v="20.146734847275468"/>
    <x v="0"/>
    <n v="5"/>
    <n v="0.5"/>
    <n v="0.2"/>
    <n v="0.2"/>
    <n v="0.1"/>
    <n v="0.99999999999999989"/>
    <n v="0"/>
    <n v="0"/>
    <n v="0"/>
    <n v="2"/>
    <n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">
  <r>
    <s v="5 Ply Corrugated Box (size- 457x380x330 mm)-OD, (Type-1 ,B.S -14 Kg/cm2)"/>
    <n v="250378"/>
    <n v="20921.833333333332"/>
    <n v="20922"/>
    <n v="23187"/>
    <n v="8.0959659475669923E-2"/>
    <n v="26"/>
    <n v="892"/>
    <n v="15"/>
    <n v="15.178543931562928"/>
    <n v="13380"/>
    <n v="600"/>
    <n v="23"/>
    <n v="457"/>
    <n v="380"/>
    <n v="330"/>
    <n v="1200"/>
    <n v="1080"/>
    <n v="1200"/>
    <n v="4"/>
    <n v="2"/>
    <n v="2"/>
    <n v="4"/>
    <n v="16"/>
    <n v="242.85670290500684"/>
    <n v="3.9370078740157481"/>
    <n v="59"/>
    <n v="57307800"/>
    <n v="2.0238058575417237"/>
    <x v="0"/>
    <n v="295"/>
    <n v="446"/>
    <n v="178.4"/>
    <n v="178.4"/>
    <n v="89.2"/>
    <n v="892"/>
  </r>
  <r>
    <s v="18X15X13( 3 KRAFT PAPER 180 GSM 22 BF, 2 SEMI KRAFT PAPER 125 GSM 18 BF) Corrugated Box"/>
    <n v="20816"/>
    <n v="17819"/>
    <n v="17819"/>
    <n v="19121"/>
    <n v="6.8952307245815997E-2"/>
    <n v="26"/>
    <n v="736"/>
    <n v="15"/>
    <n v="15.234375"/>
    <n v="11040"/>
    <n v="600"/>
    <n v="19"/>
    <n v="457.2"/>
    <n v="381"/>
    <n v="330.2"/>
    <n v="1200"/>
    <n v="1080"/>
    <n v="1200"/>
    <n v="4"/>
    <n v="2"/>
    <n v="2"/>
    <n v="4"/>
    <n v="16"/>
    <n v="243.75"/>
    <n v="3.9370078740157481"/>
    <n v="49"/>
    <n v="57518594.639999993"/>
    <n v="2.03125"/>
    <x v="0"/>
    <n v="245"/>
    <n v="368"/>
    <n v="147.20000000000002"/>
    <n v="147.20000000000002"/>
    <n v="73.600000000000009"/>
    <n v="736.00000000000011"/>
  </r>
  <r>
    <s v="5 Ply Corrugated Box (size- 940x355x320 mm)-OD, (Type-1 ,B.S -14 Kg/cm2)"/>
    <n v="205779"/>
    <n v="17683.933333333331"/>
    <n v="17684"/>
    <n v="20615"/>
    <n v="6.8429911966721491E-2"/>
    <n v="26"/>
    <n v="793"/>
    <n v="15"/>
    <n v="28.282810283905786"/>
    <n v="11895"/>
    <n v="600"/>
    <n v="20"/>
    <n v="940"/>
    <n v="355"/>
    <n v="320"/>
    <n v="1200"/>
    <n v="1080"/>
    <n v="1200"/>
    <n v="4"/>
    <n v="1"/>
    <n v="3"/>
    <n v="4"/>
    <n v="12"/>
    <n v="339.39372340686941"/>
    <n v="3.9370078740157481"/>
    <n v="70"/>
    <n v="106784000"/>
    <n v="3.771041371187438"/>
    <x v="0"/>
    <n v="350"/>
    <n v="396.5"/>
    <n v="158.60000000000002"/>
    <n v="158.60000000000002"/>
    <n v="79.300000000000011"/>
    <n v="793"/>
  </r>
  <r>
    <s v="37X14X12.5 ( 3 KRAFT PAPER 180 GSM 22 BF, 2 SEMI KRAFT PAPER 125 GSM 18 BF) Corrugated Box"/>
    <n v="19224"/>
    <n v="10494.1"/>
    <n v="10495"/>
    <n v="13564"/>
    <n v="4.0611395956273583E-2"/>
    <n v="26"/>
    <n v="522"/>
    <n v="15"/>
    <n v="28.103298611111114"/>
    <n v="7830"/>
    <n v="600"/>
    <n v="14"/>
    <n v="939.8"/>
    <n v="355.6"/>
    <n v="317.5"/>
    <n v="1200"/>
    <n v="1080"/>
    <n v="1200"/>
    <n v="4"/>
    <n v="1"/>
    <n v="3"/>
    <n v="4"/>
    <n v="12"/>
    <n v="337.23958333333337"/>
    <n v="3.9370078740157481"/>
    <n v="46"/>
    <n v="106106239.40000001"/>
    <n v="3.7471064814814818"/>
    <x v="0"/>
    <n v="230"/>
    <n v="261"/>
    <n v="104.4"/>
    <n v="104.4"/>
    <n v="52.2"/>
    <n v="522"/>
  </r>
  <r>
    <s v="5 Ply Corrugated Box (size- 508x305x205 mm)-OD, (Type-1 ,B.S -14 Kg/cm2)"/>
    <n v="66682"/>
    <n v="6488.7603535353537"/>
    <n v="6489"/>
    <n v="8372"/>
    <n v="2.5109799748476345E-2"/>
    <n v="26"/>
    <n v="322"/>
    <n v="15"/>
    <n v="8.4126687350596931"/>
    <n v="4830"/>
    <n v="600"/>
    <n v="9"/>
    <n v="508"/>
    <n v="305"/>
    <n v="205"/>
    <n v="1200"/>
    <n v="1080"/>
    <n v="1200"/>
    <n v="6"/>
    <n v="2"/>
    <n v="3"/>
    <n v="6"/>
    <n v="36"/>
    <n v="302.85607446214897"/>
    <n v="3.9370078740157481"/>
    <n v="10"/>
    <n v="31762700"/>
    <n v="1.1216891646746256"/>
    <x v="0"/>
    <n v="50"/>
    <n v="161"/>
    <n v="64.400000000000006"/>
    <n v="64.400000000000006"/>
    <n v="32.200000000000003"/>
    <n v="322"/>
  </r>
  <r>
    <s v="CORRUGATED BOX (36 X 12 X 15 )&quot; 5 PLY"/>
    <n v="77868"/>
    <n v="5989.8461538461534"/>
    <n v="5990"/>
    <n v="7215"/>
    <n v="2.3178872013156621E-2"/>
    <n v="26"/>
    <n v="278"/>
    <n v="15"/>
    <n v="28.125000000000004"/>
    <n v="4170"/>
    <n v="600"/>
    <n v="7"/>
    <n v="914.4"/>
    <n v="304.8"/>
    <n v="381"/>
    <n v="1200"/>
    <n v="1080"/>
    <n v="1200"/>
    <n v="3"/>
    <n v="1"/>
    <n v="3"/>
    <n v="3"/>
    <n v="9"/>
    <n v="253.12500000000003"/>
    <n v="3.9370078740157481"/>
    <n v="33"/>
    <n v="106188174.72"/>
    <n v="3.7500000000000004"/>
    <x v="0"/>
    <n v="165"/>
    <n v="139"/>
    <n v="55.6"/>
    <n v="55.6"/>
    <n v="27.8"/>
    <n v="278"/>
  </r>
  <r>
    <s v="24X15X10 ( 3 KRAFT PAPER 180 GSM 22 BF, 2 SEMI KRAFT PAPER 125 GSM 18 BF) Corrugated Box"/>
    <n v="66718"/>
    <n v="5776.9290709290708"/>
    <n v="5777"/>
    <n v="6705"/>
    <n v="2.2354648350585277E-2"/>
    <n v="26"/>
    <n v="258"/>
    <n v="15"/>
    <n v="15.625000000000002"/>
    <n v="3870"/>
    <n v="600"/>
    <n v="7"/>
    <n v="609.6"/>
    <n v="381"/>
    <n v="254"/>
    <n v="1200"/>
    <n v="1080"/>
    <n v="1200"/>
    <n v="5"/>
    <n v="1"/>
    <n v="2"/>
    <n v="5"/>
    <n v="10"/>
    <n v="156.25000000000003"/>
    <n v="3.9370078740157481"/>
    <n v="28"/>
    <n v="58993430.399999999"/>
    <n v="2.0833333333333335"/>
    <x v="0"/>
    <n v="140"/>
    <n v="129"/>
    <n v="51.6"/>
    <n v="51.6"/>
    <n v="25.8"/>
    <n v="258"/>
  </r>
  <r>
    <s v="5 Ply Corrugated Box (size- 410x240x160 mm)-OD, (Type-1 ,B.S -14 Kg/cm2)"/>
    <n v="56294"/>
    <n v="5564.9238095238097"/>
    <n v="5565"/>
    <n v="7118"/>
    <n v="2.153429428267389E-2"/>
    <n v="26"/>
    <n v="274"/>
    <n v="15"/>
    <n v="4.169955846473373"/>
    <n v="4110"/>
    <n v="600"/>
    <n v="7"/>
    <n v="410"/>
    <n v="240"/>
    <n v="160"/>
    <n v="1200"/>
    <n v="1080"/>
    <n v="1200"/>
    <n v="8"/>
    <n v="2"/>
    <n v="4"/>
    <n v="8"/>
    <n v="64"/>
    <n v="266.87717417429587"/>
    <n v="3.9370078740157481"/>
    <n v="5"/>
    <n v="15744000"/>
    <n v="0.5559941128631164"/>
    <x v="0"/>
    <n v="25"/>
    <n v="137"/>
    <n v="54.800000000000004"/>
    <n v="54.800000000000004"/>
    <n v="27.400000000000002"/>
    <n v="274"/>
  </r>
  <r>
    <s v="20.5X16X11.5 BOX (TOP 300GSM)"/>
    <n v="52590"/>
    <n v="5407.1846153846154"/>
    <n v="5408"/>
    <n v="7524"/>
    <n v="2.0926767921060269E-2"/>
    <n v="26"/>
    <n v="290"/>
    <n v="15"/>
    <n v="16.371527777777779"/>
    <n v="4350"/>
    <n v="600"/>
    <n v="8"/>
    <n v="520.70000000000005"/>
    <n v="406.4"/>
    <n v="292.10000000000002"/>
    <n v="1200"/>
    <n v="1080"/>
    <n v="1200"/>
    <n v="4"/>
    <n v="2"/>
    <n v="2"/>
    <n v="4"/>
    <n v="16"/>
    <n v="261.94444444444446"/>
    <n v="3.9370078740157481"/>
    <n v="20"/>
    <n v="61812005.408000007"/>
    <n v="2.1828703703703707"/>
    <x v="0"/>
    <n v="100"/>
    <n v="145"/>
    <n v="58"/>
    <n v="58"/>
    <n v="29"/>
    <n v="290"/>
  </r>
  <r>
    <s v="3 ply, inner selflocking CB box size : 105 x 105 x 170 mm -(OD) Paper combination ( 250 VK ,22 BF X 140 VK,22BF X 250 VK ,22 BF) , B.S : 11 Kg/cm2."/>
    <n v="5006"/>
    <n v="5006"/>
    <n v="5006"/>
    <n v="5006"/>
    <n v="1.9371190867756603E-2"/>
    <n v="26"/>
    <n v="193"/>
    <n v="15"/>
    <n v="0.49641385577062497"/>
    <n v="2895"/>
    <n v="600"/>
    <n v="5"/>
    <n v="105"/>
    <n v="105"/>
    <n v="170"/>
    <n v="1200"/>
    <n v="1080"/>
    <n v="1200"/>
    <n v="7"/>
    <n v="11"/>
    <n v="10"/>
    <n v="7"/>
    <n v="770"/>
    <n v="382.23866894338124"/>
    <n v="3.9370078740157481"/>
    <n v="1"/>
    <n v="1874250"/>
    <n v="6.6188514102749993E-2"/>
    <x v="0"/>
    <n v="5"/>
    <n v="96.5"/>
    <n v="38.6"/>
    <n v="38.6"/>
    <n v="19.3"/>
    <n v="193"/>
  </r>
  <r>
    <s v="5 Ply Corrugated Box (size- 670x410x320 mm)-OD, (Type-1 ,B.S -14 Kg/cm2)"/>
    <n v="47263"/>
    <n v="4840.1219336219337"/>
    <n v="4841"/>
    <n v="5896"/>
    <n v="1.8732707748863306E-2"/>
    <n v="26"/>
    <n v="227"/>
    <n v="15"/>
    <n v="23.282253476142998"/>
    <n v="3405"/>
    <n v="600"/>
    <n v="6"/>
    <n v="670"/>
    <n v="410"/>
    <n v="320"/>
    <n v="1200"/>
    <n v="1080"/>
    <n v="1200"/>
    <n v="4"/>
    <n v="1"/>
    <n v="2"/>
    <n v="4"/>
    <n v="8"/>
    <n v="186.25802780914398"/>
    <n v="3.9370078740157481"/>
    <n v="30"/>
    <n v="87904000"/>
    <n v="3.1043004634857332"/>
    <x v="0"/>
    <n v="150"/>
    <n v="113.5"/>
    <n v="45.400000000000006"/>
    <n v="45.400000000000006"/>
    <n v="22.700000000000003"/>
    <n v="227"/>
  </r>
  <r>
    <s v="670X410X320 7 PLY 300 GM CB BOX"/>
    <n v="5781"/>
    <n v="4551"/>
    <n v="4551"/>
    <n v="4562"/>
    <n v="1.7610525297475088E-2"/>
    <n v="26"/>
    <n v="176"/>
    <n v="15"/>
    <n v="23.282253476142998"/>
    <n v="2640"/>
    <n v="600"/>
    <n v="5"/>
    <n v="670"/>
    <n v="410"/>
    <n v="320"/>
    <n v="1200"/>
    <n v="1080"/>
    <n v="1200"/>
    <n v="4"/>
    <n v="1"/>
    <n v="2"/>
    <n v="4"/>
    <n v="8"/>
    <n v="186.25802780914398"/>
    <n v="3.9370078740157481"/>
    <n v="24"/>
    <n v="87904000"/>
    <n v="3.1043004634857332"/>
    <x v="0"/>
    <n v="120"/>
    <n v="88"/>
    <n v="35.200000000000003"/>
    <n v="35.200000000000003"/>
    <n v="17.600000000000001"/>
    <n v="176"/>
  </r>
  <r>
    <s v="CORRUGATED BOXES 560X370X160,5PLY,25BF"/>
    <n v="54661"/>
    <n v="4481.6153846153848"/>
    <n v="4482"/>
    <n v="5455"/>
    <n v="1.7343523265937893E-2"/>
    <n v="26"/>
    <n v="210"/>
    <n v="15"/>
    <n v="8.7806387336309246"/>
    <n v="3150"/>
    <n v="600"/>
    <n v="6"/>
    <n v="560"/>
    <n v="370"/>
    <n v="160"/>
    <n v="1200"/>
    <n v="1080"/>
    <n v="1200"/>
    <n v="8"/>
    <n v="2"/>
    <n v="2"/>
    <n v="8"/>
    <n v="32"/>
    <n v="280.98043947618959"/>
    <n v="3.9370078740157481"/>
    <n v="7"/>
    <n v="33152000"/>
    <n v="1.1707518311507898"/>
    <x v="0"/>
    <n v="35"/>
    <n v="105"/>
    <n v="42"/>
    <n v="42"/>
    <n v="21"/>
    <n v="210"/>
  </r>
  <r>
    <s v="5 Ply Corrugated Box (size- 787x381x254 mm)-OD, (Type-1 ,B.S -14 Kg/cm2)"/>
    <n v="49876"/>
    <n v="4431.3333333333339"/>
    <n v="4432"/>
    <n v="5074"/>
    <n v="1.7150043532939925E-2"/>
    <n v="26"/>
    <n v="196"/>
    <n v="15"/>
    <n v="20.172039041994751"/>
    <n v="2940"/>
    <n v="600"/>
    <n v="5"/>
    <n v="787"/>
    <n v="381"/>
    <n v="254"/>
    <n v="1200"/>
    <n v="1080"/>
    <n v="1200"/>
    <n v="5"/>
    <n v="1"/>
    <n v="2"/>
    <n v="5"/>
    <n v="10"/>
    <n v="201.72039041994751"/>
    <n v="3.9370078740157481"/>
    <n v="21"/>
    <n v="76161138"/>
    <n v="2.6896052055993001"/>
    <x v="0"/>
    <n v="105"/>
    <n v="98"/>
    <n v="39.200000000000003"/>
    <n v="39.200000000000003"/>
    <n v="19.600000000000001"/>
    <n v="195.99999999999997"/>
  </r>
  <r>
    <s v="CB Box  410 x 240 x 160 mm , B.S-14 (5 Ply , Type-1)"/>
    <n v="4201"/>
    <n v="4201"/>
    <n v="4201"/>
    <n v="4201"/>
    <n v="1.625616716648931E-2"/>
    <n v="26"/>
    <n v="162"/>
    <n v="15"/>
    <n v="4.169955846473373"/>
    <n v="2430"/>
    <n v="600"/>
    <n v="5"/>
    <n v="410"/>
    <n v="240"/>
    <n v="160"/>
    <n v="1200"/>
    <n v="1080"/>
    <n v="1200"/>
    <n v="8"/>
    <n v="2"/>
    <n v="4"/>
    <n v="8"/>
    <n v="64"/>
    <n v="266.87717417429587"/>
    <n v="3.9370078740157481"/>
    <n v="3"/>
    <n v="15744000"/>
    <n v="0.5559941128631164"/>
    <x v="0"/>
    <n v="15"/>
    <n v="81"/>
    <n v="32.4"/>
    <n v="32.4"/>
    <n v="16.2"/>
    <n v="162"/>
  </r>
  <r>
    <s v="WHITE BOX FOR DORMAN 80X72X120  PARTNO.- 904-325"/>
    <n v="12587"/>
    <n v="4195.666666666667"/>
    <n v="4196"/>
    <n v="4794"/>
    <n v="1.6236819193189513E-2"/>
    <n v="26"/>
    <n v="185"/>
    <n v="15"/>
    <n v="0"/>
    <n v="2775"/>
    <n v="600"/>
    <n v="5"/>
    <n v="2032"/>
    <n v="1955.8"/>
    <n v="3048"/>
    <n v="2050"/>
    <n v="2000"/>
    <n v="1200"/>
    <n v="0"/>
    <n v="1"/>
    <n v="1"/>
    <n v="0"/>
    <n v="0"/>
    <n v="0"/>
    <n v="3.9370078740157481"/>
    <n v="0"/>
    <n v="12113317708.800001"/>
    <n v="0"/>
    <x v="1"/>
    <n v="0"/>
    <n v="92.5"/>
    <n v="37"/>
    <n v="37"/>
    <n v="18.5"/>
    <n v="185"/>
  </r>
  <r>
    <s v="BOX SIZE 20X12X8 ( BURSTING STRENGTH -14 )"/>
    <n v="5100"/>
    <n v="3975"/>
    <n v="3975"/>
    <n v="4038"/>
    <n v="1.5381638773338493E-2"/>
    <n v="26"/>
    <n v="156"/>
    <n v="15"/>
    <n v="8.3333333333333321"/>
    <n v="2340"/>
    <n v="600"/>
    <n v="4"/>
    <n v="508"/>
    <n v="304.8"/>
    <n v="203.2"/>
    <n v="1200"/>
    <n v="1080"/>
    <n v="1200"/>
    <n v="6"/>
    <n v="2"/>
    <n v="3"/>
    <n v="6"/>
    <n v="36"/>
    <n v="299.99999999999994"/>
    <n v="3.9370078740157481"/>
    <n v="5"/>
    <n v="31463162.879999995"/>
    <n v="1.1111111111111109"/>
    <x v="0"/>
    <n v="25"/>
    <n v="78"/>
    <n v="31.200000000000003"/>
    <n v="31.200000000000003"/>
    <n v="15.600000000000001"/>
    <n v="156"/>
  </r>
  <r>
    <s v="C.B. BOXES   22.1/2 X 13 X 7&quot;  5PLY"/>
    <n v="47379"/>
    <n v="3644.5384615384614"/>
    <n v="3645"/>
    <n v="4087"/>
    <n v="1.41046725355519E-2"/>
    <n v="26"/>
    <n v="158"/>
    <n v="15"/>
    <n v="8.7287326388888875"/>
    <n v="2370"/>
    <n v="600"/>
    <n v="4"/>
    <n v="561.33999999999992"/>
    <n v="330.2"/>
    <n v="177.8"/>
    <n v="1200"/>
    <n v="1080"/>
    <n v="1200"/>
    <n v="7"/>
    <n v="2"/>
    <n v="3"/>
    <n v="7"/>
    <n v="42"/>
    <n v="366.60677083333326"/>
    <n v="3.9370078740157481"/>
    <n v="4"/>
    <n v="32956024.410399996"/>
    <n v="1.1638310185185183"/>
    <x v="0"/>
    <n v="20"/>
    <n v="79"/>
    <n v="31.6"/>
    <n v="31.6"/>
    <n v="15.8"/>
    <n v="158"/>
  </r>
  <r>
    <s v="WHITE BOX FOR DORMAN 220 X 130 X 58 mm  PART NO.-904-968/969/971/972"/>
    <n v="6400"/>
    <n v="3200"/>
    <n v="3200"/>
    <n v="3200"/>
    <n v="1.2382702911869981E-2"/>
    <n v="26"/>
    <n v="124"/>
    <n v="15"/>
    <n v="0.43934976868203957"/>
    <n v="1860"/>
    <n v="600"/>
    <n v="4"/>
    <n v="220"/>
    <n v="130"/>
    <n v="58"/>
    <n v="1200"/>
    <n v="1080"/>
    <n v="1200"/>
    <n v="21"/>
    <n v="4"/>
    <n v="3"/>
    <n v="21"/>
    <n v="252"/>
    <n v="110.71614170787397"/>
    <n v="3.9370078740157481"/>
    <n v="1"/>
    <n v="1658800"/>
    <n v="5.8579969157605272E-2"/>
    <x v="0"/>
    <n v="5"/>
    <n v="62"/>
    <n v="24.8"/>
    <n v="24.8"/>
    <n v="12.4"/>
    <n v="124"/>
  </r>
  <r>
    <s v="5 PLY UNIVERSAL CORRUGATED BOX (760X370X180mm)"/>
    <n v="7719"/>
    <n v="3154.2272727272725"/>
    <n v="3155"/>
    <n v="4425"/>
    <n v="1.220857115217181E-2"/>
    <n v="26"/>
    <n v="171"/>
    <n v="15"/>
    <n v="13.406153780811499"/>
    <n v="2565"/>
    <n v="600"/>
    <n v="5"/>
    <n v="760"/>
    <n v="370"/>
    <n v="180"/>
    <n v="1200"/>
    <n v="1080"/>
    <n v="1200"/>
    <n v="7"/>
    <n v="1"/>
    <n v="2"/>
    <n v="7"/>
    <n v="14"/>
    <n v="187.68615293136099"/>
    <n v="3.9370078740157481"/>
    <n v="13"/>
    <n v="50616000"/>
    <n v="1.7874871707748665"/>
    <x v="0"/>
    <n v="65"/>
    <n v="85.5"/>
    <n v="34.200000000000003"/>
    <n v="34.200000000000003"/>
    <n v="17.100000000000001"/>
    <n v="171"/>
  </r>
  <r>
    <s v="31X15X10 ( 3 KRAFT PAPER 180 GSM 22 BF, 2 SEMI KRAFT PAPER 125 GSM 18 BF) Corrugated Box"/>
    <n v="3040"/>
    <n v="3040"/>
    <n v="3040"/>
    <n v="3040"/>
    <n v="1.1763567766276482E-2"/>
    <n v="26"/>
    <n v="117"/>
    <n v="15"/>
    <n v="20.182291666666668"/>
    <n v="1755"/>
    <n v="600"/>
    <n v="3"/>
    <n v="787.4"/>
    <n v="381"/>
    <n v="254"/>
    <n v="1200"/>
    <n v="1080"/>
    <n v="1200"/>
    <n v="5"/>
    <n v="1"/>
    <n v="2"/>
    <n v="5"/>
    <n v="10"/>
    <n v="201.82291666666669"/>
    <n v="3.9370078740157481"/>
    <n v="13"/>
    <n v="76199847.599999994"/>
    <n v="2.6909722222222223"/>
    <x v="0"/>
    <n v="65"/>
    <n v="58.5"/>
    <n v="23.400000000000002"/>
    <n v="23.400000000000002"/>
    <n v="11.700000000000001"/>
    <n v="117.00000000000001"/>
  </r>
  <r>
    <s v="WHITE BOX FOR DORMAN 110x90x130  PART NO.-904-128/904-129"/>
    <n v="8270"/>
    <n v="2756.6666666666665"/>
    <n v="2757"/>
    <n v="3143"/>
    <n v="1.0668472477507981E-2"/>
    <n v="26"/>
    <n v="121"/>
    <n v="15"/>
    <n v="0.34087482052916862"/>
    <n v="1815"/>
    <n v="600"/>
    <n v="4"/>
    <n v="110"/>
    <n v="90"/>
    <n v="130"/>
    <n v="1200"/>
    <n v="1080"/>
    <n v="1200"/>
    <n v="9"/>
    <n v="3"/>
    <n v="5"/>
    <n v="9"/>
    <n v="135"/>
    <n v="46.018100771437766"/>
    <n v="3.9370078740157481"/>
    <n v="1"/>
    <n v="1287000"/>
    <n v="4.5449976070555814E-2"/>
    <x v="0"/>
    <n v="5"/>
    <n v="60.5"/>
    <n v="24.200000000000003"/>
    <n v="24.200000000000003"/>
    <n v="12.100000000000001"/>
    <n v="121"/>
  </r>
  <r>
    <s v="Corrugated Box 5 Ply   45&quot; x 13&quot; x 12&quot;"/>
    <n v="28782"/>
    <n v="2659.2051282051279"/>
    <n v="2660"/>
    <n v="3283"/>
    <n v="1.0293121795491923E-2"/>
    <n v="26"/>
    <n v="127"/>
    <n v="15"/>
    <n v="30.46875"/>
    <n v="1905"/>
    <n v="600"/>
    <n v="4"/>
    <n v="1143"/>
    <n v="330.2"/>
    <n v="304.8"/>
    <n v="1200"/>
    <n v="1080"/>
    <n v="1200"/>
    <n v="4"/>
    <n v="1"/>
    <n v="3"/>
    <n v="4"/>
    <n v="12"/>
    <n v="365.625"/>
    <n v="3.9370078740157481"/>
    <n v="12"/>
    <n v="115037189.28"/>
    <n v="4.0625"/>
    <x v="0"/>
    <n v="60"/>
    <n v="63.5"/>
    <n v="25.400000000000002"/>
    <n v="25.400000000000002"/>
    <n v="12.700000000000001"/>
    <n v="127.00000000000001"/>
  </r>
  <r>
    <s v="5 Ply Corrugated Box (size- 940x355x205 mm)-OD, (Type-1 ,B.S -14 Kg/cm2)"/>
    <n v="31379"/>
    <n v="2614.9166666666665"/>
    <n v="2615"/>
    <n v="3202"/>
    <n v="1.0118990035793751E-2"/>
    <n v="26"/>
    <n v="124"/>
    <n v="15"/>
    <n v="18.118675338127144"/>
    <n v="1860"/>
    <n v="600"/>
    <n v="4"/>
    <n v="940"/>
    <n v="355"/>
    <n v="205"/>
    <n v="1200"/>
    <n v="1080"/>
    <n v="1200"/>
    <n v="6"/>
    <n v="1"/>
    <n v="3"/>
    <n v="6"/>
    <n v="18"/>
    <n v="326.13615608628857"/>
    <n v="3.9370078740157481"/>
    <n v="8"/>
    <n v="68408500"/>
    <n v="2.4158233784169525"/>
    <x v="0"/>
    <n v="40"/>
    <n v="62"/>
    <n v="24.8"/>
    <n v="24.8"/>
    <n v="12.4"/>
    <n v="124"/>
  </r>
  <r>
    <s v="5PLY BOX  14&quot;X14&quot;6&quot;"/>
    <n v="33094"/>
    <n v="2545.6923076923076"/>
    <n v="2546"/>
    <n v="3020"/>
    <n v="9.8519880042565542E-3"/>
    <n v="26"/>
    <n v="117"/>
    <n v="15"/>
    <n v="5.1041666666666679"/>
    <n v="1755"/>
    <n v="600"/>
    <n v="3"/>
    <n v="355.6"/>
    <n v="355.6"/>
    <n v="152.4"/>
    <n v="1200"/>
    <n v="1080"/>
    <n v="1200"/>
    <n v="8"/>
    <n v="3"/>
    <n v="3"/>
    <n v="8"/>
    <n v="72"/>
    <n v="367.50000000000011"/>
    <n v="3.9370078740157481"/>
    <n v="2"/>
    <n v="19271187.264000002"/>
    <n v="0.68055555555555569"/>
    <x v="0"/>
    <n v="10"/>
    <n v="58.5"/>
    <n v="23.400000000000002"/>
    <n v="23.400000000000002"/>
    <n v="11.700000000000001"/>
    <n v="117.00000000000001"/>
  </r>
  <r>
    <s v="5 Ply Corrugated Box (size- 760x370x180 mm)-OD, (Type-1 ,B.S -14 Kg/cm2)-automatic corrugated board"/>
    <n v="30076"/>
    <n v="2506.3333333333335"/>
    <n v="2507"/>
    <n v="3562"/>
    <n v="9.7010738125181389E-3"/>
    <n v="26"/>
    <n v="137"/>
    <n v="15"/>
    <n v="13.406153780811499"/>
    <n v="2055"/>
    <n v="600"/>
    <n v="4"/>
    <n v="760"/>
    <n v="370"/>
    <n v="180"/>
    <n v="1200"/>
    <n v="1080"/>
    <n v="1200"/>
    <n v="7"/>
    <n v="1"/>
    <n v="2"/>
    <n v="7"/>
    <n v="14"/>
    <n v="187.68615293136099"/>
    <n v="3.9370078740157481"/>
    <n v="11"/>
    <n v="50616000"/>
    <n v="1.7874871707748665"/>
    <x v="0"/>
    <n v="55"/>
    <n v="68.5"/>
    <n v="27.400000000000002"/>
    <n v="27.400000000000002"/>
    <n v="13.700000000000001"/>
    <n v="137"/>
  </r>
  <r>
    <s v="5 Ply corrugated separator (size- 745x500x7 mm), (B.S -12 Kg/cm2)-automatic corrugated board"/>
    <n v="30027"/>
    <n v="2502.25"/>
    <n v="2503"/>
    <n v="2943"/>
    <n v="9.6855954338783013E-3"/>
    <n v="26"/>
    <n v="114"/>
    <n v="15"/>
    <n v="0.69062245107211129"/>
    <n v="1710"/>
    <n v="600"/>
    <n v="3"/>
    <n v="745"/>
    <n v="500"/>
    <n v="7"/>
    <n v="1200"/>
    <n v="1080"/>
    <n v="1200"/>
    <n v="171"/>
    <n v="1"/>
    <n v="2"/>
    <n v="171"/>
    <n v="342"/>
    <n v="236.19287826666206"/>
    <n v="3.9370078740157481"/>
    <n v="1"/>
    <n v="2607500"/>
    <n v="9.2082993476281502E-2"/>
    <x v="0"/>
    <n v="5"/>
    <n v="57"/>
    <n v="22.8"/>
    <n v="22.8"/>
    <n v="11.4"/>
    <n v="114"/>
  </r>
  <r>
    <s v="C.B.BOX 24 X15X 10 ( 7 PLY )"/>
    <n v="27546"/>
    <n v="2461.1205128205124"/>
    <n v="2462"/>
    <n v="2827"/>
    <n v="9.5269420528199672E-3"/>
    <n v="26"/>
    <n v="109"/>
    <n v="15"/>
    <n v="15.625000000000002"/>
    <n v="1635"/>
    <n v="600"/>
    <n v="3"/>
    <n v="609.6"/>
    <n v="381"/>
    <n v="254"/>
    <n v="1200"/>
    <n v="1080"/>
    <n v="1200"/>
    <n v="5"/>
    <n v="1"/>
    <n v="2"/>
    <n v="5"/>
    <n v="10"/>
    <n v="156.25000000000003"/>
    <n v="3.9370078740157481"/>
    <n v="12"/>
    <n v="58993430.399999999"/>
    <n v="2.0833333333333335"/>
    <x v="0"/>
    <n v="60"/>
    <n v="54.5"/>
    <n v="21.8"/>
    <n v="21.8"/>
    <n v="10.9"/>
    <n v="109"/>
  </r>
  <r>
    <s v="CB Box 520 x 240 x 160 mm , B.S-14 (5 Ply , Type-1)"/>
    <n v="2400"/>
    <n v="2400"/>
    <n v="2400"/>
    <n v="2400"/>
    <n v="9.2870271839024868E-3"/>
    <n v="26"/>
    <n v="93"/>
    <n v="15"/>
    <n v="5.2887244882101312"/>
    <n v="1395"/>
    <n v="600"/>
    <n v="3"/>
    <n v="520"/>
    <n v="240"/>
    <n v="160"/>
    <n v="1200"/>
    <n v="1080"/>
    <n v="1200"/>
    <n v="8"/>
    <n v="2"/>
    <n v="4"/>
    <n v="8"/>
    <n v="64"/>
    <n v="338.4783672454484"/>
    <n v="3.9370078740157481"/>
    <n v="2"/>
    <n v="19968000"/>
    <n v="0.70516326509468419"/>
    <x v="0"/>
    <n v="10"/>
    <n v="46.5"/>
    <n v="18.600000000000001"/>
    <n v="18.600000000000001"/>
    <n v="9.3000000000000007"/>
    <n v="92.999999999999986"/>
  </r>
  <r>
    <s v="510X380X205 MM 5 PLY C. BOX"/>
    <n v="21512"/>
    <n v="2367.9807692307695"/>
    <n v="2368"/>
    <n v="3055"/>
    <n v="9.1632001547837863E-3"/>
    <n v="26"/>
    <n v="118"/>
    <n v="15"/>
    <n v="10.522622956335152"/>
    <n v="1770"/>
    <n v="600"/>
    <n v="3"/>
    <n v="510"/>
    <n v="380"/>
    <n v="205"/>
    <n v="1200"/>
    <n v="1080"/>
    <n v="1200"/>
    <n v="6"/>
    <n v="2"/>
    <n v="2"/>
    <n v="6"/>
    <n v="24"/>
    <n v="252.54295095204364"/>
    <n v="3.9370078740157481"/>
    <n v="6"/>
    <n v="39729000"/>
    <n v="1.4030163941780203"/>
    <x v="0"/>
    <n v="30"/>
    <n v="59"/>
    <n v="23.6"/>
    <n v="23.6"/>
    <n v="11.8"/>
    <n v="117.99999999999999"/>
  </r>
  <r>
    <s v="5 PLY CORRUGATION SEPARATOR SHEET (745x500x7mm)"/>
    <n v="4722"/>
    <n v="2361"/>
    <n v="2361"/>
    <n v="2361"/>
    <n v="9.1361129921640714E-3"/>
    <n v="26"/>
    <n v="91"/>
    <n v="15"/>
    <n v="0.69062245107211129"/>
    <n v="1365"/>
    <n v="600"/>
    <n v="3"/>
    <n v="745"/>
    <n v="500"/>
    <n v="7"/>
    <n v="1200"/>
    <n v="1080"/>
    <n v="1200"/>
    <n v="171"/>
    <n v="1"/>
    <n v="2"/>
    <n v="171"/>
    <n v="342"/>
    <n v="236.19287826666206"/>
    <n v="3.9370078740157481"/>
    <n v="1"/>
    <n v="2607500"/>
    <n v="9.2082993476281502E-2"/>
    <x v="0"/>
    <n v="5"/>
    <n v="45.5"/>
    <n v="18.2"/>
    <n v="18.2"/>
    <n v="9.1"/>
    <n v="91"/>
  </r>
  <r>
    <s v="CB Box 650 x 370 x 320 mm , B.S-17 (5 Ply , Type-2)"/>
    <n v="2361"/>
    <n v="2361"/>
    <n v="2361"/>
    <n v="3098"/>
    <n v="9.1361129921640714E-3"/>
    <n v="26"/>
    <n v="120"/>
    <n v="15"/>
    <n v="20.383625631643216"/>
    <n v="1800"/>
    <n v="600"/>
    <n v="3"/>
    <n v="650"/>
    <n v="370"/>
    <n v="320"/>
    <n v="1200"/>
    <n v="1080"/>
    <n v="1200"/>
    <n v="4"/>
    <n v="1"/>
    <n v="2"/>
    <n v="4"/>
    <n v="8"/>
    <n v="163.06900505314573"/>
    <n v="3.9370078740157481"/>
    <n v="16"/>
    <n v="76960000"/>
    <n v="2.717816750885762"/>
    <x v="0"/>
    <n v="80"/>
    <n v="60"/>
    <n v="24"/>
    <n v="24"/>
    <n v="12"/>
    <n v="120"/>
  </r>
  <r>
    <s v="C.B. BOXES   36 X 9 X 5&quot;  7 PLY (719 Gm.)"/>
    <n v="28215"/>
    <n v="2351.25"/>
    <n v="2352"/>
    <n v="3172"/>
    <n v="9.1012866402244361E-3"/>
    <n v="26"/>
    <n v="122"/>
    <n v="15"/>
    <n v="7.0312500000000009"/>
    <n v="1830"/>
    <n v="600"/>
    <n v="4"/>
    <n v="914.4"/>
    <n v="228.6"/>
    <n v="127"/>
    <n v="1200"/>
    <n v="1080"/>
    <n v="1200"/>
    <n v="9"/>
    <n v="1"/>
    <n v="4"/>
    <n v="9"/>
    <n v="36"/>
    <n v="253.12500000000003"/>
    <n v="3.9370078740157481"/>
    <n v="4"/>
    <n v="26547043.68"/>
    <n v="0.93750000000000011"/>
    <x v="0"/>
    <n v="20"/>
    <n v="61"/>
    <n v="24.400000000000002"/>
    <n v="24.400000000000002"/>
    <n v="12.200000000000001"/>
    <n v="122.00000000000001"/>
  </r>
  <r>
    <s v="C.B.BOX22X19X9.5&quot;  5 PLY"/>
    <n v="25187"/>
    <n v="2289.7272727272725"/>
    <n v="2290"/>
    <n v="2900"/>
    <n v="8.8613717713069556E-3"/>
    <n v="26"/>
    <n v="112"/>
    <n v="15"/>
    <n v="17.23524305555555"/>
    <n v="1680"/>
    <n v="600"/>
    <n v="3"/>
    <n v="558.79999999999995"/>
    <n v="482.59999999999997"/>
    <n v="241.29999999999998"/>
    <n v="1200"/>
    <n v="1080"/>
    <n v="1200"/>
    <n v="5"/>
    <n v="2"/>
    <n v="2"/>
    <n v="5"/>
    <n v="20"/>
    <n v="344.70486111111097"/>
    <n v="3.9370078740157481"/>
    <n v="6"/>
    <n v="65073031.143999979"/>
    <n v="2.2980324074074066"/>
    <x v="0"/>
    <n v="30"/>
    <n v="56"/>
    <n v="22.400000000000002"/>
    <n v="22.400000000000002"/>
    <n v="11.200000000000001"/>
    <n v="112.00000000000001"/>
  </r>
  <r>
    <s v="Corrugated Box (5Ply HSC(B.S&gt;14)&amp; 3Ply lid) Size-413*362*286mm(O.D)"/>
    <n v="6703"/>
    <n v="2234.3333333333335"/>
    <n v="2235"/>
    <n v="2442"/>
    <n v="8.6485440650091901E-3"/>
    <n v="26"/>
    <n v="94"/>
    <n v="15"/>
    <n v="11.325073537340863"/>
    <n v="1410"/>
    <n v="600"/>
    <n v="3"/>
    <n v="413"/>
    <n v="362"/>
    <n v="286"/>
    <n v="1200"/>
    <n v="1080"/>
    <n v="1200"/>
    <n v="4"/>
    <n v="2"/>
    <n v="2"/>
    <n v="4"/>
    <n v="16"/>
    <n v="181.20117659745381"/>
    <n v="3.9370078740157481"/>
    <n v="7"/>
    <n v="42758716"/>
    <n v="1.5100098049787818"/>
    <x v="0"/>
    <n v="35"/>
    <n v="47"/>
    <n v="18.8"/>
    <n v="18.8"/>
    <n v="9.4"/>
    <n v="94"/>
  </r>
  <r>
    <s v="30X18X8 ( 3 KRAFT PAPER 180 GSM 22 BF, 2 SEMI KRAFT PAPER 125 GSM 18 BF) Corrugated Box"/>
    <n v="22847"/>
    <n v="2168.604487179487"/>
    <n v="2169"/>
    <n v="2531"/>
    <n v="8.3931508174518721E-3"/>
    <n v="26"/>
    <n v="98"/>
    <n v="15"/>
    <n v="18.749999999999996"/>
    <n v="1470"/>
    <n v="600"/>
    <n v="3"/>
    <n v="762"/>
    <n v="457.2"/>
    <n v="203.2"/>
    <n v="1200"/>
    <n v="1080"/>
    <n v="1200"/>
    <n v="6"/>
    <n v="1"/>
    <n v="2"/>
    <n v="6"/>
    <n v="12"/>
    <n v="224.99999999999994"/>
    <n v="3.9370078740157481"/>
    <n v="9"/>
    <n v="70792116.479999989"/>
    <n v="2.4999999999999996"/>
    <x v="0"/>
    <n v="45"/>
    <n v="49"/>
    <n v="19.600000000000001"/>
    <n v="19.600000000000001"/>
    <n v="9.8000000000000007"/>
    <n v="97.999999999999986"/>
  </r>
  <r>
    <s v="20X17X9.5( 3 KRAFT PAPER 180 GSM 22 BF, 2 SEMI KRAFT PAPER 125 GSM 18 BF) Corrugated Box"/>
    <n v="2116"/>
    <n v="2116"/>
    <n v="2116"/>
    <n v="2116"/>
    <n v="8.1880623004740253E-3"/>
    <n v="26"/>
    <n v="82"/>
    <n v="15"/>
    <n v="14.019097222222221"/>
    <n v="1230"/>
    <n v="600"/>
    <n v="3"/>
    <n v="508"/>
    <n v="431.8"/>
    <n v="241.29999999999998"/>
    <n v="1200"/>
    <n v="1080"/>
    <n v="1200"/>
    <n v="5"/>
    <n v="2"/>
    <n v="2"/>
    <n v="5"/>
    <n v="20"/>
    <n v="280.38194444444446"/>
    <n v="3.9370078740157481"/>
    <n v="5"/>
    <n v="52930216.719999991"/>
    <n v="1.8692129629629628"/>
    <x v="0"/>
    <n v="25"/>
    <n v="41"/>
    <n v="16.400000000000002"/>
    <n v="16.400000000000002"/>
    <n v="8.2000000000000011"/>
    <n v="82.000000000000014"/>
  </r>
  <r>
    <s v="20X15X8 ( 3 KRAFT PAPER 180 GSM 22 BF, 2 SEMI KRAFT PAPER 125 GSM 18 BF) Corrugated Box"/>
    <n v="21670"/>
    <n v="2071.6666666666665"/>
    <n v="2072"/>
    <n v="2689"/>
    <n v="8.0178001354358139E-3"/>
    <n v="26"/>
    <n v="104"/>
    <n v="15"/>
    <n v="10.416666666666666"/>
    <n v="1560"/>
    <n v="600"/>
    <n v="3"/>
    <n v="508"/>
    <n v="381"/>
    <n v="203.2"/>
    <n v="1200"/>
    <n v="1080"/>
    <n v="1200"/>
    <n v="6"/>
    <n v="2"/>
    <n v="2"/>
    <n v="6"/>
    <n v="24"/>
    <n v="250"/>
    <n v="3.9370078740157481"/>
    <n v="5"/>
    <n v="39328953.600000001"/>
    <n v="1.3888888888888888"/>
    <x v="0"/>
    <n v="25"/>
    <n v="52"/>
    <n v="20.8"/>
    <n v="20.8"/>
    <n v="10.4"/>
    <n v="104"/>
  </r>
  <r>
    <s v="5 Ply Corrugated Box (size- 725x700x335 mm)-OD, (Type-2 ,B.S -17 Kg/cm2)"/>
    <n v="15764"/>
    <n v="2037.3333333333333"/>
    <n v="2038"/>
    <n v="2487"/>
    <n v="7.8862339169971946E-3"/>
    <n v="26"/>
    <n v="96"/>
    <n v="15"/>
    <n v="45.029510819903095"/>
    <n v="1440"/>
    <n v="600"/>
    <n v="3"/>
    <n v="725"/>
    <n v="700"/>
    <n v="335"/>
    <n v="1200"/>
    <n v="1080"/>
    <n v="1200"/>
    <n v="4"/>
    <n v="1"/>
    <n v="1"/>
    <n v="4"/>
    <n v="4"/>
    <n v="180.11804327961238"/>
    <n v="3.9370078740157481"/>
    <n v="26"/>
    <n v="170012500"/>
    <n v="6.0039347759870791"/>
    <x v="0"/>
    <n v="130"/>
    <n v="48"/>
    <n v="19.200000000000003"/>
    <n v="19.200000000000003"/>
    <n v="9.6000000000000014"/>
    <n v="96"/>
  </r>
  <r>
    <s v="5 Ply Corrugated Box (size- 508x430x320 mm)-OD, (Type-1 ,B.S -14 Kg/cm2)"/>
    <n v="23536"/>
    <n v="2024.3015151515149"/>
    <n v="2025"/>
    <n v="2417"/>
    <n v="7.8359291864177234E-3"/>
    <n v="26"/>
    <n v="93"/>
    <n v="15"/>
    <n v="18.513925916740721"/>
    <n v="1395"/>
    <n v="600"/>
    <n v="3"/>
    <n v="508"/>
    <n v="430"/>
    <n v="320"/>
    <n v="1200"/>
    <n v="1080"/>
    <n v="1200"/>
    <n v="4"/>
    <n v="2"/>
    <n v="2"/>
    <n v="4"/>
    <n v="16"/>
    <n v="296.22281466785154"/>
    <n v="3.9370078740157481"/>
    <n v="7"/>
    <n v="69900800"/>
    <n v="2.4685234555654296"/>
    <x v="0"/>
    <n v="35"/>
    <n v="46.5"/>
    <n v="18.600000000000001"/>
    <n v="18.600000000000001"/>
    <n v="9.3000000000000007"/>
    <n v="92.999999999999986"/>
  </r>
  <r>
    <s v="5 Ply Corrugated Box (size- 520x240x160 mm)-OD, (Type-1 ,B.S -14 Kg/cm2)"/>
    <n v="22277"/>
    <n v="1883.9166666666667"/>
    <n v="1884"/>
    <n v="2120"/>
    <n v="7.2903163393634521E-3"/>
    <n v="26"/>
    <n v="82"/>
    <n v="15"/>
    <n v="5.2887244882101312"/>
    <n v="1230"/>
    <n v="600"/>
    <n v="3"/>
    <n v="520"/>
    <n v="240"/>
    <n v="160"/>
    <n v="1200"/>
    <n v="1080"/>
    <n v="1200"/>
    <n v="8"/>
    <n v="2"/>
    <n v="4"/>
    <n v="8"/>
    <n v="64"/>
    <n v="338.4783672454484"/>
    <n v="3.9370078740157481"/>
    <n v="2"/>
    <n v="19968000"/>
    <n v="0.70516326509468419"/>
    <x v="0"/>
    <n v="10"/>
    <n v="41"/>
    <n v="16.400000000000002"/>
    <n v="16.400000000000002"/>
    <n v="8.2000000000000011"/>
    <n v="82.000000000000014"/>
  </r>
  <r>
    <s v="5 Ply Corrugated Box (size- 650x370x320 mm)-OD, (Type-2 ,B.S -17 Kg/cm2)"/>
    <n v="22096"/>
    <n v="1841.3333333333333"/>
    <n v="1842"/>
    <n v="2210"/>
    <n v="7.1277933636451586E-3"/>
    <n v="26"/>
    <n v="85"/>
    <n v="15"/>
    <n v="20.383625631643216"/>
    <n v="1275"/>
    <n v="600"/>
    <n v="3"/>
    <n v="650"/>
    <n v="370"/>
    <n v="320"/>
    <n v="1200"/>
    <n v="1080"/>
    <n v="1200"/>
    <n v="4"/>
    <n v="1"/>
    <n v="2"/>
    <n v="4"/>
    <n v="8"/>
    <n v="163.06900505314573"/>
    <n v="3.9370078740157481"/>
    <n v="12"/>
    <n v="76960000"/>
    <n v="2.717816750885762"/>
    <x v="0"/>
    <n v="60"/>
    <n v="42.5"/>
    <n v="17"/>
    <n v="17"/>
    <n v="8.5"/>
    <n v="85"/>
  </r>
  <r>
    <s v="5 Ply Corrugated Box (size- 508x305x255 mm)-OD, (Type-1 ,B.S -14 Kg/cm2)"/>
    <n v="19640"/>
    <n v="1829.0476190476193"/>
    <n v="1830"/>
    <n v="2194"/>
    <n v="7.0813582277256459E-3"/>
    <n v="26"/>
    <n v="85"/>
    <n v="15"/>
    <n v="10.464539158244984"/>
    <n v="1275"/>
    <n v="600"/>
    <n v="3"/>
    <n v="508"/>
    <n v="305"/>
    <n v="255"/>
    <n v="1200"/>
    <n v="1080"/>
    <n v="1200"/>
    <n v="5"/>
    <n v="2"/>
    <n v="3"/>
    <n v="5"/>
    <n v="30"/>
    <n v="313.93617474734953"/>
    <n v="3.9370078740157481"/>
    <n v="3"/>
    <n v="39509700"/>
    <n v="1.3952718877659978"/>
    <x v="0"/>
    <n v="15"/>
    <n v="42.5"/>
    <n v="17"/>
    <n v="17"/>
    <n v="8.5"/>
    <n v="85"/>
  </r>
  <r>
    <s v="Corrugated Box Size  400 X 400 X 150"/>
    <n v="22201"/>
    <n v="1780.9560439560441"/>
    <n v="1781"/>
    <n v="2030"/>
    <n v="6.8917480893876367E-3"/>
    <n v="26"/>
    <n v="79"/>
    <n v="15"/>
    <n v="6.3566400098679461"/>
    <n v="1185"/>
    <n v="600"/>
    <n v="2"/>
    <n v="400"/>
    <n v="400"/>
    <n v="150"/>
    <n v="1200"/>
    <n v="1080"/>
    <n v="1200"/>
    <n v="8"/>
    <n v="3"/>
    <n v="2"/>
    <n v="8"/>
    <n v="48"/>
    <n v="305.11872047366143"/>
    <n v="3.9370078740157481"/>
    <n v="2"/>
    <n v="24000000"/>
    <n v="0.84755200131572617"/>
    <x v="0"/>
    <n v="10"/>
    <n v="39.5"/>
    <n v="15.8"/>
    <n v="15.8"/>
    <n v="7.9"/>
    <n v="79"/>
  </r>
  <r>
    <s v="5 Ply Corrugated Box (size- 1090x470x240 mm)-OD, (Type-1 ,B.S -14 Kg/cm2)"/>
    <n v="19538"/>
    <n v="1750.1944444444443"/>
    <n v="1751"/>
    <n v="2191"/>
    <n v="6.7756602495888558E-3"/>
    <n v="26"/>
    <n v="85"/>
    <n v="15"/>
    <n v="32.565066770553493"/>
    <n v="1275"/>
    <n v="600"/>
    <n v="3"/>
    <n v="1090"/>
    <n v="470"/>
    <n v="240"/>
    <n v="1200"/>
    <n v="1080"/>
    <n v="1200"/>
    <n v="5"/>
    <n v="1"/>
    <n v="2"/>
    <n v="5"/>
    <n v="10"/>
    <n v="325.65066770553494"/>
    <n v="3.9370078740157481"/>
    <n v="9"/>
    <n v="122952000"/>
    <n v="4.3420089027404654"/>
    <x v="0"/>
    <n v="45"/>
    <n v="42.5"/>
    <n v="17"/>
    <n v="17"/>
    <n v="8.5"/>
    <n v="85"/>
  </r>
  <r>
    <s v="Corrugated Box 3 Ply Size- 18&quot;*15&quot;"/>
    <n v="19241"/>
    <n v="1749.1818181818182"/>
    <n v="1750"/>
    <n v="2003"/>
    <n v="6.7717906549288965E-3"/>
    <n v="26"/>
    <n v="78"/>
    <n v="15"/>
    <n v="17.301304133858263"/>
    <n v="1170"/>
    <n v="600"/>
    <n v="2"/>
    <n v="457.2"/>
    <n v="381"/>
    <n v="375"/>
    <n v="1200"/>
    <n v="1080"/>
    <n v="1200"/>
    <n v="3"/>
    <n v="2"/>
    <n v="2"/>
    <n v="3"/>
    <n v="12"/>
    <n v="207.61564960629914"/>
    <n v="3.9370078740157481"/>
    <n v="7"/>
    <n v="65322449.999999993"/>
    <n v="2.3068405511811019"/>
    <x v="0"/>
    <n v="35"/>
    <n v="39"/>
    <n v="15.600000000000001"/>
    <n v="15.600000000000001"/>
    <n v="7.8000000000000007"/>
    <n v="78"/>
  </r>
  <r>
    <s v="5 Ply Corrugated Box (size- 508x430x240 mm)-OD, (Type-1 ,B.S -14 Kg/cm2)"/>
    <n v="20478"/>
    <n v="1706.5"/>
    <n v="1707"/>
    <n v="1966"/>
    <n v="6.6053980845506436E-3"/>
    <n v="26"/>
    <n v="76"/>
    <n v="15"/>
    <n v="13.885444437555542"/>
    <n v="1140"/>
    <n v="600"/>
    <n v="2"/>
    <n v="508"/>
    <n v="430"/>
    <n v="240"/>
    <n v="1200"/>
    <n v="1080"/>
    <n v="1200"/>
    <n v="5"/>
    <n v="2"/>
    <n v="2"/>
    <n v="5"/>
    <n v="20"/>
    <n v="277.70888875111086"/>
    <n v="3.9370078740157481"/>
    <n v="4"/>
    <n v="52425600"/>
    <n v="1.8513925916740723"/>
    <x v="0"/>
    <n v="20"/>
    <n v="38"/>
    <n v="15.200000000000001"/>
    <n v="15.200000000000001"/>
    <n v="7.6000000000000005"/>
    <n v="76"/>
  </r>
  <r>
    <s v="5 Ply Corrugated Box (size- 560x370x180 mm)-OD, (Type-1 ,B.S -14 Kg/cm2)-automatic corrugated board"/>
    <n v="20354"/>
    <n v="1696.1666666666667"/>
    <n v="1697"/>
    <n v="2180"/>
    <n v="6.5667021379510497E-3"/>
    <n v="26"/>
    <n v="84"/>
    <n v="15"/>
    <n v="9.8782185753347882"/>
    <n v="1260"/>
    <n v="600"/>
    <n v="3"/>
    <n v="560"/>
    <n v="370"/>
    <n v="180"/>
    <n v="1200"/>
    <n v="1080"/>
    <n v="1200"/>
    <n v="7"/>
    <n v="2"/>
    <n v="2"/>
    <n v="7"/>
    <n v="28"/>
    <n v="276.59012010937408"/>
    <n v="3.9370078740157481"/>
    <n v="4"/>
    <n v="37296000"/>
    <n v="1.3170958100446384"/>
    <x v="0"/>
    <n v="20"/>
    <n v="42"/>
    <n v="16.8"/>
    <n v="16.8"/>
    <n v="8.4"/>
    <n v="84"/>
  </r>
  <r>
    <s v="43X18.5X9.5 ( 3 KRAFT PAPER 180 GSM 22 BF, 2 SEMI KRAFT PAPER 125 GSM 18 BF) Corrugated Box"/>
    <n v="2260"/>
    <n v="1586.5"/>
    <n v="1587"/>
    <n v="1728"/>
    <n v="6.1410467253555194E-3"/>
    <n v="26"/>
    <n v="67"/>
    <n v="15"/>
    <n v="32.800564236111114"/>
    <n v="1005"/>
    <n v="600"/>
    <n v="2"/>
    <n v="1092.2"/>
    <n v="469.9"/>
    <n v="241.29999999999998"/>
    <n v="1200"/>
    <n v="1080"/>
    <n v="1200"/>
    <n v="5"/>
    <n v="1"/>
    <n v="2"/>
    <n v="5"/>
    <n v="10"/>
    <n v="328.00564236111114"/>
    <n v="3.9370078740157481"/>
    <n v="8"/>
    <n v="123841139.41399999"/>
    <n v="4.3734085648148149"/>
    <x v="0"/>
    <n v="40"/>
    <n v="33.5"/>
    <n v="13.4"/>
    <n v="13.4"/>
    <n v="6.7"/>
    <n v="67"/>
  </r>
  <r>
    <s v="CB Box  660 x 380 x 160 mm , B.S-14 (5 Ply , Type-1)"/>
    <n v="1553"/>
    <n v="1553"/>
    <n v="1553"/>
    <n v="1553"/>
    <n v="6.0094805069169002E-3"/>
    <n v="26"/>
    <n v="60"/>
    <n v="15"/>
    <n v="10.628302096499207"/>
    <n v="900"/>
    <n v="600"/>
    <n v="2"/>
    <n v="660"/>
    <n v="380"/>
    <n v="160"/>
    <n v="1200"/>
    <n v="1080"/>
    <n v="1200"/>
    <n v="8"/>
    <n v="1"/>
    <n v="2"/>
    <n v="8"/>
    <n v="16"/>
    <n v="170.0528335439873"/>
    <n v="3.9370078740157481"/>
    <n v="4"/>
    <n v="40128000"/>
    <n v="1.4171069461998942"/>
    <x v="0"/>
    <n v="20"/>
    <n v="30"/>
    <n v="12"/>
    <n v="12"/>
    <n v="6"/>
    <n v="60"/>
  </r>
  <r>
    <s v="CORRUGATED BOXES 410X235X160,5PLY,25BF"/>
    <n v="2950"/>
    <n v="1500"/>
    <n v="1500"/>
    <n v="1510"/>
    <n v="5.8043919899390542E-3"/>
    <n v="26"/>
    <n v="59"/>
    <n v="15"/>
    <n v="4.0830817663385108"/>
    <n v="885"/>
    <n v="600"/>
    <n v="2"/>
    <n v="410"/>
    <n v="235"/>
    <n v="160"/>
    <n v="1200"/>
    <n v="1080"/>
    <n v="1200"/>
    <n v="8"/>
    <n v="2"/>
    <n v="4"/>
    <n v="8"/>
    <n v="64"/>
    <n v="261.31723304566469"/>
    <n v="3.9370078740157481"/>
    <n v="1"/>
    <n v="15416000"/>
    <n v="0.5444109021784681"/>
    <x v="0"/>
    <n v="5"/>
    <n v="29.5"/>
    <n v="11.8"/>
    <n v="11.8"/>
    <n v="5.9"/>
    <n v="58.999999999999993"/>
  </r>
  <r>
    <s v="3 ply, inner selflocking CB box size : 205 x 105 x 140 mm -(OD) Paper combination ( 250 VK ,22 BF X 140 VK,22BF X 250 VK ,22 BF) , B.S : 11 Kg/cm2."/>
    <n v="1495"/>
    <n v="1495"/>
    <n v="1495"/>
    <n v="1495"/>
    <n v="5.7850440166392573E-3"/>
    <n v="26"/>
    <n v="58"/>
    <n v="15"/>
    <n v="0.79815561123904399"/>
    <n v="870"/>
    <n v="600"/>
    <n v="2"/>
    <n v="205"/>
    <n v="105"/>
    <n v="140"/>
    <n v="1200"/>
    <n v="1080"/>
    <n v="1200"/>
    <n v="9"/>
    <n v="3"/>
    <n v="5"/>
    <n v="9"/>
    <n v="135"/>
    <n v="107.75100751727093"/>
    <n v="3.9370078740157481"/>
    <n v="1"/>
    <n v="3013500"/>
    <n v="0.10642074816520587"/>
    <x v="0"/>
    <n v="5"/>
    <n v="29"/>
    <n v="11.600000000000001"/>
    <n v="11.600000000000001"/>
    <n v="5.8000000000000007"/>
    <n v="58"/>
  </r>
  <r>
    <s v="3 ply, outer selflocking CB box size : 230 x 225 x 180 mm -(OD) Paper combination ( 250 VK ,22 BF X 140 VK,22BF X 250 VK ,22 BF) , B.S : 11 Kg/cm2."/>
    <n v="1482"/>
    <n v="1482"/>
    <n v="1482"/>
    <n v="1482"/>
    <n v="5.7347392860597852E-3"/>
    <n v="26"/>
    <n v="57"/>
    <n v="15"/>
    <n v="2.4671709038299965"/>
    <n v="855"/>
    <n v="600"/>
    <n v="2"/>
    <n v="230"/>
    <n v="225"/>
    <n v="180"/>
    <n v="1200"/>
    <n v="1080"/>
    <n v="1200"/>
    <n v="7"/>
    <n v="5"/>
    <n v="4"/>
    <n v="7"/>
    <n v="140"/>
    <n v="345.40392653619949"/>
    <n v="3.9370078740157481"/>
    <n v="1"/>
    <n v="9315000"/>
    <n v="0.32895612051066619"/>
    <x v="0"/>
    <n v="5"/>
    <n v="28.5"/>
    <n v="11.4"/>
    <n v="11.4"/>
    <n v="5.7"/>
    <n v="57"/>
  </r>
  <r>
    <s v="CORRUGATED BOXES  35X16X6,5-PLY,300GM"/>
    <n v="18862"/>
    <n v="1450.9230769230769"/>
    <n v="1451"/>
    <n v="1655"/>
    <n v="5.614781851601045E-3"/>
    <n v="26"/>
    <n v="64"/>
    <n v="15"/>
    <n v="14.583333333333336"/>
    <n v="960"/>
    <n v="600"/>
    <n v="2"/>
    <n v="889"/>
    <n v="406.4"/>
    <n v="152.4"/>
    <n v="1200"/>
    <n v="1080"/>
    <n v="1200"/>
    <n v="8"/>
    <n v="1"/>
    <n v="2"/>
    <n v="8"/>
    <n v="16"/>
    <n v="233.33333333333337"/>
    <n v="3.9370078740157481"/>
    <n v="5"/>
    <n v="55060535.039999999"/>
    <n v="1.9444444444444446"/>
    <x v="0"/>
    <n v="25"/>
    <n v="32"/>
    <n v="12.8"/>
    <n v="12.8"/>
    <n v="6.4"/>
    <n v="63.999999999999993"/>
  </r>
  <r>
    <s v="5 Ply corrugated separator  (size- 555x500x7 mm), (B.S -12 Kg/cm2)-automatic corrugated board"/>
    <n v="14462"/>
    <n v="1446.2"/>
    <n v="1447"/>
    <n v="1394"/>
    <n v="5.5993034729612074E-3"/>
    <n v="26"/>
    <n v="54"/>
    <n v="15"/>
    <n v="0.51449055079868689"/>
    <n v="810"/>
    <n v="600"/>
    <n v="2"/>
    <n v="555"/>
    <n v="500"/>
    <n v="7"/>
    <n v="1200"/>
    <n v="1080"/>
    <n v="1200"/>
    <n v="171"/>
    <n v="2"/>
    <n v="2"/>
    <n v="171"/>
    <n v="684"/>
    <n v="351.91153674630181"/>
    <n v="3.9370078740157481"/>
    <n v="1"/>
    <n v="1942500"/>
    <n v="6.8598740106491585E-2"/>
    <x v="0"/>
    <n v="5"/>
    <n v="27"/>
    <n v="10.8"/>
    <n v="10.8"/>
    <n v="5.4"/>
    <n v="53.999999999999993"/>
  </r>
  <r>
    <s v="560X410X160 5PLY 300GM CB BOX"/>
    <n v="13302"/>
    <n v="1445.2773892773891"/>
    <n v="1446"/>
    <n v="1764"/>
    <n v="5.5954338783012481E-3"/>
    <n v="26"/>
    <n v="68"/>
    <n v="15"/>
    <n v="9.7298969751045359"/>
    <n v="1020"/>
    <n v="600"/>
    <n v="2"/>
    <n v="560"/>
    <n v="410"/>
    <n v="160"/>
    <n v="1200"/>
    <n v="1080"/>
    <n v="1200"/>
    <n v="8"/>
    <n v="2"/>
    <n v="2"/>
    <n v="8"/>
    <n v="32"/>
    <n v="311.35670320334515"/>
    <n v="3.9370078740157481"/>
    <n v="3"/>
    <n v="36736000"/>
    <n v="1.2973195966806048"/>
    <x v="0"/>
    <n v="15"/>
    <n v="34"/>
    <n v="13.600000000000001"/>
    <n v="13.600000000000001"/>
    <n v="6.8000000000000007"/>
    <n v="68"/>
  </r>
  <r>
    <s v="5 PLY CORRUGATION SEPARATOR SHEET (555x500x7mm)"/>
    <n v="2825"/>
    <n v="1412.5"/>
    <n v="1413"/>
    <n v="1519"/>
    <n v="5.4677372545225891E-3"/>
    <n v="26"/>
    <n v="59"/>
    <n v="15"/>
    <n v="0.51449055079868689"/>
    <n v="885"/>
    <n v="600"/>
    <n v="2"/>
    <n v="555"/>
    <n v="500"/>
    <n v="7"/>
    <n v="1200"/>
    <n v="1080"/>
    <n v="1200"/>
    <n v="171"/>
    <n v="2"/>
    <n v="2"/>
    <n v="171"/>
    <n v="684"/>
    <n v="351.91153674630181"/>
    <n v="3.9370078740157481"/>
    <n v="1"/>
    <n v="1942500"/>
    <n v="6.8598740106491585E-2"/>
    <x v="0"/>
    <n v="5"/>
    <n v="29.5"/>
    <n v="11.8"/>
    <n v="11.8"/>
    <n v="5.9"/>
    <n v="58.999999999999993"/>
  </r>
  <r>
    <s v="11X15X10 ( 3 KRAFT PAPER 180 GSM 22 BF, 2 SEMI KRAFT PAPER 125 GSM 18 BF) Corrugated Box"/>
    <n v="14048"/>
    <n v="1388.4307692307693"/>
    <n v="1389"/>
    <n v="1927"/>
    <n v="5.3748669826835637E-3"/>
    <n v="26"/>
    <n v="75"/>
    <n v="15"/>
    <n v="7.1614583333333321"/>
    <n v="1125"/>
    <n v="600"/>
    <n v="2"/>
    <n v="279.39999999999998"/>
    <n v="381"/>
    <n v="254"/>
    <n v="1200"/>
    <n v="1080"/>
    <n v="1200"/>
    <n v="5"/>
    <n v="4"/>
    <n v="2"/>
    <n v="5"/>
    <n v="40"/>
    <n v="286.45833333333326"/>
    <n v="3.9370078740157481"/>
    <n v="2"/>
    <n v="27038655.599999998"/>
    <n v="0.95486111111111094"/>
    <x v="0"/>
    <n v="10"/>
    <n v="37.5"/>
    <n v="15"/>
    <n v="15"/>
    <n v="7.5"/>
    <n v="75"/>
  </r>
  <r>
    <s v="5 Ply Corrugated Box (size- 762x508x305 mm)-OD, (Type-1 ,B.S -14 Kg/cm2)"/>
    <n v="9452"/>
    <n v="1258.439393939394"/>
    <n v="1259"/>
    <n v="1733"/>
    <n v="4.8718196768888456E-3"/>
    <n v="26"/>
    <n v="67"/>
    <n v="15"/>
    <n v="31.270505249343834"/>
    <n v="1005"/>
    <n v="600"/>
    <n v="2"/>
    <n v="762"/>
    <n v="508"/>
    <n v="305"/>
    <n v="1200"/>
    <n v="1080"/>
    <n v="1200"/>
    <n v="4"/>
    <n v="1"/>
    <n v="2"/>
    <n v="4"/>
    <n v="8"/>
    <n v="250.16404199475068"/>
    <n v="3.9370078740157481"/>
    <n v="9"/>
    <n v="118064280"/>
    <n v="4.1694006999125115"/>
    <x v="0"/>
    <n v="45"/>
    <n v="33.5"/>
    <n v="13.4"/>
    <n v="13.4"/>
    <n v="6.7"/>
    <n v="67"/>
  </r>
  <r>
    <s v="7 PLY CORRUGATED BOX ( 725 x 700 x 335 mm )"/>
    <n v="1245"/>
    <n v="1245"/>
    <n v="1245"/>
    <n v="1245"/>
    <n v="4.8176453516494151E-3"/>
    <n v="26"/>
    <n v="48"/>
    <n v="15"/>
    <n v="45.029510819903095"/>
    <n v="720"/>
    <n v="600"/>
    <n v="2"/>
    <n v="725"/>
    <n v="700"/>
    <n v="335"/>
    <n v="1200"/>
    <n v="1080"/>
    <n v="1200"/>
    <n v="4"/>
    <n v="1"/>
    <n v="1"/>
    <n v="4"/>
    <n v="4"/>
    <n v="180.11804327961238"/>
    <n v="3.9370078740157481"/>
    <n v="13"/>
    <n v="170012500"/>
    <n v="6.0039347759870791"/>
    <x v="0"/>
    <n v="65"/>
    <n v="24"/>
    <n v="9.6000000000000014"/>
    <n v="9.6000000000000014"/>
    <n v="4.8000000000000007"/>
    <n v="48"/>
  </r>
  <r>
    <s v="Corrugated Box SIZE-38X20X10 BRUSTING-21(7 PLY)"/>
    <n v="1153"/>
    <n v="1153"/>
    <n v="1153"/>
    <n v="1153"/>
    <n v="4.4616426429331529E-3"/>
    <n v="26"/>
    <n v="45"/>
    <n v="15"/>
    <n v="32.986111111111107"/>
    <n v="675"/>
    <n v="600"/>
    <n v="2"/>
    <n v="965.19999999999993"/>
    <n v="508"/>
    <n v="254"/>
    <n v="1200"/>
    <n v="1080"/>
    <n v="1200"/>
    <n v="5"/>
    <n v="1"/>
    <n v="2"/>
    <n v="5"/>
    <n v="10"/>
    <n v="329.86111111111109"/>
    <n v="3.9370078740157481"/>
    <n v="5"/>
    <n v="124541686.39999999"/>
    <n v="4.3981481481481479"/>
    <x v="0"/>
    <n v="25"/>
    <n v="22.5"/>
    <n v="9"/>
    <n v="9"/>
    <n v="4.5"/>
    <n v="45"/>
  </r>
  <r>
    <s v="C.B. BOXES   26 X 7 X 4&quot;  7PLY (420 Gm.)"/>
    <n v="13580"/>
    <n v="1131.6666666666667"/>
    <n v="1132"/>
    <n v="1511"/>
    <n v="4.3803811550740058E-3"/>
    <n v="26"/>
    <n v="59"/>
    <n v="15"/>
    <n v="3.1597222222222223"/>
    <n v="885"/>
    <n v="600"/>
    <n v="2"/>
    <n v="660.4"/>
    <n v="177.8"/>
    <n v="101.6"/>
    <n v="1200"/>
    <n v="1080"/>
    <n v="1200"/>
    <n v="12"/>
    <n v="1"/>
    <n v="6"/>
    <n v="12"/>
    <n v="72"/>
    <n v="227.5"/>
    <n v="3.9370078740157481"/>
    <n v="1"/>
    <n v="11929782.592"/>
    <n v="0.42129629629629634"/>
    <x v="0"/>
    <n v="5"/>
    <n v="29.5"/>
    <n v="11.8"/>
    <n v="11.8"/>
    <n v="5.9"/>
    <n v="58.999999999999993"/>
  </r>
  <r>
    <s v="5 PLY UNIVERSAL CORRUGATED BOX (560x370x180mm)"/>
    <n v="2242"/>
    <n v="1121"/>
    <n v="1121"/>
    <n v="1359"/>
    <n v="4.3378156138144533E-3"/>
    <n v="26"/>
    <n v="53"/>
    <n v="15"/>
    <n v="9.8782185753347882"/>
    <n v="795"/>
    <n v="600"/>
    <n v="2"/>
    <n v="560"/>
    <n v="370"/>
    <n v="180"/>
    <n v="1200"/>
    <n v="1080"/>
    <n v="1200"/>
    <n v="7"/>
    <n v="2"/>
    <n v="2"/>
    <n v="7"/>
    <n v="28"/>
    <n v="276.59012010937408"/>
    <n v="3.9370078740157481"/>
    <n v="2"/>
    <n v="37296000"/>
    <n v="1.3170958100446384"/>
    <x v="0"/>
    <n v="10"/>
    <n v="26.5"/>
    <n v="10.600000000000001"/>
    <n v="10.600000000000001"/>
    <n v="5.3000000000000007"/>
    <n v="53"/>
  </r>
  <r>
    <s v="20X15X6 ( 3 KRAFT PAPER 180 GSM 22 BF, 2 SEMI KRAFT PAPER 125 GSM 18 BF) Corrugated Box"/>
    <n v="6222"/>
    <n v="1116.6363636363635"/>
    <n v="1117"/>
    <n v="1482"/>
    <n v="4.3223372351746158E-3"/>
    <n v="26"/>
    <n v="57"/>
    <n v="15"/>
    <n v="7.8125000000000009"/>
    <n v="855"/>
    <n v="600"/>
    <n v="2"/>
    <n v="508"/>
    <n v="381"/>
    <n v="152.4"/>
    <n v="1200"/>
    <n v="1080"/>
    <n v="1200"/>
    <n v="8"/>
    <n v="2"/>
    <n v="2"/>
    <n v="8"/>
    <n v="32"/>
    <n v="250.00000000000003"/>
    <n v="3.9370078740157481"/>
    <n v="2"/>
    <n v="29496715.199999999"/>
    <n v="1.0416666666666667"/>
    <x v="0"/>
    <n v="10"/>
    <n v="28.5"/>
    <n v="11.4"/>
    <n v="11.4"/>
    <n v="5.7"/>
    <n v="57"/>
  </r>
  <r>
    <s v="1 Cardboard separator 5 ply size 4x3.8 in feet"/>
    <n v="11157"/>
    <n v="1111.6666666666665"/>
    <n v="1112"/>
    <n v="1464"/>
    <n v="4.3029892618748188E-3"/>
    <n v="26"/>
    <n v="57"/>
    <n v="15"/>
    <n v="140.25590551181105"/>
    <n v="855"/>
    <n v="600"/>
    <n v="2"/>
    <n v="1219.2"/>
    <n v="1158.24"/>
    <n v="375"/>
    <n v="1200"/>
    <n v="1200"/>
    <n v="1200"/>
    <n v="3"/>
    <n v="1"/>
    <n v="1"/>
    <n v="3"/>
    <n v="3"/>
    <n v="420.76771653543312"/>
    <n v="3.9370078740157481"/>
    <n v="20"/>
    <n v="529547328.00000006"/>
    <n v="18.700787401574807"/>
    <x v="0"/>
    <n v="100"/>
    <n v="28.5"/>
    <n v="11.4"/>
    <n v="11.4"/>
    <n v="5.7"/>
    <n v="57"/>
  </r>
  <r>
    <s v="5 Ply Corrugated Box (size- 1067x330x305 mm)-OD, (Type-1 ,B.S -14 Kg/cm2)"/>
    <n v="6541"/>
    <n v="1107.8"/>
    <n v="1108"/>
    <n v="1401"/>
    <n v="4.2875108832349813E-3"/>
    <n v="26"/>
    <n v="54"/>
    <n v="15"/>
    <n v="28.444255697156411"/>
    <n v="810"/>
    <n v="600"/>
    <n v="2"/>
    <n v="1067"/>
    <n v="330"/>
    <n v="305"/>
    <n v="1200"/>
    <n v="1080"/>
    <n v="1200"/>
    <n v="4"/>
    <n v="1"/>
    <n v="3"/>
    <n v="4"/>
    <n v="12"/>
    <n v="341.33106836587694"/>
    <n v="3.9370078740157481"/>
    <n v="5"/>
    <n v="107393550"/>
    <n v="3.7925674262875213"/>
    <x v="0"/>
    <n v="25"/>
    <n v="27"/>
    <n v="10.8"/>
    <n v="10.8"/>
    <n v="5.4"/>
    <n v="53.999999999999993"/>
  </r>
  <r>
    <s v="CORRUGATED BOX 25X14X10&quot; 5PLY BOX"/>
    <n v="11693"/>
    <n v="1063"/>
    <n v="1063"/>
    <n v="1408"/>
    <n v="4.1133791235368096E-3"/>
    <n v="26"/>
    <n v="55"/>
    <n v="15"/>
    <n v="15.190972222222221"/>
    <n v="825"/>
    <n v="600"/>
    <n v="2"/>
    <n v="635"/>
    <n v="355.6"/>
    <n v="254"/>
    <n v="1200"/>
    <n v="1080"/>
    <n v="1200"/>
    <n v="5"/>
    <n v="1"/>
    <n v="3"/>
    <n v="5"/>
    <n v="15"/>
    <n v="227.86458333333331"/>
    <n v="3.9370078740157481"/>
    <n v="4"/>
    <n v="57354724"/>
    <n v="2.0254629629629628"/>
    <x v="0"/>
    <n v="20"/>
    <n v="27.5"/>
    <n v="11"/>
    <n v="11"/>
    <n v="5.5"/>
    <n v="55"/>
  </r>
  <r>
    <s v="5 Ply Corrugated Box (size- 965x508x255 mm)-OD, (Type-1 ,B.S -14 Kg/cm2)"/>
    <n v="9110"/>
    <n v="1031.1666666666667"/>
    <n v="1032"/>
    <n v="1335"/>
    <n v="3.9934216890780694E-3"/>
    <n v="26"/>
    <n v="52"/>
    <n v="15"/>
    <n v="33.10911569739806"/>
    <n v="780"/>
    <n v="600"/>
    <n v="2"/>
    <n v="965"/>
    <n v="508"/>
    <n v="255"/>
    <n v="1200"/>
    <n v="1080"/>
    <n v="1200"/>
    <n v="5"/>
    <n v="1"/>
    <n v="2"/>
    <n v="5"/>
    <n v="10"/>
    <n v="331.09115697398062"/>
    <n v="3.9370078740157481"/>
    <n v="6"/>
    <n v="125006100"/>
    <n v="4.4145487596530746"/>
    <x v="0"/>
    <n v="30"/>
    <n v="26"/>
    <n v="10.4"/>
    <n v="10.4"/>
    <n v="5.2"/>
    <n v="52"/>
  </r>
  <r>
    <s v="C.B. BOXES   17x7x4&quot;   5 PLY (222 Gm.)"/>
    <n v="5605"/>
    <n v="992.5"/>
    <n v="993"/>
    <n v="1168"/>
    <n v="3.8425074973396536E-3"/>
    <n v="26"/>
    <n v="45"/>
    <n v="15"/>
    <n v="2.0659722222222228"/>
    <n v="675"/>
    <n v="600"/>
    <n v="2"/>
    <n v="431.8"/>
    <n v="177.8"/>
    <n v="101.6"/>
    <n v="1200"/>
    <n v="1080"/>
    <n v="1200"/>
    <n v="12"/>
    <n v="2"/>
    <n v="5"/>
    <n v="12"/>
    <n v="120"/>
    <n v="247.91666666666674"/>
    <n v="3.9370078740157481"/>
    <n v="1"/>
    <n v="7800242.4640000006"/>
    <n v="0.27546296296296302"/>
    <x v="0"/>
    <n v="5"/>
    <n v="22.5"/>
    <n v="9"/>
    <n v="9"/>
    <n v="4.5"/>
    <n v="45"/>
  </r>
  <r>
    <s v="20X12X10 ( 3 KRAFT PAPER 180 GSM 22 BF, 2 SEMI KRAFT PAPER 125 GSM 18 BF) Corrugated Box"/>
    <n v="980"/>
    <n v="980"/>
    <n v="980"/>
    <n v="980"/>
    <n v="3.792202766760182E-3"/>
    <n v="26"/>
    <n v="38"/>
    <n v="15"/>
    <n v="10.416666666666666"/>
    <n v="570"/>
    <n v="600"/>
    <n v="1"/>
    <n v="508"/>
    <n v="304.8"/>
    <n v="254"/>
    <n v="1200"/>
    <n v="1080"/>
    <n v="1200"/>
    <n v="5"/>
    <n v="2"/>
    <n v="3"/>
    <n v="5"/>
    <n v="30"/>
    <n v="312.5"/>
    <n v="3.9370078740157481"/>
    <n v="2"/>
    <n v="39328953.600000001"/>
    <n v="1.3888888888888888"/>
    <x v="0"/>
    <n v="10"/>
    <n v="19"/>
    <n v="7.6000000000000005"/>
    <n v="7.6000000000000005"/>
    <n v="3.8000000000000003"/>
    <n v="38"/>
  </r>
  <r>
    <s v="5 Ply Corrugated Box (size- 660x380x160 mm)-OD, (Type-1 ,B.S -14 Kg/cm2)"/>
    <n v="11404"/>
    <n v="950.33333333333337"/>
    <n v="951"/>
    <n v="1124"/>
    <n v="3.6799845216213601E-3"/>
    <n v="26"/>
    <n v="44"/>
    <n v="15"/>
    <n v="10.628302096499207"/>
    <n v="660"/>
    <n v="600"/>
    <n v="2"/>
    <n v="660"/>
    <n v="380"/>
    <n v="160"/>
    <n v="1200"/>
    <n v="1080"/>
    <n v="1200"/>
    <n v="8"/>
    <n v="1"/>
    <n v="2"/>
    <n v="8"/>
    <n v="16"/>
    <n v="170.0528335439873"/>
    <n v="3.9370078740157481"/>
    <n v="3"/>
    <n v="40128000"/>
    <n v="1.4171069461998942"/>
    <x v="0"/>
    <n v="15"/>
    <n v="22"/>
    <n v="8.8000000000000007"/>
    <n v="8.8000000000000007"/>
    <n v="4.4000000000000004"/>
    <n v="44"/>
  </r>
  <r>
    <s v="5 Ply Corrugated Box (size- 940x355x320 mm)-OD, (Type-2 ,B.S -17 Kg/cm2)"/>
    <n v="10272"/>
    <n v="933.81818181818187"/>
    <n v="934"/>
    <n v="1191"/>
    <n v="3.6142014124020509E-3"/>
    <n v="26"/>
    <n v="46"/>
    <n v="15"/>
    <n v="28.282810283905786"/>
    <n v="690"/>
    <n v="600"/>
    <n v="2"/>
    <n v="940"/>
    <n v="355"/>
    <n v="320"/>
    <n v="1200"/>
    <n v="1080"/>
    <n v="1200"/>
    <n v="4"/>
    <n v="1"/>
    <n v="3"/>
    <n v="4"/>
    <n v="12"/>
    <n v="339.39372340686941"/>
    <n v="3.9370078740157481"/>
    <n v="5"/>
    <n v="106784000"/>
    <n v="3.771041371187438"/>
    <x v="0"/>
    <n v="25"/>
    <n v="23"/>
    <n v="9.2000000000000011"/>
    <n v="9.2000000000000011"/>
    <n v="4.6000000000000005"/>
    <n v="46.000000000000007"/>
  </r>
  <r>
    <s v="CORRUGATED BOX (52 x 9  x 5 )&quot;  7 PLY NET WT. 1 KG."/>
    <n v="5397"/>
    <n v="899.5"/>
    <n v="900"/>
    <n v="883"/>
    <n v="3.4826351939634325E-3"/>
    <n v="26"/>
    <n v="34"/>
    <n v="15"/>
    <n v="10.156249999999998"/>
    <n v="510"/>
    <n v="600"/>
    <n v="1"/>
    <n v="1320.8"/>
    <n v="228.6"/>
    <n v="127"/>
    <n v="1500"/>
    <n v="1080"/>
    <n v="1200"/>
    <n v="9"/>
    <n v="1"/>
    <n v="4"/>
    <n v="9"/>
    <n v="36"/>
    <n v="365.62499999999994"/>
    <n v="3.9370078740157481"/>
    <n v="1"/>
    <n v="38345729.759999998"/>
    <n v="1.3541666666666665"/>
    <x v="2"/>
    <n v="10"/>
    <n v="17"/>
    <n v="6.8000000000000007"/>
    <n v="6.8000000000000007"/>
    <n v="3.4000000000000004"/>
    <n v="34"/>
  </r>
  <r>
    <s v="5 Ply Corrugated Box (size- 850x380x280 mm)-OD, (Type-2 ,B.S -17 Kg/cm2)"/>
    <n v="7702"/>
    <n v="898.58333333333326"/>
    <n v="899"/>
    <n v="1129"/>
    <n v="3.4787655993034731E-3"/>
    <n v="26"/>
    <n v="44"/>
    <n v="15"/>
    <n v="23.953938437185712"/>
    <n v="660"/>
    <n v="600"/>
    <n v="2"/>
    <n v="850"/>
    <n v="380"/>
    <n v="280"/>
    <n v="1200"/>
    <n v="1080"/>
    <n v="1200"/>
    <n v="4"/>
    <n v="1"/>
    <n v="2"/>
    <n v="4"/>
    <n v="8"/>
    <n v="191.6315074974857"/>
    <n v="3.9370078740157481"/>
    <n v="6"/>
    <n v="90440000"/>
    <n v="3.1938584582914284"/>
    <x v="0"/>
    <n v="30"/>
    <n v="22"/>
    <n v="8.8000000000000007"/>
    <n v="8.8000000000000007"/>
    <n v="4.4000000000000004"/>
    <n v="44"/>
  </r>
  <r>
    <s v="24X15X8 ( 3 KRAFT PAPER 180 GSM 22 BF, 2 SEMI KRAFT PAPER 125 GSM 18 BF) Corrugated Box"/>
    <n v="5437"/>
    <n v="892.86666666666667"/>
    <n v="893"/>
    <n v="1093"/>
    <n v="3.4555480313437168E-3"/>
    <n v="26"/>
    <n v="43"/>
    <n v="15"/>
    <n v="12.499999999999998"/>
    <n v="645"/>
    <n v="600"/>
    <n v="2"/>
    <n v="609.6"/>
    <n v="381"/>
    <n v="203.2"/>
    <n v="1200"/>
    <n v="1080"/>
    <n v="1200"/>
    <n v="6"/>
    <n v="1"/>
    <n v="2"/>
    <n v="6"/>
    <n v="12"/>
    <n v="149.99999999999997"/>
    <n v="3.9370078740157481"/>
    <n v="4"/>
    <n v="47194744.32"/>
    <n v="1.6666666666666665"/>
    <x v="0"/>
    <n v="20"/>
    <n v="21.5"/>
    <n v="8.6"/>
    <n v="8.6"/>
    <n v="4.3"/>
    <n v="43"/>
  </r>
  <r>
    <s v="30X20X12  300  TOP 7 PLY GM CB BOX"/>
    <n v="879"/>
    <n v="879"/>
    <n v="879"/>
    <n v="879"/>
    <n v="3.4013737061042858E-3"/>
    <n v="26"/>
    <n v="34"/>
    <n v="15"/>
    <n v="31.250000000000004"/>
    <n v="510"/>
    <n v="600"/>
    <n v="1"/>
    <n v="762"/>
    <n v="508"/>
    <n v="304.8"/>
    <n v="1200"/>
    <n v="1080"/>
    <n v="1200"/>
    <n v="4"/>
    <n v="1"/>
    <n v="2"/>
    <n v="4"/>
    <n v="8"/>
    <n v="250.00000000000003"/>
    <n v="3.9370078740157481"/>
    <n v="5"/>
    <n v="117986860.8"/>
    <n v="4.166666666666667"/>
    <x v="0"/>
    <n v="25"/>
    <n v="17"/>
    <n v="6.8000000000000007"/>
    <n v="6.8000000000000007"/>
    <n v="3.4000000000000004"/>
    <n v="34"/>
  </r>
  <r>
    <s v="CORRUGATED BOX 18x15x10 ( 3 KRAFT PAPER 180 GSM 22 BF, 2 SEMI KRAFT PAPER 125 GSM 18 BF)"/>
    <n v="7411"/>
    <n v="859.85714285714289"/>
    <n v="860"/>
    <n v="1121"/>
    <n v="3.3278514075650574E-3"/>
    <n v="26"/>
    <n v="44"/>
    <n v="15"/>
    <n v="11.71875"/>
    <n v="660"/>
    <n v="600"/>
    <n v="2"/>
    <n v="457.2"/>
    <n v="381"/>
    <n v="254"/>
    <n v="1200"/>
    <n v="1080"/>
    <n v="1200"/>
    <n v="5"/>
    <n v="2"/>
    <n v="2"/>
    <n v="5"/>
    <n v="20"/>
    <n v="234.375"/>
    <n v="3.9370078740157481"/>
    <n v="3"/>
    <n v="44245072.799999997"/>
    <n v="1.5625"/>
    <x v="0"/>
    <n v="15"/>
    <n v="22"/>
    <n v="8.8000000000000007"/>
    <n v="8.8000000000000007"/>
    <n v="4.4000000000000004"/>
    <n v="44"/>
  </r>
  <r>
    <s v="5 Ply Corrugated Box (size- 508x305x305 mm)-OD, (Type-1 ,B.S -14 Kg/cm2)"/>
    <n v="1632"/>
    <n v="816"/>
    <n v="816"/>
    <n v="978"/>
    <n v="3.1575892425268451E-3"/>
    <n v="26"/>
    <n v="38"/>
    <n v="15"/>
    <n v="12.516409581430276"/>
    <n v="570"/>
    <n v="600"/>
    <n v="1"/>
    <n v="508"/>
    <n v="305"/>
    <n v="305"/>
    <n v="1200"/>
    <n v="1080"/>
    <n v="1200"/>
    <n v="4"/>
    <n v="2"/>
    <n v="3"/>
    <n v="4"/>
    <n v="24"/>
    <n v="300.39382995432663"/>
    <n v="3.9370078740157481"/>
    <n v="2"/>
    <n v="47256700"/>
    <n v="1.6688546108573701"/>
    <x v="0"/>
    <n v="10"/>
    <n v="19"/>
    <n v="7.6000000000000005"/>
    <n v="7.6000000000000005"/>
    <n v="3.8000000000000003"/>
    <n v="38"/>
  </r>
  <r>
    <s v="3 ply, outer selflocking CB box size : 225 x 225 x 160 mm -(OD) Paper combination ( 250 VK ,22 BF X 140 VK,22BF X 250 VK ,22 BF) , B.S : 11 Kg/cm2."/>
    <n v="800"/>
    <n v="800"/>
    <n v="800"/>
    <n v="800"/>
    <n v="3.0956757279674953E-3"/>
    <n v="26"/>
    <n v="31"/>
    <n v="15"/>
    <n v="2.145366003330432"/>
    <n v="465"/>
    <n v="600"/>
    <n v="1"/>
    <n v="225"/>
    <n v="225"/>
    <n v="160"/>
    <n v="1200"/>
    <n v="1080"/>
    <n v="1200"/>
    <n v="8"/>
    <n v="5"/>
    <n v="4"/>
    <n v="8"/>
    <n v="160"/>
    <n v="343.25856053286913"/>
    <n v="3.9370078740157481"/>
    <n v="1"/>
    <n v="8100000"/>
    <n v="0.28604880044405762"/>
    <x v="0"/>
    <n v="5"/>
    <n v="15.5"/>
    <n v="6.2"/>
    <n v="6.2"/>
    <n v="3.1"/>
    <n v="31"/>
  </r>
  <r>
    <s v="37x14x12.5  17BS(5ply) TYPE - 2"/>
    <n v="1527"/>
    <n v="763.5"/>
    <n v="764"/>
    <n v="985"/>
    <n v="2.9563703202089581E-3"/>
    <n v="26"/>
    <n v="38"/>
    <n v="15"/>
    <n v="28.103298611111114"/>
    <n v="570"/>
    <n v="600"/>
    <n v="1"/>
    <n v="939.8"/>
    <n v="355.6"/>
    <n v="317.5"/>
    <n v="1200"/>
    <n v="1080"/>
    <n v="1200"/>
    <n v="4"/>
    <n v="1"/>
    <n v="3"/>
    <n v="4"/>
    <n v="12"/>
    <n v="337.23958333333337"/>
    <n v="3.9370078740157481"/>
    <n v="4"/>
    <n v="106106239.40000001"/>
    <n v="3.7471064814814818"/>
    <x v="0"/>
    <n v="20"/>
    <n v="19"/>
    <n v="7.6000000000000005"/>
    <n v="7.6000000000000005"/>
    <n v="3.8000000000000003"/>
    <n v="38"/>
  </r>
  <r>
    <s v="37X14X8 ( 3 KRAFT PAPER 180 GSM 22 BF, 2 SEMI KRAFT PAPER 125 GSM 18 BF) Corrugated Box"/>
    <n v="1420"/>
    <n v="710"/>
    <n v="710"/>
    <n v="816"/>
    <n v="2.747412208571152E-3"/>
    <n v="26"/>
    <n v="32"/>
    <n v="15"/>
    <n v="17.986111111111111"/>
    <n v="480"/>
    <n v="600"/>
    <n v="1"/>
    <n v="939.8"/>
    <n v="355.6"/>
    <n v="203.2"/>
    <n v="1200"/>
    <n v="1080"/>
    <n v="1200"/>
    <n v="6"/>
    <n v="1"/>
    <n v="3"/>
    <n v="6"/>
    <n v="18"/>
    <n v="323.75"/>
    <n v="3.9370078740157481"/>
    <n v="2"/>
    <n v="67907993.215999991"/>
    <n v="2.3981481481481479"/>
    <x v="0"/>
    <n v="10"/>
    <n v="16"/>
    <n v="6.4"/>
    <n v="6.4"/>
    <n v="3.2"/>
    <n v="31.999999999999996"/>
  </r>
  <r>
    <s v="Corrugated separator (16.9x16.9inchx 3ply Bursting pressure required: 14kgf  ~ 17kgf. Customer cummins export"/>
    <n v="2800"/>
    <n v="700"/>
    <n v="700"/>
    <n v="800"/>
    <n v="2.7087162619715585E-3"/>
    <n v="26"/>
    <n v="31"/>
    <n v="15"/>
    <n v="18.301575828412076"/>
    <n v="465"/>
    <n v="600"/>
    <n v="1"/>
    <n v="429.26"/>
    <n v="429.26"/>
    <n v="375"/>
    <n v="1200"/>
    <n v="1080"/>
    <n v="1200"/>
    <n v="3"/>
    <n v="2"/>
    <n v="2"/>
    <n v="3"/>
    <n v="12"/>
    <n v="219.61890994094492"/>
    <n v="3.9370078740157481"/>
    <n v="3"/>
    <n v="69099055.349999994"/>
    <n v="2.4402101104549434"/>
    <x v="0"/>
    <n v="15"/>
    <n v="15.5"/>
    <n v="6.2"/>
    <n v="6.2"/>
    <n v="3.1"/>
    <n v="31"/>
  </r>
  <r>
    <s v="26X24X15 ( 3 KRAFT PAPER 180 GSM 22 BF, 2 SEMI KRAFT PAPER 125 GSM 18 BF) Corrugated Box"/>
    <n v="7916"/>
    <n v="675.58974358974353"/>
    <n v="676"/>
    <n v="855"/>
    <n v="2.6158459901325336E-3"/>
    <n v="26"/>
    <n v="33"/>
    <n v="15"/>
    <n v="40.625000000000007"/>
    <n v="495"/>
    <n v="600"/>
    <n v="1"/>
    <n v="660.4"/>
    <n v="609.6"/>
    <n v="381"/>
    <n v="1200"/>
    <n v="1080"/>
    <n v="1200"/>
    <n v="3"/>
    <n v="1"/>
    <n v="1"/>
    <n v="3"/>
    <n v="3"/>
    <n v="121.87500000000003"/>
    <n v="3.9370078740157481"/>
    <n v="12"/>
    <n v="153382919.04000002"/>
    <n v="5.4166666666666679"/>
    <x v="0"/>
    <n v="60"/>
    <n v="16.5"/>
    <n v="6.6000000000000005"/>
    <n v="6.6000000000000005"/>
    <n v="3.3000000000000003"/>
    <n v="33"/>
  </r>
  <r>
    <s v="CB Box  850 x 380 x 280 mm ,  B.S-17 (5 Ply , Type-2)"/>
    <n v="590"/>
    <n v="590"/>
    <n v="590"/>
    <n v="590"/>
    <n v="2.2830608493760278E-3"/>
    <n v="26"/>
    <n v="23"/>
    <n v="15"/>
    <n v="23.953938437185712"/>
    <n v="345"/>
    <n v="600"/>
    <n v="1"/>
    <n v="850"/>
    <n v="380"/>
    <n v="280"/>
    <n v="1200"/>
    <n v="1080"/>
    <n v="1200"/>
    <n v="4"/>
    <n v="1"/>
    <n v="2"/>
    <n v="4"/>
    <n v="8"/>
    <n v="191.6315074974857"/>
    <n v="3.9370078740157481"/>
    <n v="4"/>
    <n v="90440000"/>
    <n v="3.1938584582914284"/>
    <x v="0"/>
    <n v="20"/>
    <n v="11.5"/>
    <n v="4.6000000000000005"/>
    <n v="4.6000000000000005"/>
    <n v="2.3000000000000003"/>
    <n v="23.000000000000004"/>
  </r>
  <r>
    <s v="20X17X12.5( 3 KRAFT PAPER 180 GSM 22 BF, 2 SEMI KRAFT PAPER 125 GSM 18 BF) Corrugated Box"/>
    <n v="954"/>
    <n v="577"/>
    <n v="577"/>
    <n v="663"/>
    <n v="2.2327561187965562E-3"/>
    <n v="26"/>
    <n v="26"/>
    <n v="15"/>
    <n v="18.446180555555557"/>
    <n v="390"/>
    <n v="600"/>
    <n v="1"/>
    <n v="508"/>
    <n v="431.8"/>
    <n v="317.5"/>
    <n v="1200"/>
    <n v="1080"/>
    <n v="1200"/>
    <n v="4"/>
    <n v="2"/>
    <n v="2"/>
    <n v="4"/>
    <n v="16"/>
    <n v="295.13888888888891"/>
    <n v="3.9370078740157481"/>
    <n v="2"/>
    <n v="69645022"/>
    <n v="2.4594907407407409"/>
    <x v="0"/>
    <n v="10"/>
    <n v="13"/>
    <n v="5.2"/>
    <n v="5.2"/>
    <n v="2.6"/>
    <n v="26"/>
  </r>
  <r>
    <s v="5-ply cardboard separator (size in inch 26*26)"/>
    <n v="4037"/>
    <n v="576.71428571428567"/>
    <n v="577"/>
    <n v="757"/>
    <n v="2.2327561187965562E-3"/>
    <n v="26"/>
    <n v="30"/>
    <n v="15"/>
    <n v="43.317339238845143"/>
    <n v="450"/>
    <n v="600"/>
    <n v="1"/>
    <n v="660.4"/>
    <n v="660.4"/>
    <n v="375"/>
    <n v="1200"/>
    <n v="1080"/>
    <n v="1200"/>
    <n v="3"/>
    <n v="1"/>
    <n v="1"/>
    <n v="3"/>
    <n v="3"/>
    <n v="129.95201771653544"/>
    <n v="3.9370078740157481"/>
    <n v="11"/>
    <n v="163548060"/>
    <n v="5.7756452318460187"/>
    <x v="0"/>
    <n v="55"/>
    <n v="15"/>
    <n v="6"/>
    <n v="6"/>
    <n v="3"/>
    <n v="30"/>
  </r>
  <r>
    <s v="5 Ply Corrugated Box (size- 965x535x508 mm)-OD, (Type-2 ,B.S -17 Kg/cm2)"/>
    <n v="2102"/>
    <n v="555.4"/>
    <n v="556"/>
    <n v="579"/>
    <n v="2.1514946309374094E-3"/>
    <n v="26"/>
    <n v="23"/>
    <n v="15"/>
    <n v="69.464223129835148"/>
    <n v="345"/>
    <n v="600"/>
    <n v="1"/>
    <n v="965"/>
    <n v="535"/>
    <n v="508"/>
    <n v="1200"/>
    <n v="1080"/>
    <n v="1200"/>
    <n v="2"/>
    <n v="1"/>
    <n v="2"/>
    <n v="2"/>
    <n v="4"/>
    <n v="277.85689251934059"/>
    <n v="3.9370078740157481"/>
    <n v="7"/>
    <n v="262267700"/>
    <n v="9.2618964173113536"/>
    <x v="0"/>
    <n v="35"/>
    <n v="11.5"/>
    <n v="4.6000000000000005"/>
    <n v="4.6000000000000005"/>
    <n v="2.3000000000000003"/>
    <n v="23.000000000000004"/>
  </r>
  <r>
    <s v="15X11X7 ( 3 KRAFT PAPER 180 GSM 22 BF, 2 SEMI KRAFT PAPER 125 GSM 18 BF) Corrugated Box"/>
    <n v="4406"/>
    <n v="525.5"/>
    <n v="526"/>
    <n v="665"/>
    <n v="2.0354067911386282E-3"/>
    <n v="26"/>
    <n v="26"/>
    <n v="15"/>
    <n v="5.013020833333333"/>
    <n v="390"/>
    <n v="600"/>
    <n v="1"/>
    <n v="381"/>
    <n v="279.39999999999998"/>
    <n v="177.8"/>
    <n v="1200"/>
    <n v="1080"/>
    <n v="1200"/>
    <n v="7"/>
    <n v="3"/>
    <n v="3"/>
    <n v="7"/>
    <n v="63"/>
    <n v="315.8203125"/>
    <n v="3.9370078740157481"/>
    <n v="1"/>
    <n v="18927058.920000002"/>
    <n v="0.66840277777777779"/>
    <x v="0"/>
    <n v="5"/>
    <n v="13"/>
    <n v="5.2"/>
    <n v="5.2"/>
    <n v="2.6"/>
    <n v="26"/>
  </r>
  <r>
    <s v="280X270X160 5 PLY 300GM CB BOX"/>
    <n v="1637"/>
    <n v="518.77777777777783"/>
    <n v="519"/>
    <n v="529"/>
    <n v="2.0083196285189129E-3"/>
    <n v="26"/>
    <n v="21"/>
    <n v="15"/>
    <n v="3.2037465649734456"/>
    <n v="315"/>
    <n v="600"/>
    <n v="1"/>
    <n v="280"/>
    <n v="270"/>
    <n v="160"/>
    <n v="1200"/>
    <n v="1080"/>
    <n v="1200"/>
    <n v="8"/>
    <n v="4"/>
    <n v="4"/>
    <n v="8"/>
    <n v="128"/>
    <n v="410.07956031660103"/>
    <n v="3.9370078740157481"/>
    <n v="1"/>
    <n v="12096000"/>
    <n v="0.42716620866312605"/>
    <x v="0"/>
    <n v="5"/>
    <n v="10.5"/>
    <n v="4.2"/>
    <n v="4.2"/>
    <n v="2.1"/>
    <n v="21"/>
  </r>
  <r>
    <s v="CB Box  280 x 240 x 160 mm , B.S-14 (5 Ply , Type-1)"/>
    <n v="5539"/>
    <n v="461.58333333333331"/>
    <n v="462"/>
    <n v="612"/>
    <n v="1.7877527329012285E-3"/>
    <n v="26"/>
    <n v="24"/>
    <n v="15"/>
    <n v="2.8477747244208396"/>
    <n v="360"/>
    <n v="600"/>
    <n v="1"/>
    <n v="280"/>
    <n v="240"/>
    <n v="160"/>
    <n v="1200"/>
    <n v="1080"/>
    <n v="1200"/>
    <n v="8"/>
    <n v="4"/>
    <n v="4"/>
    <n v="8"/>
    <n v="128"/>
    <n v="364.51516472586746"/>
    <n v="3.9370078740157481"/>
    <n v="1"/>
    <n v="10752000"/>
    <n v="0.37970329658944529"/>
    <x v="0"/>
    <n v="5"/>
    <n v="12"/>
    <n v="4.8000000000000007"/>
    <n v="4.8000000000000007"/>
    <n v="2.4000000000000004"/>
    <n v="24"/>
  </r>
  <r>
    <s v="37X14X10 ( 3 KRAFT PAPER 180 GSM 22 BF, 2 SEMI KRAFT PAPER 125 GSM 18 BF) Corrugated Box"/>
    <n v="868"/>
    <n v="434"/>
    <n v="434"/>
    <n v="516"/>
    <n v="1.6794040824223663E-3"/>
    <n v="26"/>
    <n v="20"/>
    <n v="15"/>
    <n v="22.482638888888889"/>
    <n v="300"/>
    <n v="600"/>
    <n v="1"/>
    <n v="939.8"/>
    <n v="355.6"/>
    <n v="254"/>
    <n v="1200"/>
    <n v="1080"/>
    <n v="1200"/>
    <n v="5"/>
    <n v="1"/>
    <n v="3"/>
    <n v="5"/>
    <n v="15"/>
    <n v="337.23958333333331"/>
    <n v="3.9370078740157481"/>
    <n v="2"/>
    <n v="84884991.519999996"/>
    <n v="2.9976851851851851"/>
    <x v="0"/>
    <n v="10"/>
    <n v="10"/>
    <n v="4"/>
    <n v="4"/>
    <n v="2"/>
    <n v="20"/>
  </r>
  <r>
    <s v="Corrugated BOX 20 x 22 x 9 7PLY"/>
    <n v="428"/>
    <n v="428"/>
    <n v="428"/>
    <n v="428"/>
    <n v="1.6561865144626101E-3"/>
    <n v="26"/>
    <n v="17"/>
    <n v="15"/>
    <n v="17.1875"/>
    <n v="255"/>
    <n v="600"/>
    <n v="1"/>
    <n v="508"/>
    <n v="558.79999999999995"/>
    <n v="228.6"/>
    <n v="1200"/>
    <n v="1080"/>
    <n v="1200"/>
    <n v="5"/>
    <n v="2"/>
    <n v="1"/>
    <n v="5"/>
    <n v="10"/>
    <n v="171.875"/>
    <n v="3.9370078740157481"/>
    <n v="2"/>
    <n v="64892773.43999999"/>
    <n v="2.2916666666666665"/>
    <x v="0"/>
    <n v="10"/>
    <n v="8.5"/>
    <n v="3.4000000000000004"/>
    <n v="3.4000000000000004"/>
    <n v="1.7000000000000002"/>
    <n v="17"/>
  </r>
  <r>
    <s v="CORRAGATED BOX  41.5X7.5X7"/>
    <n v="854"/>
    <n v="427"/>
    <n v="427"/>
    <n v="511"/>
    <n v="1.6523169198026507E-3"/>
    <n v="26"/>
    <n v="20"/>
    <n v="15"/>
    <n v="9.4563802083333357"/>
    <n v="300"/>
    <n v="600"/>
    <n v="1"/>
    <n v="1054.1000000000001"/>
    <n v="190.5"/>
    <n v="177.8"/>
    <n v="1200"/>
    <n v="1080"/>
    <n v="1200"/>
    <n v="7"/>
    <n v="1"/>
    <n v="5"/>
    <n v="7"/>
    <n v="35"/>
    <n v="330.97330729166674"/>
    <n v="3.9370078740157481"/>
    <n v="1"/>
    <n v="35703315.690000005"/>
    <n v="1.2608506944444446"/>
    <x v="0"/>
    <n v="5"/>
    <n v="10"/>
    <n v="4"/>
    <n v="4"/>
    <n v="2"/>
    <n v="20"/>
  </r>
  <r>
    <s v="7 PLY CORRUGATED BOXS 20 x 17 x 12.5"/>
    <n v="850"/>
    <n v="425"/>
    <n v="425"/>
    <n v="538"/>
    <n v="1.644577730482732E-3"/>
    <n v="26"/>
    <n v="21"/>
    <n v="15"/>
    <n v="18.446180555555557"/>
    <n v="315"/>
    <n v="600"/>
    <n v="1"/>
    <n v="508"/>
    <n v="431.8"/>
    <n v="317.5"/>
    <n v="1200"/>
    <n v="1080"/>
    <n v="1200"/>
    <n v="4"/>
    <n v="2"/>
    <n v="2"/>
    <n v="4"/>
    <n v="16"/>
    <n v="295.13888888888891"/>
    <n v="3.9370078740157481"/>
    <n v="2"/>
    <n v="69645022"/>
    <n v="2.4594907407407409"/>
    <x v="0"/>
    <n v="10"/>
    <n v="10.5"/>
    <n v="4.2"/>
    <n v="4.2"/>
    <n v="2.1"/>
    <n v="21"/>
  </r>
  <r>
    <s v="CB box : 560 x 370 x 190 mm (OD with lid) 5 ply HSC (B.S-14kg/cm2) &amp; 3ply lid (B.S-10-12kg/cm2)"/>
    <n v="411"/>
    <n v="411"/>
    <n v="411"/>
    <n v="411"/>
    <n v="1.5904034052433007E-3"/>
    <n v="26"/>
    <n v="16"/>
    <n v="15"/>
    <n v="10.427008496186721"/>
    <n v="240"/>
    <n v="600"/>
    <n v="1"/>
    <n v="560"/>
    <n v="370"/>
    <n v="190"/>
    <n v="1200"/>
    <n v="1080"/>
    <n v="1200"/>
    <n v="6"/>
    <n v="2"/>
    <n v="2"/>
    <n v="6"/>
    <n v="24"/>
    <n v="250.24820390848129"/>
    <n v="3.9370078740157481"/>
    <n v="1"/>
    <n v="39368000"/>
    <n v="1.3902677994915629"/>
    <x v="0"/>
    <n v="5"/>
    <n v="8"/>
    <n v="3.2"/>
    <n v="3.2"/>
    <n v="1.6"/>
    <n v="15.999999999999998"/>
  </r>
  <r>
    <s v="5 PLY CORRUGATED BOX  ( 660 x 380 x 180 mm)"/>
    <n v="3243"/>
    <n v="405.375"/>
    <n v="406"/>
    <n v="468"/>
    <n v="1.571055431943504E-3"/>
    <n v="26"/>
    <n v="18"/>
    <n v="15"/>
    <n v="11.956839858561606"/>
    <n v="270"/>
    <n v="600"/>
    <n v="1"/>
    <n v="660"/>
    <n v="380"/>
    <n v="180"/>
    <n v="1200"/>
    <n v="1080"/>
    <n v="1200"/>
    <n v="7"/>
    <n v="1"/>
    <n v="2"/>
    <n v="7"/>
    <n v="14"/>
    <n v="167.39575801986248"/>
    <n v="3.9370078740157481"/>
    <n v="2"/>
    <n v="45144000"/>
    <n v="1.5942453144748809"/>
    <x v="0"/>
    <n v="10"/>
    <n v="9"/>
    <n v="3.6"/>
    <n v="3.6"/>
    <n v="1.8"/>
    <n v="18"/>
  </r>
  <r>
    <s v="CB Box 750 x 460 x 200 mm , B.S-17 (5 Ply , Type-2)"/>
    <n v="395"/>
    <n v="395"/>
    <n v="395"/>
    <n v="395"/>
    <n v="1.5284898906839509E-3"/>
    <n v="26"/>
    <n v="16"/>
    <n v="15"/>
    <n v="18.275340028370344"/>
    <n v="240"/>
    <n v="600"/>
    <n v="1"/>
    <n v="750"/>
    <n v="460"/>
    <n v="200"/>
    <n v="1200"/>
    <n v="1080"/>
    <n v="1200"/>
    <n v="6"/>
    <n v="1"/>
    <n v="2"/>
    <n v="6"/>
    <n v="12"/>
    <n v="219.30408034044413"/>
    <n v="3.9370078740157481"/>
    <n v="2"/>
    <n v="69000000"/>
    <n v="2.4367120037827128"/>
    <x v="0"/>
    <n v="10"/>
    <n v="8"/>
    <n v="3.2"/>
    <n v="3.2"/>
    <n v="1.6"/>
    <n v="15.999999999999998"/>
  </r>
  <r>
    <s v="CORRUGATED BOX   840x520x280 (For GM)"/>
    <n v="3797"/>
    <n v="379.7"/>
    <n v="380"/>
    <n v="380"/>
    <n v="1.4704459707845603E-3"/>
    <n v="26"/>
    <n v="15"/>
    <n v="15"/>
    <n v="32.393437490287063"/>
    <n v="225"/>
    <n v="600"/>
    <n v="1"/>
    <n v="840"/>
    <n v="520"/>
    <n v="280"/>
    <n v="1200"/>
    <n v="1080"/>
    <n v="1200"/>
    <n v="4"/>
    <n v="1"/>
    <n v="2"/>
    <n v="4"/>
    <n v="8"/>
    <n v="259.1474999222965"/>
    <n v="3.9370078740157481"/>
    <n v="2"/>
    <n v="122304000"/>
    <n v="4.3191249987049414"/>
    <x v="0"/>
    <n v="10"/>
    <n v="7.5"/>
    <n v="3"/>
    <n v="3"/>
    <n v="1.5"/>
    <n v="15"/>
  </r>
  <r>
    <s v="CORRUGATED BOX (60 X 22 X 20 )&quot;  7 PLY"/>
    <n v="380"/>
    <n v="380"/>
    <n v="380"/>
    <n v="461"/>
    <n v="1.4704459707845603E-3"/>
    <n v="26"/>
    <n v="18"/>
    <n v="15"/>
    <n v="114.58333333333331"/>
    <n v="270"/>
    <n v="600"/>
    <n v="1"/>
    <n v="1524"/>
    <n v="558.79999999999995"/>
    <n v="508"/>
    <n v="1500"/>
    <n v="1080"/>
    <n v="1200"/>
    <n v="2"/>
    <n v="1"/>
    <n v="1"/>
    <n v="2"/>
    <n v="2"/>
    <n v="229.16666666666663"/>
    <n v="3.9370078740157481"/>
    <n v="10"/>
    <n v="432618489.59999996"/>
    <n v="15.277777777777775"/>
    <x v="2"/>
    <n v="100"/>
    <n v="9"/>
    <n v="3.6"/>
    <n v="3.6"/>
    <n v="1.8"/>
    <n v="18"/>
  </r>
  <r>
    <s v="Corrugated box (L:442*B:442*H:216mm) 5ply, Bursting pressure required: 14kgf  ~ 17kgf, Customer cummins export"/>
    <n v="1489"/>
    <n v="372.25"/>
    <n v="373"/>
    <n v="483"/>
    <n v="1.4433588081648448E-3"/>
    <n v="26"/>
    <n v="19"/>
    <n v="15"/>
    <n v="11.176727569990575"/>
    <n v="285"/>
    <n v="600"/>
    <n v="1"/>
    <n v="442"/>
    <n v="442"/>
    <n v="216"/>
    <n v="1200"/>
    <n v="1080"/>
    <n v="1200"/>
    <n v="6"/>
    <n v="2"/>
    <n v="2"/>
    <n v="6"/>
    <n v="24"/>
    <n v="268.24146167977381"/>
    <n v="3.9370078740157481"/>
    <n v="1"/>
    <n v="42198624"/>
    <n v="1.49023034266541"/>
    <x v="0"/>
    <n v="5"/>
    <n v="9.5"/>
    <n v="3.8000000000000003"/>
    <n v="3.8000000000000003"/>
    <n v="1.9000000000000001"/>
    <n v="19"/>
  </r>
  <r>
    <s v="CB box : 1015 x 230 x 125 mm  (OD ) 5 ply, Type-1  , (B.S-14kg/cm2)"/>
    <n v="1008"/>
    <n v="336"/>
    <n v="336"/>
    <n v="355"/>
    <n v="1.300183805746348E-3"/>
    <n v="26"/>
    <n v="14"/>
    <n v="15"/>
    <n v="7.7289458869982921"/>
    <n v="210"/>
    <n v="600"/>
    <n v="1"/>
    <n v="1015"/>
    <n v="230"/>
    <n v="125"/>
    <n v="1200"/>
    <n v="1080"/>
    <n v="1200"/>
    <n v="10"/>
    <n v="1"/>
    <n v="4"/>
    <n v="10"/>
    <n v="40"/>
    <n v="309.15783547993169"/>
    <n v="3.9370078740157481"/>
    <n v="1"/>
    <n v="29181250"/>
    <n v="1.0305261182664389"/>
    <x v="0"/>
    <n v="5"/>
    <n v="7"/>
    <n v="2.8000000000000003"/>
    <n v="2.8000000000000003"/>
    <n v="1.4000000000000001"/>
    <n v="14.000000000000002"/>
  </r>
  <r>
    <s v="CB Box:370x370x175mm 5ply (B.S-14kg/cm2)"/>
    <n v="630"/>
    <n v="315"/>
    <n v="315"/>
    <n v="323"/>
    <n v="1.2189223178872013E-3"/>
    <n v="26"/>
    <n v="13"/>
    <n v="15"/>
    <n v="6.3453834598504715"/>
    <n v="195"/>
    <n v="600"/>
    <n v="1"/>
    <n v="370"/>
    <n v="370"/>
    <n v="175"/>
    <n v="1200"/>
    <n v="1080"/>
    <n v="1200"/>
    <n v="7"/>
    <n v="3"/>
    <n v="2"/>
    <n v="7"/>
    <n v="42"/>
    <n v="266.50610531371979"/>
    <n v="3.9370078740157481"/>
    <n v="1"/>
    <n v="23957500"/>
    <n v="0.84605112798006288"/>
    <x v="0"/>
    <n v="5"/>
    <n v="6.5"/>
    <n v="2.6"/>
    <n v="2.6"/>
    <n v="1.3"/>
    <n v="13"/>
  </r>
  <r>
    <s v="13X8X5 ( 3 KRAFT PAPER 180 GSM 22 BF, 2 SEMI KRAFT PAPER 125 GSM 18 BF) Corrugated Box"/>
    <n v="300"/>
    <n v="300"/>
    <n v="300"/>
    <n v="400"/>
    <n v="1.1608783979878108E-3"/>
    <n v="26"/>
    <n v="16"/>
    <n v="15"/>
    <n v="2.2569444444444446"/>
    <n v="240"/>
    <n v="600"/>
    <n v="1"/>
    <n v="330.2"/>
    <n v="203.2"/>
    <n v="127"/>
    <n v="1200"/>
    <n v="1080"/>
    <n v="1200"/>
    <n v="9"/>
    <n v="3"/>
    <n v="5"/>
    <n v="9"/>
    <n v="135"/>
    <n v="304.6875"/>
    <n v="3.9370078740157481"/>
    <n v="1"/>
    <n v="8521273.2799999993"/>
    <n v="0.30092592592592593"/>
    <x v="0"/>
    <n v="5"/>
    <n v="8"/>
    <n v="3.2"/>
    <n v="3.2"/>
    <n v="1.6"/>
    <n v="15.999999999999998"/>
  </r>
  <r>
    <s v="20X12X8 7 PLY 300 TOP GM CB BOX"/>
    <n v="300"/>
    <n v="300"/>
    <n v="300"/>
    <n v="300"/>
    <n v="1.1608783979878108E-3"/>
    <n v="26"/>
    <n v="12"/>
    <n v="15"/>
    <n v="8.3333333333333321"/>
    <n v="180"/>
    <n v="600"/>
    <n v="1"/>
    <n v="508"/>
    <n v="304.8"/>
    <n v="203.2"/>
    <n v="1200"/>
    <n v="1080"/>
    <n v="1200"/>
    <n v="6"/>
    <n v="2"/>
    <n v="3"/>
    <n v="6"/>
    <n v="36"/>
    <n v="299.99999999999994"/>
    <n v="3.9370078740157481"/>
    <n v="1"/>
    <n v="31463162.879999995"/>
    <n v="1.1111111111111109"/>
    <x v="0"/>
    <n v="5"/>
    <n v="6"/>
    <n v="2.4000000000000004"/>
    <n v="2.4000000000000004"/>
    <n v="1.2000000000000002"/>
    <n v="12"/>
  </r>
  <r>
    <s v="5 Ply  Corrugated Box (size- 508x430x190 mm)-OD, (Type-1 ,B.S -14 Kg/cm2)"/>
    <n v="600"/>
    <n v="300"/>
    <n v="300"/>
    <n v="300"/>
    <n v="1.1608783979878108E-3"/>
    <n v="26"/>
    <n v="12"/>
    <n v="15"/>
    <n v="10.992643513064806"/>
    <n v="180"/>
    <n v="600"/>
    <n v="1"/>
    <n v="508"/>
    <n v="430"/>
    <n v="190"/>
    <n v="1200"/>
    <n v="1080"/>
    <n v="1200"/>
    <n v="6"/>
    <n v="2"/>
    <n v="2"/>
    <n v="6"/>
    <n v="24"/>
    <n v="263.82344431355534"/>
    <n v="3.9370078740157481"/>
    <n v="1"/>
    <n v="41503600"/>
    <n v="1.465685801741974"/>
    <x v="0"/>
    <n v="5"/>
    <n v="6"/>
    <n v="2.4000000000000004"/>
    <n v="2.4000000000000004"/>
    <n v="1.2000000000000002"/>
    <n v="12"/>
  </r>
  <r>
    <s v="C.B. BOXES   42 X 13 X 12&quot;   7PLY"/>
    <n v="296"/>
    <n v="296"/>
    <n v="296"/>
    <n v="296"/>
    <n v="1.1454000193479733E-3"/>
    <n v="26"/>
    <n v="12"/>
    <n v="15"/>
    <n v="28.437500000000004"/>
    <n v="180"/>
    <n v="600"/>
    <n v="1"/>
    <n v="1066.8"/>
    <n v="330.2"/>
    <n v="304.8"/>
    <n v="1200"/>
    <n v="1080"/>
    <n v="1200"/>
    <n v="4"/>
    <n v="1"/>
    <n v="3"/>
    <n v="4"/>
    <n v="12"/>
    <n v="341.25000000000006"/>
    <n v="3.9370078740157481"/>
    <n v="2"/>
    <n v="107368043.32799999"/>
    <n v="3.791666666666667"/>
    <x v="0"/>
    <n v="10"/>
    <n v="6"/>
    <n v="2.4000000000000004"/>
    <n v="2.4000000000000004"/>
    <n v="1.2000000000000002"/>
    <n v="12"/>
  </r>
  <r>
    <s v="Corrugated Box 38 X 21 X 20&quot; , 7Ply"/>
    <n v="295"/>
    <n v="295"/>
    <n v="295"/>
    <n v="295"/>
    <n v="1.1415304246880139E-3"/>
    <n v="26"/>
    <n v="12"/>
    <n v="15"/>
    <n v="69.270833333333314"/>
    <n v="180"/>
    <n v="600"/>
    <n v="1"/>
    <n v="965.19999999999993"/>
    <n v="533.4"/>
    <n v="508"/>
    <n v="1200"/>
    <n v="1080"/>
    <n v="1200"/>
    <n v="2"/>
    <n v="1"/>
    <n v="2"/>
    <n v="2"/>
    <n v="4"/>
    <n v="277.08333333333326"/>
    <n v="3.9370078740157481"/>
    <n v="4"/>
    <n v="261537541.43999997"/>
    <n v="9.2361111111111089"/>
    <x v="0"/>
    <n v="20"/>
    <n v="6"/>
    <n v="2.4000000000000004"/>
    <n v="2.4000000000000004"/>
    <n v="1.2000000000000002"/>
    <n v="12"/>
  </r>
  <r>
    <s v="5 Ply Corrugated Box (size- 1015x535x485 mm), (Type-2 ,B.S -17 Kg/cm2)"/>
    <n v="2627"/>
    <n v="262.7"/>
    <n v="263"/>
    <n v="343"/>
    <n v="1.0177033955693141E-3"/>
    <n v="26"/>
    <n v="14"/>
    <n v="15"/>
    <n v="69.755416835787187"/>
    <n v="210"/>
    <n v="600"/>
    <n v="1"/>
    <n v="1015"/>
    <n v="535"/>
    <n v="485"/>
    <n v="1200"/>
    <n v="1080"/>
    <n v="1200"/>
    <n v="2"/>
    <n v="1"/>
    <n v="2"/>
    <n v="2"/>
    <n v="4"/>
    <n v="279.02166734314875"/>
    <n v="3.9370078740157481"/>
    <n v="4"/>
    <n v="263367125"/>
    <n v="9.3007222447716256"/>
    <x v="0"/>
    <n v="20"/>
    <n v="7"/>
    <n v="2.8000000000000003"/>
    <n v="2.8000000000000003"/>
    <n v="1.4000000000000001"/>
    <n v="14.000000000000002"/>
  </r>
  <r>
    <s v="Corrugated Box ( 20 X 15 X 10 ) &quot; ( Export Quality )"/>
    <n v="2015"/>
    <n v="251.875"/>
    <n v="252"/>
    <n v="337"/>
    <n v="9.7513785430976101E-4"/>
    <n v="26"/>
    <n v="13"/>
    <n v="15"/>
    <n v="13.020833333333336"/>
    <n v="195"/>
    <n v="600"/>
    <n v="1"/>
    <n v="508"/>
    <n v="381"/>
    <n v="254"/>
    <n v="1200"/>
    <n v="1080"/>
    <n v="1200"/>
    <n v="5"/>
    <n v="2"/>
    <n v="2"/>
    <n v="5"/>
    <n v="20"/>
    <n v="260.41666666666674"/>
    <n v="3.9370078740157481"/>
    <n v="1"/>
    <n v="49161192"/>
    <n v="1.7361111111111114"/>
    <x v="0"/>
    <n v="5"/>
    <n v="6.5"/>
    <n v="2.6"/>
    <n v="2.6"/>
    <n v="1.3"/>
    <n v="13"/>
  </r>
  <r>
    <s v="CB box : 390x230x150 mm( OD with lid) 5 ply HSC, BS-14Kg/cm2 &amp; 3 Ply top lid ( BS-10kg/cm2)"/>
    <n v="250"/>
    <n v="250"/>
    <n v="250"/>
    <n v="250"/>
    <n v="9.6739866498984234E-4"/>
    <n v="26"/>
    <n v="10"/>
    <n v="15"/>
    <n v="3.5636913055322172"/>
    <n v="150"/>
    <n v="600"/>
    <n v="1"/>
    <n v="390"/>
    <n v="230"/>
    <n v="150"/>
    <n v="1200"/>
    <n v="1080"/>
    <n v="1200"/>
    <n v="8"/>
    <n v="3"/>
    <n v="4"/>
    <n v="8"/>
    <n v="96"/>
    <n v="342.11436533109287"/>
    <n v="3.9370078740157481"/>
    <n v="1"/>
    <n v="13455000"/>
    <n v="0.47515884073762898"/>
    <x v="0"/>
    <n v="5"/>
    <n v="5"/>
    <n v="2"/>
    <n v="2"/>
    <n v="1"/>
    <n v="10"/>
  </r>
  <r>
    <s v="5 Ply Corrugated Box (size- 750x460x200 mm)-OD, (Type-2 ,B.S -17 Kg/cm2)"/>
    <n v="2490"/>
    <n v="249"/>
    <n v="249"/>
    <n v="326"/>
    <n v="9.6352907032988295E-4"/>
    <n v="26"/>
    <n v="13"/>
    <n v="15"/>
    <n v="18.275340028370344"/>
    <n v="195"/>
    <n v="600"/>
    <n v="1"/>
    <n v="750"/>
    <n v="460"/>
    <n v="200"/>
    <n v="1200"/>
    <n v="1080"/>
    <n v="1200"/>
    <n v="6"/>
    <n v="1"/>
    <n v="2"/>
    <n v="6"/>
    <n v="12"/>
    <n v="219.30408034044413"/>
    <n v="3.9370078740157481"/>
    <n v="2"/>
    <n v="69000000"/>
    <n v="2.4367120037827128"/>
    <x v="0"/>
    <n v="10"/>
    <n v="6.5"/>
    <n v="2.6"/>
    <n v="2.6"/>
    <n v="1.3"/>
    <n v="13"/>
  </r>
  <r>
    <s v="Cardboard Box 40&quot;x24x20&quot; - 7Ply"/>
    <n v="242"/>
    <n v="242"/>
    <n v="242"/>
    <n v="242"/>
    <n v="9.3644190771016733E-4"/>
    <n v="26"/>
    <n v="10"/>
    <n v="15"/>
    <n v="83.333333333333329"/>
    <n v="150"/>
    <n v="600"/>
    <n v="1"/>
    <n v="1016"/>
    <n v="609.6"/>
    <n v="508"/>
    <n v="1200"/>
    <n v="1080"/>
    <n v="1200"/>
    <n v="2"/>
    <n v="1"/>
    <n v="1"/>
    <n v="2"/>
    <n v="2"/>
    <n v="166.66666666666666"/>
    <n v="3.9370078740157481"/>
    <n v="6"/>
    <n v="314631628.80000001"/>
    <n v="11.111111111111111"/>
    <x v="0"/>
    <n v="30"/>
    <n v="5"/>
    <n v="2"/>
    <n v="2"/>
    <n v="1"/>
    <n v="10"/>
  </r>
  <r>
    <s v="5 PLY Corrugated Box 26x24x16 &quot;"/>
    <n v="639"/>
    <n v="235"/>
    <n v="235"/>
    <n v="293"/>
    <n v="9.0935474509045182E-4"/>
    <n v="26"/>
    <n v="12"/>
    <n v="15"/>
    <n v="43.333333333333336"/>
    <n v="180"/>
    <n v="600"/>
    <n v="1"/>
    <n v="660.4"/>
    <n v="609.6"/>
    <n v="406.4"/>
    <n v="1200"/>
    <n v="1080"/>
    <n v="1200"/>
    <n v="3"/>
    <n v="1"/>
    <n v="1"/>
    <n v="3"/>
    <n v="3"/>
    <n v="130"/>
    <n v="3.9370078740157481"/>
    <n v="5"/>
    <n v="163608446.97600001"/>
    <n v="5.7777777777777777"/>
    <x v="0"/>
    <n v="25"/>
    <n v="6"/>
    <n v="2.4000000000000004"/>
    <n v="2.4000000000000004"/>
    <n v="1.2000000000000002"/>
    <n v="12"/>
  </r>
  <r>
    <s v="56X10X7 ( 3 KRAFT PAPER 180 GSM 22 BF, 2 SEMI KRAFT PAPER 125 GSM 18 BF) Corrugated Box"/>
    <n v="1515"/>
    <n v="216.42857142857142"/>
    <n v="217"/>
    <n v="270"/>
    <n v="8.3970204121118313E-4"/>
    <n v="26"/>
    <n v="11"/>
    <n v="15"/>
    <n v="17.013888888888893"/>
    <n v="165"/>
    <n v="600"/>
    <n v="1"/>
    <n v="1422.4"/>
    <n v="254"/>
    <n v="177.8"/>
    <n v="1500"/>
    <n v="1080"/>
    <n v="1200"/>
    <n v="7"/>
    <n v="1"/>
    <n v="4"/>
    <n v="7"/>
    <n v="28"/>
    <n v="476.38888888888903"/>
    <n v="3.9370078740157481"/>
    <n v="1"/>
    <n v="64237290.88000001"/>
    <n v="2.268518518518519"/>
    <x v="2"/>
    <n v="10"/>
    <n v="5.5"/>
    <n v="2.2000000000000002"/>
    <n v="2.2000000000000002"/>
    <n v="1.1000000000000001"/>
    <n v="11"/>
  </r>
  <r>
    <s v="5 Ply Corrugated Box (size- 1525x560x508 mm)-OD, (Type-2 ,B.S -17 Kg/cm2)"/>
    <n v="2575"/>
    <n v="214.58333333333334"/>
    <n v="215"/>
    <n v="254"/>
    <n v="8.3196285189126435E-4"/>
    <n v="26"/>
    <n v="10"/>
    <n v="15"/>
    <n v="114.90474369837629"/>
    <n v="150"/>
    <n v="600"/>
    <n v="1"/>
    <n v="1525"/>
    <n v="560"/>
    <n v="508"/>
    <n v="1500"/>
    <n v="1080"/>
    <n v="1200"/>
    <n v="2"/>
    <n v="1"/>
    <n v="1"/>
    <n v="2"/>
    <n v="2"/>
    <n v="229.80948739675259"/>
    <n v="3.9370078740157481"/>
    <n v="6"/>
    <n v="433832000"/>
    <n v="15.32063249311684"/>
    <x v="2"/>
    <n v="60"/>
    <n v="5"/>
    <n v="2"/>
    <n v="2"/>
    <n v="1"/>
    <n v="10"/>
  </r>
  <r>
    <s v="Corrugated Box  (970x1000x300mm )"/>
    <n v="931"/>
    <n v="211.57142857142856"/>
    <n v="212"/>
    <n v="274"/>
    <n v="8.2035406791138629E-4"/>
    <n v="26"/>
    <n v="11"/>
    <n v="15"/>
    <n v="77.074260119648855"/>
    <n v="165"/>
    <n v="600"/>
    <n v="1"/>
    <n v="970"/>
    <n v="1000"/>
    <n v="300"/>
    <n v="1200"/>
    <n v="1080"/>
    <n v="1200"/>
    <n v="4"/>
    <n v="1"/>
    <n v="1"/>
    <n v="4"/>
    <n v="4"/>
    <n v="308.29704047859542"/>
    <n v="3.9370078740157481"/>
    <n v="3"/>
    <n v="291000000"/>
    <n v="10.276568015953181"/>
    <x v="0"/>
    <n v="15"/>
    <n v="5.5"/>
    <n v="2.2000000000000002"/>
    <n v="2.2000000000000002"/>
    <n v="1.1000000000000001"/>
    <n v="11"/>
  </r>
  <r>
    <s v="C. B. BOX  26 X 9 X 9    300 GM  5 PLY"/>
    <n v="520"/>
    <n v="206.75"/>
    <n v="207"/>
    <n v="250"/>
    <n v="8.0100609461158944E-4"/>
    <n v="26"/>
    <n v="10"/>
    <n v="15"/>
    <n v="9.140625"/>
    <n v="150"/>
    <n v="600"/>
    <n v="1"/>
    <n v="660.4"/>
    <n v="228.6"/>
    <n v="228.6"/>
    <n v="1200"/>
    <n v="1080"/>
    <n v="1200"/>
    <n v="5"/>
    <n v="1"/>
    <n v="4"/>
    <n v="5"/>
    <n v="20"/>
    <n v="182.8125"/>
    <n v="3.9370078740157481"/>
    <n v="1"/>
    <n v="34511156.784000002"/>
    <n v="1.21875"/>
    <x v="0"/>
    <n v="5"/>
    <n v="5"/>
    <n v="2"/>
    <n v="2"/>
    <n v="1"/>
    <n v="10"/>
  </r>
  <r>
    <s v="CORRUGATED BOX (460 x 270 x 120) 5 PLY FOR G.M 3 Ply. 180V &amp; 2 Ply., 110SC."/>
    <n v="412"/>
    <n v="206"/>
    <n v="206"/>
    <n v="257"/>
    <n v="7.9713649995163006E-4"/>
    <n v="26"/>
    <n v="10"/>
    <n v="15"/>
    <n v="3.9474734461279946"/>
    <n v="150"/>
    <n v="600"/>
    <n v="1"/>
    <n v="460"/>
    <n v="270"/>
    <n v="120"/>
    <n v="1200"/>
    <n v="1080"/>
    <n v="1200"/>
    <n v="10"/>
    <n v="2"/>
    <n v="4"/>
    <n v="10"/>
    <n v="80"/>
    <n v="315.79787569023955"/>
    <n v="3.9370078740157481"/>
    <n v="1"/>
    <n v="14904000"/>
    <n v="0.52632979281706593"/>
    <x v="0"/>
    <n v="5"/>
    <n v="5"/>
    <n v="2"/>
    <n v="2"/>
    <n v="1"/>
    <n v="10"/>
  </r>
  <r>
    <s v="CORRUGRADED BOX Ø11X45"/>
    <n v="2375"/>
    <n v="182.69230769230768"/>
    <n v="183"/>
    <n v="230"/>
    <n v="7.0813582277256453E-4"/>
    <n v="26"/>
    <n v="9"/>
    <n v="15"/>
    <n v="31.719057578740152"/>
    <n v="135"/>
    <n v="600"/>
    <n v="1"/>
    <n v="279.39999999999998"/>
    <n v="1143"/>
    <n v="375"/>
    <n v="1200"/>
    <n v="1200"/>
    <n v="1200"/>
    <n v="3"/>
    <n v="4"/>
    <n v="1"/>
    <n v="3"/>
    <n v="12"/>
    <n v="380.62869094488184"/>
    <n v="3.9370078740157481"/>
    <n v="1"/>
    <n v="119757824.99999999"/>
    <n v="4.2292076771653537"/>
    <x v="0"/>
    <n v="5"/>
    <n v="4.5"/>
    <n v="1.8"/>
    <n v="1.8"/>
    <n v="0.9"/>
    <n v="9"/>
  </r>
  <r>
    <s v="Card Board Box 26&quot; x 17&quot; x 10-1/2&quot;"/>
    <n v="1405"/>
    <n v="175.625"/>
    <n v="176"/>
    <n v="180"/>
    <n v="6.8104866015284901E-4"/>
    <n v="26"/>
    <n v="7"/>
    <n v="15"/>
    <n v="19.184027777777779"/>
    <n v="105"/>
    <n v="600"/>
    <n v="1"/>
    <n v="660.4"/>
    <n v="431.8"/>
    <n v="254"/>
    <n v="1200"/>
    <n v="1080"/>
    <n v="1200"/>
    <n v="5"/>
    <n v="1"/>
    <n v="2"/>
    <n v="5"/>
    <n v="10"/>
    <n v="191.84027777777777"/>
    <n v="3.9370078740157481"/>
    <n v="1"/>
    <n v="72430822.879999995"/>
    <n v="2.5578703703703707"/>
    <x v="0"/>
    <n v="5"/>
    <n v="3.5"/>
    <n v="1.4000000000000001"/>
    <n v="1.4000000000000001"/>
    <n v="0.70000000000000007"/>
    <n v="7.0000000000000009"/>
  </r>
  <r>
    <s v="5 Ply Corrugated Box (size- 1370x305x280 mm)-OD, (Type-2 ,B.S -17 Kg/cm2)"/>
    <n v="1353"/>
    <n v="169.125"/>
    <n v="170"/>
    <n v="186"/>
    <n v="6.5783109219309278E-4"/>
    <n v="26"/>
    <n v="8"/>
    <n v="15"/>
    <n v="30.988090328105415"/>
    <n v="120"/>
    <n v="600"/>
    <n v="1"/>
    <n v="1370"/>
    <n v="305"/>
    <n v="280"/>
    <n v="1500"/>
    <n v="1080"/>
    <n v="1200"/>
    <n v="4"/>
    <n v="1"/>
    <n v="3"/>
    <n v="4"/>
    <n v="12"/>
    <n v="371.85708393726497"/>
    <n v="3.9370078740157481"/>
    <n v="1"/>
    <n v="116998000"/>
    <n v="4.1317453770807218"/>
    <x v="2"/>
    <n v="10"/>
    <n v="4"/>
    <n v="1.6"/>
    <n v="1.6"/>
    <n v="0.8"/>
    <n v="7.9999999999999991"/>
  </r>
  <r>
    <s v="5 Ply Corrugated Box (size- 560x508x230 mm)-OD, (Type-2 ,B.S -17 Kg/cm2)"/>
    <n v="649"/>
    <n v="162.25"/>
    <n v="163"/>
    <n v="214"/>
    <n v="6.3074392957337716E-4"/>
    <n v="26"/>
    <n v="9"/>
    <n v="15"/>
    <n v="17.329895770902652"/>
    <n v="135"/>
    <n v="600"/>
    <n v="1"/>
    <n v="560"/>
    <n v="508"/>
    <n v="230"/>
    <n v="1200"/>
    <n v="1080"/>
    <n v="1200"/>
    <n v="5"/>
    <n v="2"/>
    <n v="2"/>
    <n v="5"/>
    <n v="20"/>
    <n v="346.59791541805305"/>
    <n v="3.9370078740157481"/>
    <n v="1"/>
    <n v="65430400"/>
    <n v="2.3106527694536871"/>
    <x v="0"/>
    <n v="5"/>
    <n v="4.5"/>
    <n v="1.8"/>
    <n v="1.8"/>
    <n v="0.9"/>
    <n v="9"/>
  </r>
  <r>
    <s v="C.B.BOX 35X9X9  5PLY"/>
    <n v="454"/>
    <n v="151.33333333333334"/>
    <n v="152"/>
    <n v="152"/>
    <n v="5.8817838831382409E-4"/>
    <n v="26"/>
    <n v="6"/>
    <n v="15"/>
    <n v="12.3046875"/>
    <n v="90"/>
    <n v="600"/>
    <n v="1"/>
    <n v="889"/>
    <n v="228.6"/>
    <n v="228.6"/>
    <n v="1200"/>
    <n v="1080"/>
    <n v="1200"/>
    <n v="5"/>
    <n v="1"/>
    <n v="4"/>
    <n v="5"/>
    <n v="20"/>
    <n v="246.09375"/>
    <n v="3.9370078740157481"/>
    <n v="1"/>
    <n v="46457326.439999998"/>
    <n v="1.640625"/>
    <x v="0"/>
    <n v="5"/>
    <n v="3"/>
    <n v="1.2000000000000002"/>
    <n v="1.2000000000000002"/>
    <n v="0.60000000000000009"/>
    <n v="6"/>
  </r>
  <r>
    <s v="CB box : 510 x 380 x 145 mm (OD-with lid) 5 ply HSC (B.S-14kg/cm2) &amp; 3ply top lid (B.S: 10-12kg/cm2)"/>
    <n v="152"/>
    <n v="152"/>
    <n v="152"/>
    <n v="176"/>
    <n v="5.8817838831382409E-4"/>
    <n v="26"/>
    <n v="7"/>
    <n v="15"/>
    <n v="7.4428308715541309"/>
    <n v="105"/>
    <n v="600"/>
    <n v="1"/>
    <n v="510"/>
    <n v="380"/>
    <n v="145"/>
    <n v="1200"/>
    <n v="1080"/>
    <n v="1200"/>
    <n v="8"/>
    <n v="2"/>
    <n v="2"/>
    <n v="8"/>
    <n v="32"/>
    <n v="238.17058788973219"/>
    <n v="3.9370078740157481"/>
    <n v="1"/>
    <n v="28101000"/>
    <n v="0.99237744954055085"/>
    <x v="0"/>
    <n v="5"/>
    <n v="3.5"/>
    <n v="1.4000000000000001"/>
    <n v="1.4000000000000001"/>
    <n v="0.70000000000000007"/>
    <n v="7.0000000000000009"/>
  </r>
  <r>
    <s v="CB box : 790 x 380 x 150 mm (OD-with lid) 5 ply HSC (B.S-14kg/cm2) &amp; 3ply top lid (B.S:10-12kg/cm2)"/>
    <n v="150"/>
    <n v="150"/>
    <n v="150"/>
    <n v="150"/>
    <n v="5.8043919899390542E-4"/>
    <n v="26"/>
    <n v="6"/>
    <n v="15"/>
    <n v="11.926645818514736"/>
    <n v="90"/>
    <n v="600"/>
    <n v="1"/>
    <n v="790"/>
    <n v="380"/>
    <n v="150"/>
    <n v="1200"/>
    <n v="1080"/>
    <n v="1200"/>
    <n v="8"/>
    <n v="1"/>
    <n v="2"/>
    <n v="8"/>
    <n v="16"/>
    <n v="190.82633309623577"/>
    <n v="3.9370078740157481"/>
    <n v="1"/>
    <n v="45030000"/>
    <n v="1.5902194424686313"/>
    <x v="0"/>
    <n v="5"/>
    <n v="3"/>
    <n v="1.2000000000000002"/>
    <n v="1.2000000000000002"/>
    <n v="0.60000000000000009"/>
    <n v="6"/>
  </r>
  <r>
    <s v="CB box : 900 x 515 x 190 mm  (OD-with lid) 5 ply HSC (B.S-14kg/cm2) &amp; 3ply top lid (B.S-10-12kg/cm2)"/>
    <n v="150"/>
    <n v="150"/>
    <n v="150"/>
    <n v="150"/>
    <n v="5.8043919899390542E-4"/>
    <n v="26"/>
    <n v="6"/>
    <n v="15"/>
    <n v="23.324895936209199"/>
    <n v="90"/>
    <n v="600"/>
    <n v="1"/>
    <n v="900"/>
    <n v="515"/>
    <n v="190"/>
    <n v="1200"/>
    <n v="1080"/>
    <n v="1200"/>
    <n v="6"/>
    <n v="1"/>
    <n v="2"/>
    <n v="6"/>
    <n v="12"/>
    <n v="279.89875123451037"/>
    <n v="3.9370078740157481"/>
    <n v="1"/>
    <n v="88065000"/>
    <n v="3.1099861248278931"/>
    <x v="0"/>
    <n v="5"/>
    <n v="3"/>
    <n v="1.2000000000000002"/>
    <n v="1.2000000000000002"/>
    <n v="0.60000000000000009"/>
    <n v="6"/>
  </r>
  <r>
    <s v="CORGURATED BOX OF 7PLY (770 * 330 * 200mm)"/>
    <n v="1193"/>
    <n v="149.125"/>
    <n v="150"/>
    <n v="150"/>
    <n v="5.8043919899390542E-4"/>
    <n v="26"/>
    <n v="6"/>
    <n v="15"/>
    <n v="13.460185220895376"/>
    <n v="90"/>
    <n v="600"/>
    <n v="1"/>
    <n v="770"/>
    <n v="330"/>
    <n v="200"/>
    <n v="1200"/>
    <n v="1080"/>
    <n v="1200"/>
    <n v="6"/>
    <n v="1"/>
    <n v="3"/>
    <n v="6"/>
    <n v="18"/>
    <n v="242.28333397611675"/>
    <n v="3.9370078740157481"/>
    <n v="1"/>
    <n v="50820000"/>
    <n v="1.7946913627860501"/>
    <x v="0"/>
    <n v="5"/>
    <n v="3"/>
    <n v="1.2000000000000002"/>
    <n v="1.2000000000000002"/>
    <n v="0.60000000000000009"/>
    <n v="6"/>
  </r>
  <r>
    <s v="Corrogated Box (650 mm X 380 mm X 160 mm) with  Broad flute quality Strentgh 20 ±1 (3 version Kraft 250 gsm/25B.f &amp; 2 semi kraft 180 gsm/25 b.f"/>
    <n v="150"/>
    <n v="150"/>
    <n v="150"/>
    <n v="197"/>
    <n v="5.8043919899390542E-4"/>
    <n v="26"/>
    <n v="8"/>
    <n v="15"/>
    <n v="10.467267216249219"/>
    <n v="120"/>
    <n v="600"/>
    <n v="1"/>
    <n v="650"/>
    <n v="380"/>
    <n v="160"/>
    <n v="1200"/>
    <n v="1080"/>
    <n v="1200"/>
    <n v="8"/>
    <n v="1"/>
    <n v="2"/>
    <n v="8"/>
    <n v="16"/>
    <n v="167.47627545998751"/>
    <n v="3.9370078740157481"/>
    <n v="1"/>
    <n v="39520000"/>
    <n v="1.3956356288332292"/>
    <x v="0"/>
    <n v="5"/>
    <n v="4"/>
    <n v="1.6"/>
    <n v="1.6"/>
    <n v="0.8"/>
    <n v="7.9999999999999991"/>
  </r>
  <r>
    <s v="CB box : 570 x 340 x 150 mm (OD-with lid) 5 ply HSC (B.S-14kg/cm2) &amp; 3ply top lid (B.S:10-12kg/cm2)"/>
    <n v="149"/>
    <n v="149"/>
    <n v="149"/>
    <n v="149"/>
    <n v="5.7656960433394603E-4"/>
    <n v="26"/>
    <n v="6"/>
    <n v="15"/>
    <n v="7.6994802119525492"/>
    <n v="90"/>
    <n v="600"/>
    <n v="1"/>
    <n v="570"/>
    <n v="340"/>
    <n v="150"/>
    <n v="1200"/>
    <n v="1080"/>
    <n v="1200"/>
    <n v="8"/>
    <n v="2"/>
    <n v="3"/>
    <n v="8"/>
    <n v="48"/>
    <n v="369.57505017372239"/>
    <n v="3.9370078740157481"/>
    <n v="1"/>
    <n v="29070000"/>
    <n v="1.0265973615936732"/>
    <x v="0"/>
    <n v="5"/>
    <n v="3"/>
    <n v="1.2000000000000002"/>
    <n v="1.2000000000000002"/>
    <n v="0.60000000000000009"/>
    <n v="6"/>
  </r>
  <r>
    <s v="CB box : 635 x 390 x 150 mm (OD-with lid) 5 ply HSC (B.S-14kg/cm2) &amp; 3ply top lid (B.S:10-12kg/cm2)"/>
    <n v="149"/>
    <n v="149"/>
    <n v="149"/>
    <n v="149"/>
    <n v="5.7656960433394603E-4"/>
    <n v="26"/>
    <n v="6"/>
    <n v="15"/>
    <n v="9.8388868652737322"/>
    <n v="90"/>
    <n v="600"/>
    <n v="1"/>
    <n v="635"/>
    <n v="390"/>
    <n v="150"/>
    <n v="1200"/>
    <n v="1080"/>
    <n v="1200"/>
    <n v="8"/>
    <n v="1"/>
    <n v="2"/>
    <n v="8"/>
    <n v="16"/>
    <n v="157.42218984437972"/>
    <n v="3.9370078740157481"/>
    <n v="1"/>
    <n v="37147500"/>
    <n v="1.3118515820364975"/>
    <x v="0"/>
    <n v="5"/>
    <n v="3"/>
    <n v="1.2000000000000002"/>
    <n v="1.2000000000000002"/>
    <n v="0.60000000000000009"/>
    <n v="6"/>
  </r>
  <r>
    <s v="5 Ply Corrugated Box (size- 1880x305x280 mm)-OD, (Type-2 ,B.S -17 Kg/cm2)"/>
    <n v="322"/>
    <n v="133"/>
    <n v="133"/>
    <n v="172"/>
    <n v="5.1465608977459612E-4"/>
    <n v="26"/>
    <n v="7"/>
    <n v="15"/>
    <n v="42.52380278601327"/>
    <n v="105"/>
    <n v="600"/>
    <n v="1"/>
    <n v="1880"/>
    <n v="305"/>
    <n v="280"/>
    <n v="2000"/>
    <n v="1080"/>
    <n v="1200"/>
    <n v="4"/>
    <n v="1"/>
    <n v="3"/>
    <n v="4"/>
    <n v="12"/>
    <n v="510.28563343215922"/>
    <n v="3.9370078740157481"/>
    <n v="1"/>
    <n v="160552000"/>
    <n v="5.6698403714684362"/>
    <x v="3"/>
    <n v="10"/>
    <n v="3.5"/>
    <n v="1.4000000000000001"/>
    <n v="1.4000000000000001"/>
    <n v="0.70000000000000007"/>
    <n v="7.0000000000000009"/>
  </r>
  <r>
    <s v="CORRUGATED BOX (11x15x10) 7 PLY. With Original Vergin Paper."/>
    <n v="120"/>
    <n v="120"/>
    <n v="120"/>
    <n v="120"/>
    <n v="4.6435135919512433E-4"/>
    <n v="26"/>
    <n v="5"/>
    <n v="15"/>
    <n v="7.1614583333333321"/>
    <n v="75"/>
    <n v="600"/>
    <n v="1"/>
    <n v="279.39999999999998"/>
    <n v="381"/>
    <n v="254"/>
    <n v="1200"/>
    <n v="1080"/>
    <n v="1200"/>
    <n v="5"/>
    <n v="4"/>
    <n v="2"/>
    <n v="5"/>
    <n v="40"/>
    <n v="286.45833333333326"/>
    <n v="3.9370078740157481"/>
    <n v="1"/>
    <n v="27038655.599999998"/>
    <n v="0.95486111111111094"/>
    <x v="0"/>
    <n v="5"/>
    <n v="2.5"/>
    <n v="1"/>
    <n v="1"/>
    <n v="0.5"/>
    <n v="5"/>
  </r>
  <r>
    <s v="CB Box  960 x 500 x 300 mm , B.S-17 (5 Ply , Type-2)"/>
    <n v="100"/>
    <n v="100"/>
    <n v="100"/>
    <n v="100"/>
    <n v="3.8695946599593691E-4"/>
    <n v="26"/>
    <n v="4"/>
    <n v="15"/>
    <n v="38.139840059207678"/>
    <n v="60"/>
    <n v="600"/>
    <n v="1"/>
    <n v="960"/>
    <n v="500"/>
    <n v="300"/>
    <n v="1200"/>
    <n v="1080"/>
    <n v="1200"/>
    <n v="4"/>
    <n v="1"/>
    <n v="2"/>
    <n v="4"/>
    <n v="8"/>
    <n v="305.11872047366143"/>
    <n v="3.9370078740157481"/>
    <n v="1"/>
    <n v="144000000"/>
    <n v="5.0853120078943572"/>
    <x v="0"/>
    <n v="5"/>
    <n v="2"/>
    <n v="0.8"/>
    <n v="0.8"/>
    <n v="0.4"/>
    <n v="3.9999999999999996"/>
  </r>
  <r>
    <s v="CB Box :  1560 x 200 x 150 mm 5-ply Type-1 (B.S-14kg/cm2)"/>
    <n v="100"/>
    <n v="100"/>
    <n v="100"/>
    <n v="100"/>
    <n v="3.8695946599593691E-4"/>
    <n v="26"/>
    <n v="4"/>
    <n v="15"/>
    <n v="12.395448019242496"/>
    <n v="60"/>
    <n v="600"/>
    <n v="1"/>
    <n v="1560"/>
    <n v="200"/>
    <n v="150"/>
    <n v="1500"/>
    <n v="1080"/>
    <n v="1200"/>
    <n v="8"/>
    <n v="1"/>
    <n v="5"/>
    <n v="8"/>
    <n v="40"/>
    <n v="495.81792076969981"/>
    <n v="3.9370078740157481"/>
    <n v="1"/>
    <n v="46800000"/>
    <n v="1.6527264025656661"/>
    <x v="2"/>
    <n v="10"/>
    <n v="2"/>
    <n v="0.8"/>
    <n v="0.8"/>
    <n v="0.4"/>
    <n v="3.9999999999999996"/>
  </r>
  <r>
    <s v="5 Ply Corrugated Box (size- 1525x610x255 mm), (Type-2 ,B.S -17 Kg/cm2)"/>
    <n v="976"/>
    <n v="88.727272727272734"/>
    <n v="89"/>
    <n v="102"/>
    <n v="3.4439392473638384E-4"/>
    <n v="26"/>
    <n v="4"/>
    <n v="15"/>
    <n v="62.828433922533861"/>
    <n v="60"/>
    <n v="600"/>
    <n v="1"/>
    <n v="1525"/>
    <n v="610"/>
    <n v="255"/>
    <n v="1500"/>
    <n v="1080"/>
    <n v="1200"/>
    <n v="5"/>
    <n v="1"/>
    <n v="1"/>
    <n v="5"/>
    <n v="5"/>
    <n v="314.14216961266931"/>
    <n v="3.9370078740157481"/>
    <n v="1"/>
    <n v="237213750"/>
    <n v="8.3771245230045146"/>
    <x v="2"/>
    <n v="10"/>
    <n v="2"/>
    <n v="0.8"/>
    <n v="0.8"/>
    <n v="0.4"/>
    <n v="3.9999999999999996"/>
  </r>
  <r>
    <s v="Corrugated Box  Ply-7, H-8&quot;, W-16&quot;, L-36&quot;"/>
    <n v="780"/>
    <n v="86.666666666666671"/>
    <n v="87"/>
    <n v="101"/>
    <n v="3.3665473541646512E-4"/>
    <n v="26"/>
    <n v="4"/>
    <n v="15"/>
    <n v="19.999999999999996"/>
    <n v="60"/>
    <n v="600"/>
    <n v="1"/>
    <n v="914.4"/>
    <n v="406.4"/>
    <n v="203.2"/>
    <n v="1200"/>
    <n v="1080"/>
    <n v="1200"/>
    <n v="6"/>
    <n v="1"/>
    <n v="2"/>
    <n v="6"/>
    <n v="12"/>
    <n v="239.99999999999994"/>
    <n v="3.9370078740157481"/>
    <n v="1"/>
    <n v="75511590.911999986"/>
    <n v="2.6666666666666661"/>
    <x v="0"/>
    <n v="5"/>
    <n v="2"/>
    <n v="0.8"/>
    <n v="0.8"/>
    <n v="0.4"/>
    <n v="3.9999999999999996"/>
  </r>
  <r>
    <s v="5 Ply Corrugated Box (size- 765x455x230 mm)-OD, (Type-2 ,B.S -14 Kg/cm2)"/>
    <n v="163"/>
    <n v="81.5"/>
    <n v="82"/>
    <n v="91"/>
    <n v="3.1730676211666828E-4"/>
    <n v="26"/>
    <n v="4"/>
    <n v="15"/>
    <n v="21.203963267916691"/>
    <n v="60"/>
    <n v="600"/>
    <n v="1"/>
    <n v="765"/>
    <n v="455"/>
    <n v="230"/>
    <n v="1200"/>
    <n v="1080"/>
    <n v="1200"/>
    <n v="5"/>
    <n v="1"/>
    <n v="2"/>
    <n v="5"/>
    <n v="10"/>
    <n v="212.03963267916691"/>
    <n v="3.9370078740157481"/>
    <n v="1"/>
    <n v="80057250"/>
    <n v="2.8271951023888922"/>
    <x v="0"/>
    <n v="5"/>
    <n v="2"/>
    <n v="0.8"/>
    <n v="0.8"/>
    <n v="0.4"/>
    <n v="3.9999999999999996"/>
  </r>
  <r>
    <s v="Corrugated Box  Ply-5, H-180mm, W-240mm, L-410mm"/>
    <n v="153"/>
    <n v="76.5"/>
    <n v="77"/>
    <n v="91"/>
    <n v="2.9795878881687144E-4"/>
    <n v="26"/>
    <n v="4"/>
    <n v="15"/>
    <n v="4.6912003272825444"/>
    <n v="60"/>
    <n v="600"/>
    <n v="1"/>
    <n v="410"/>
    <n v="240"/>
    <n v="180"/>
    <n v="1200"/>
    <n v="1080"/>
    <n v="1200"/>
    <n v="7"/>
    <n v="2"/>
    <n v="4"/>
    <n v="7"/>
    <n v="56"/>
    <n v="262.70721832782249"/>
    <n v="3.9370078740157481"/>
    <n v="1"/>
    <n v="17712000"/>
    <n v="0.62549337697100593"/>
    <x v="0"/>
    <n v="5"/>
    <n v="2"/>
    <n v="0.8"/>
    <n v="0.8"/>
    <n v="0.4"/>
    <n v="3.9999999999999996"/>
  </r>
  <r>
    <s v="5 Ply Corrugated Box (size- 960x500x300 mm)-OD, (Type-2 ,B.S -17 Kg/cm2)"/>
    <n v="527"/>
    <n v="75.285714285714292"/>
    <n v="76"/>
    <n v="90"/>
    <n v="2.9408919415691205E-4"/>
    <n v="26"/>
    <n v="4"/>
    <n v="15"/>
    <n v="38.139840059207678"/>
    <n v="60"/>
    <n v="600"/>
    <n v="1"/>
    <n v="960"/>
    <n v="500"/>
    <n v="300"/>
    <n v="1200"/>
    <n v="1080"/>
    <n v="1200"/>
    <n v="4"/>
    <n v="1"/>
    <n v="2"/>
    <n v="4"/>
    <n v="8"/>
    <n v="305.11872047366143"/>
    <n v="3.9370078740157481"/>
    <n v="1"/>
    <n v="144000000"/>
    <n v="5.0853120078943572"/>
    <x v="0"/>
    <n v="5"/>
    <n v="2"/>
    <n v="0.8"/>
    <n v="0.8"/>
    <n v="0.4"/>
    <n v="3.9999999999999996"/>
  </r>
  <r>
    <s v="765X455X230 MM 7 PLY C. BOX"/>
    <n v="60"/>
    <n v="60"/>
    <n v="60"/>
    <n v="60"/>
    <n v="2.3217567959756216E-4"/>
    <n v="26"/>
    <n v="3"/>
    <n v="15"/>
    <n v="21.203963267916691"/>
    <n v="45"/>
    <n v="600"/>
    <n v="1"/>
    <n v="765"/>
    <n v="455"/>
    <n v="230"/>
    <n v="1200"/>
    <n v="1080"/>
    <n v="1200"/>
    <n v="5"/>
    <n v="1"/>
    <n v="2"/>
    <n v="5"/>
    <n v="10"/>
    <n v="212.03963267916691"/>
    <n v="3.9370078740157481"/>
    <n v="1"/>
    <n v="80057250"/>
    <n v="2.8271951023888922"/>
    <x v="0"/>
    <n v="5"/>
    <n v="1.5"/>
    <n v="0.60000000000000009"/>
    <n v="0.60000000000000009"/>
    <n v="0.30000000000000004"/>
    <n v="3"/>
  </r>
  <r>
    <s v="Corrugatted Box 54x12x11 (7 PLY)"/>
    <n v="60"/>
    <n v="60"/>
    <n v="60"/>
    <n v="60"/>
    <n v="2.3217567959756216E-4"/>
    <n v="26"/>
    <n v="3"/>
    <n v="15"/>
    <n v="30.9375"/>
    <n v="45"/>
    <n v="600"/>
    <n v="1"/>
    <n v="1371.6"/>
    <n v="304.8"/>
    <n v="279.39999999999998"/>
    <n v="1500"/>
    <n v="1080"/>
    <n v="1200"/>
    <n v="4"/>
    <n v="1"/>
    <n v="3"/>
    <n v="4"/>
    <n v="12"/>
    <n v="371.25"/>
    <n v="3.9370078740157481"/>
    <n v="1"/>
    <n v="116806992.19199999"/>
    <n v="4.125"/>
    <x v="2"/>
    <n v="10"/>
    <n v="1.5"/>
    <n v="0.60000000000000009"/>
    <n v="0.60000000000000009"/>
    <n v="0.30000000000000004"/>
    <n v="3"/>
  </r>
  <r>
    <s v="58X21X10 ( 3 KRAFT PAPER 180 GSM 22 BF, 2 SEMI KRAFT PAPER 125 GSM 18 BF) Corrugated Box"/>
    <n v="55"/>
    <n v="55"/>
    <n v="55"/>
    <n v="55"/>
    <n v="2.128277062977653E-4"/>
    <n v="26"/>
    <n v="3"/>
    <n v="15"/>
    <n v="52.864583333333329"/>
    <n v="45"/>
    <n v="600"/>
    <n v="1"/>
    <n v="1473.2"/>
    <n v="533.4"/>
    <n v="254"/>
    <n v="1500"/>
    <n v="1080"/>
    <n v="1200"/>
    <n v="5"/>
    <n v="1"/>
    <n v="2"/>
    <n v="5"/>
    <n v="10"/>
    <n v="528.64583333333326"/>
    <n v="3.9370078740157481"/>
    <n v="1"/>
    <n v="199594439.52000001"/>
    <n v="7.0486111111111107"/>
    <x v="2"/>
    <n v="10"/>
    <n v="1.5"/>
    <n v="0.60000000000000009"/>
    <n v="0.60000000000000009"/>
    <n v="0.30000000000000004"/>
    <n v="3"/>
  </r>
  <r>
    <s v="COURROGATED BOX 60 x 24 x 10"/>
    <n v="53"/>
    <n v="53"/>
    <n v="53"/>
    <n v="53"/>
    <n v="2.0508851697784657E-4"/>
    <n v="26"/>
    <n v="3"/>
    <n v="15"/>
    <n v="62.500000000000007"/>
    <n v="45"/>
    <n v="600"/>
    <n v="1"/>
    <n v="1524"/>
    <n v="609.6"/>
    <n v="254"/>
    <n v="1500"/>
    <n v="1080"/>
    <n v="1200"/>
    <n v="5"/>
    <n v="1"/>
    <n v="1"/>
    <n v="5"/>
    <n v="5"/>
    <n v="312.50000000000006"/>
    <n v="3.9370078740157481"/>
    <n v="1"/>
    <n v="235973721.59999999"/>
    <n v="8.3333333333333339"/>
    <x v="2"/>
    <n v="10"/>
    <n v="1.5"/>
    <n v="0.60000000000000009"/>
    <n v="0.60000000000000009"/>
    <n v="0.30000000000000004"/>
    <n v="3"/>
  </r>
  <r>
    <s v="CORRUGRADED BOX  Ø19X53"/>
    <n v="287"/>
    <n v="41"/>
    <n v="41"/>
    <n v="63"/>
    <n v="1.5865338105833414E-4"/>
    <n v="26"/>
    <n v="3"/>
    <n v="15"/>
    <n v="64.527456528871397"/>
    <n v="45"/>
    <n v="600"/>
    <n v="1"/>
    <n v="482.59999999999997"/>
    <n v="1346.2"/>
    <n v="375"/>
    <n v="1200"/>
    <n v="1300"/>
    <n v="1200"/>
    <n v="3"/>
    <n v="2"/>
    <n v="1"/>
    <n v="3"/>
    <n v="6"/>
    <n v="387.16473917322838"/>
    <n v="3.9370078740157481"/>
    <n v="1"/>
    <n v="243628545"/>
    <n v="8.6036608705161868"/>
    <x v="0"/>
    <n v="5"/>
    <n v="1.5"/>
    <n v="0.60000000000000009"/>
    <n v="0.60000000000000009"/>
    <n v="0.30000000000000004"/>
    <n v="3"/>
  </r>
  <r>
    <s v="Corrugated separator sheet size 1160 x 1020 mm, 5- Ply type -1 (B.S 14Kg/cm2)"/>
    <n v="20"/>
    <n v="20"/>
    <n v="20"/>
    <n v="20"/>
    <n v="7.7391893199187388E-5"/>
    <n v="26"/>
    <n v="1"/>
    <n v="15"/>
    <n v="117.51838218243367"/>
    <n v="15"/>
    <n v="600"/>
    <n v="1"/>
    <n v="1160"/>
    <n v="1020"/>
    <n v="375"/>
    <n v="1200"/>
    <n v="1080"/>
    <n v="1200"/>
    <n v="3"/>
    <n v="1"/>
    <n v="1"/>
    <n v="3"/>
    <n v="3"/>
    <n v="352.55514654730098"/>
    <n v="3.9370078740157481"/>
    <n v="1"/>
    <n v="443700000"/>
    <n v="15.669117624324489"/>
    <x v="0"/>
    <n v="5"/>
    <n v="0.5"/>
    <n v="0.2"/>
    <n v="0.2"/>
    <n v="0.1"/>
    <n v="0.99999999999999989"/>
  </r>
  <r>
    <s v="&quot;5 ply Corrugation partition assembly ,size: 1170x1060x460mm , (B.S-14kg/cm2)&quot;"/>
    <n v="10"/>
    <n v="10"/>
    <n v="10"/>
    <n v="10"/>
    <n v="3.8695946599593694E-5"/>
    <n v="26"/>
    <n v="1"/>
    <n v="15"/>
    <n v="151.10051135456601"/>
    <n v="15"/>
    <n v="600"/>
    <n v="1"/>
    <n v="1170"/>
    <n v="1060"/>
    <n v="460"/>
    <n v="1200"/>
    <n v="1080"/>
    <n v="1200"/>
    <n v="3"/>
    <n v="1"/>
    <n v="1"/>
    <n v="3"/>
    <n v="3"/>
    <n v="453.301534063698"/>
    <n v="3.9370078740157481"/>
    <n v="1"/>
    <n v="570492000"/>
    <n v="20.146734847275468"/>
    <x v="0"/>
    <n v="5"/>
    <n v="0.5"/>
    <n v="0.2"/>
    <n v="0.2"/>
    <n v="0.1"/>
    <n v="0.99999999999999989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">
  <r>
    <s v="5 Ply Corrugated Box (size- 457x380x330 mm)-OD, (Type-1 ,B.S -14 Kg/cm2)"/>
    <n v="250378"/>
    <n v="20921.833333333332"/>
    <n v="20922"/>
    <n v="23187"/>
    <n v="8.0959659475669923E-2"/>
    <n v="26"/>
    <n v="892"/>
    <n v="15"/>
    <n v="15.178543931562928"/>
    <n v="13380"/>
    <n v="600"/>
    <n v="23"/>
    <n v="457"/>
    <n v="380"/>
    <n v="330"/>
    <n v="1200"/>
    <n v="1080"/>
    <n v="1200"/>
    <n v="4"/>
    <n v="2"/>
    <n v="2"/>
    <n v="4"/>
    <n v="16"/>
    <n v="242.85670290500684"/>
    <n v="3.9370078740157481"/>
    <n v="59"/>
    <n v="57307800"/>
    <n v="2.0238058575417237"/>
    <x v="0"/>
    <n v="295"/>
    <n v="29.5"/>
    <n v="35.400000000000006"/>
    <n v="82.600000000000009"/>
    <n v="354"/>
    <n v="501.5"/>
    <n v="446"/>
    <n v="178"/>
    <n v="178"/>
    <n v="89"/>
    <n v="28"/>
    <n v="33"/>
    <n v="78"/>
    <n v="334"/>
    <n v="473"/>
  </r>
  <r>
    <s v="18X15X13( 3 KRAFT PAPER 180 GSM 22 BF, 2 SEMI KRAFT PAPER 125 GSM 18 BF) Corrugated Box"/>
    <n v="20816"/>
    <n v="17819"/>
    <n v="17819"/>
    <n v="19121"/>
    <n v="6.8952307245815997E-2"/>
    <n v="26"/>
    <n v="736"/>
    <n v="15"/>
    <n v="15.234375"/>
    <n v="11040"/>
    <n v="600"/>
    <n v="19"/>
    <n v="457.2"/>
    <n v="381"/>
    <n v="330.2"/>
    <n v="1200"/>
    <n v="1080"/>
    <n v="1200"/>
    <n v="4"/>
    <n v="2"/>
    <n v="2"/>
    <n v="4"/>
    <n v="16"/>
    <n v="243.75"/>
    <n v="3.9370078740157481"/>
    <n v="49"/>
    <n v="57518594.639999993"/>
    <n v="2.03125"/>
    <x v="0"/>
    <n v="245"/>
    <n v="24.5"/>
    <n v="29.400000000000002"/>
    <n v="68.600000000000009"/>
    <n v="294"/>
    <n v="416.5"/>
    <n v="368"/>
    <n v="147"/>
    <n v="147"/>
    <n v="74"/>
    <n v="23"/>
    <n v="28"/>
    <n v="64"/>
    <n v="278"/>
    <n v="393"/>
  </r>
  <r>
    <s v="5 Ply Corrugated Box (size- 940x355x320 mm)-OD, (Type-1 ,B.S -14 Kg/cm2)"/>
    <n v="205779"/>
    <n v="17683.933333333331"/>
    <n v="17684"/>
    <n v="20615"/>
    <n v="6.8429911966721491E-2"/>
    <n v="26"/>
    <n v="793"/>
    <n v="15"/>
    <n v="28.282810283905786"/>
    <n v="11895"/>
    <n v="600"/>
    <n v="20"/>
    <n v="940"/>
    <n v="355"/>
    <n v="320"/>
    <n v="1200"/>
    <n v="1080"/>
    <n v="1200"/>
    <n v="4"/>
    <n v="1"/>
    <n v="3"/>
    <n v="4"/>
    <n v="12"/>
    <n v="339.39372340686941"/>
    <n v="3.9370078740157481"/>
    <n v="70"/>
    <n v="106784000"/>
    <n v="3.771041371187438"/>
    <x v="0"/>
    <n v="350"/>
    <n v="35"/>
    <n v="42"/>
    <n v="98"/>
    <n v="420"/>
    <n v="595"/>
    <n v="397"/>
    <n v="159"/>
    <n v="159"/>
    <n v="79"/>
    <n v="33"/>
    <n v="40"/>
    <n v="93"/>
    <n v="395"/>
    <n v="561"/>
  </r>
  <r>
    <s v="37X14X12.5 ( 3 KRAFT PAPER 180 GSM 22 BF, 2 SEMI KRAFT PAPER 125 GSM 18 BF) Corrugated Box"/>
    <n v="19224"/>
    <n v="10494.1"/>
    <n v="10495"/>
    <n v="13564"/>
    <n v="4.0611395956273583E-2"/>
    <n v="26"/>
    <n v="522"/>
    <n v="15"/>
    <n v="28.103298611111114"/>
    <n v="7830"/>
    <n v="600"/>
    <n v="14"/>
    <n v="939.8"/>
    <n v="355.6"/>
    <n v="317.5"/>
    <n v="1200"/>
    <n v="1080"/>
    <n v="1200"/>
    <n v="4"/>
    <n v="1"/>
    <n v="3"/>
    <n v="4"/>
    <n v="12"/>
    <n v="337.23958333333337"/>
    <n v="3.9370078740157481"/>
    <n v="46"/>
    <n v="106106239.40000001"/>
    <n v="3.7471064814814818"/>
    <x v="0"/>
    <n v="230"/>
    <n v="23"/>
    <n v="27.6"/>
    <n v="64.400000000000006"/>
    <n v="276.00000000000006"/>
    <n v="391.00000000000006"/>
    <n v="261"/>
    <n v="104"/>
    <n v="104"/>
    <n v="52"/>
    <n v="22"/>
    <n v="26"/>
    <n v="61"/>
    <n v="260"/>
    <n v="369"/>
  </r>
  <r>
    <s v="5 Ply Corrugated Box (size- 508x305x205 mm)-OD, (Type-1 ,B.S -14 Kg/cm2)"/>
    <n v="66682"/>
    <n v="6488.7603535353537"/>
    <n v="6489"/>
    <n v="8372"/>
    <n v="2.5109799748476345E-2"/>
    <n v="26"/>
    <n v="322"/>
    <n v="15"/>
    <n v="8.4126687350596931"/>
    <n v="4830"/>
    <n v="600"/>
    <n v="9"/>
    <n v="508"/>
    <n v="305"/>
    <n v="205"/>
    <n v="1200"/>
    <n v="1080"/>
    <n v="1200"/>
    <n v="6"/>
    <n v="2"/>
    <n v="3"/>
    <n v="6"/>
    <n v="36"/>
    <n v="302.85607446214897"/>
    <n v="3.9370078740157481"/>
    <n v="10"/>
    <n v="31762700"/>
    <n v="1.1216891646746256"/>
    <x v="0"/>
    <n v="50"/>
    <n v="5"/>
    <n v="6"/>
    <n v="14"/>
    <n v="60"/>
    <n v="85"/>
    <n v="161"/>
    <n v="64"/>
    <n v="64"/>
    <n v="32"/>
    <n v="4"/>
    <n v="5"/>
    <n v="12"/>
    <n v="53"/>
    <n v="74"/>
  </r>
  <r>
    <s v="CORRUGATED BOX (36 X 12 X 15 )&quot; 5 PLY"/>
    <n v="77868"/>
    <n v="5989.8461538461534"/>
    <n v="5990"/>
    <n v="7215"/>
    <n v="2.3178872013156621E-2"/>
    <n v="26"/>
    <n v="278"/>
    <n v="15"/>
    <n v="28.125000000000004"/>
    <n v="4170"/>
    <n v="600"/>
    <n v="7"/>
    <n v="914.4"/>
    <n v="304.8"/>
    <n v="381"/>
    <n v="1200"/>
    <n v="1080"/>
    <n v="1200"/>
    <n v="3"/>
    <n v="1"/>
    <n v="3"/>
    <n v="3"/>
    <n v="9"/>
    <n v="253.12500000000003"/>
    <n v="3.9370078740157481"/>
    <n v="33"/>
    <n v="106188174.72"/>
    <n v="3.7500000000000004"/>
    <x v="0"/>
    <n v="165"/>
    <n v="16.5"/>
    <n v="19.8"/>
    <n v="46.2"/>
    <n v="198.00000000000003"/>
    <n v="280.5"/>
    <n v="139"/>
    <n v="56"/>
    <n v="56"/>
    <n v="28"/>
    <n v="15"/>
    <n v="19"/>
    <n v="44"/>
    <n v="187"/>
    <n v="265"/>
  </r>
  <r>
    <s v="24X15X10 ( 3 KRAFT PAPER 180 GSM 22 BF, 2 SEMI KRAFT PAPER 125 GSM 18 BF) Corrugated Box"/>
    <n v="66718"/>
    <n v="5776.9290709290708"/>
    <n v="5777"/>
    <n v="6705"/>
    <n v="2.2354648350585277E-2"/>
    <n v="26"/>
    <n v="258"/>
    <n v="15"/>
    <n v="15.625000000000002"/>
    <n v="3870"/>
    <n v="600"/>
    <n v="7"/>
    <n v="609.6"/>
    <n v="381"/>
    <n v="254"/>
    <n v="1200"/>
    <n v="1080"/>
    <n v="1200"/>
    <n v="5"/>
    <n v="1"/>
    <n v="2"/>
    <n v="5"/>
    <n v="10"/>
    <n v="156.25000000000003"/>
    <n v="3.9370078740157481"/>
    <n v="28"/>
    <n v="58993430.399999999"/>
    <n v="2.0833333333333335"/>
    <x v="0"/>
    <n v="140"/>
    <n v="14"/>
    <n v="16.8"/>
    <n v="39.200000000000003"/>
    <n v="168.00000000000003"/>
    <n v="238.00000000000003"/>
    <n v="129"/>
    <n v="52"/>
    <n v="52"/>
    <n v="26"/>
    <n v="13"/>
    <n v="16"/>
    <n v="36"/>
    <n v="156"/>
    <n v="221"/>
  </r>
  <r>
    <s v="5 Ply Corrugated Box (size- 410x240x160 mm)-OD, (Type-1 ,B.S -14 Kg/cm2)"/>
    <n v="56294"/>
    <n v="5564.9238095238097"/>
    <n v="5565"/>
    <n v="7118"/>
    <n v="2.153429428267389E-2"/>
    <n v="26"/>
    <n v="274"/>
    <n v="15"/>
    <n v="4.169955846473373"/>
    <n v="4110"/>
    <n v="600"/>
    <n v="7"/>
    <n v="410"/>
    <n v="240"/>
    <n v="160"/>
    <n v="1200"/>
    <n v="1080"/>
    <n v="1200"/>
    <n v="8"/>
    <n v="2"/>
    <n v="4"/>
    <n v="8"/>
    <n v="64"/>
    <n v="266.87717417429587"/>
    <n v="3.9370078740157481"/>
    <n v="5"/>
    <n v="15744000"/>
    <n v="0.5559941128631164"/>
    <x v="0"/>
    <n v="25"/>
    <n v="2.5"/>
    <n v="3"/>
    <n v="7"/>
    <n v="30"/>
    <n v="42.5"/>
    <n v="137"/>
    <n v="55"/>
    <n v="55"/>
    <n v="27"/>
    <n v="2"/>
    <n v="3"/>
    <n v="6"/>
    <n v="25"/>
    <n v="36"/>
  </r>
  <r>
    <s v="20.5X16X11.5 BOX (TOP 300GSM)"/>
    <n v="52590"/>
    <n v="5407.1846153846154"/>
    <n v="5408"/>
    <n v="7524"/>
    <n v="2.0926767921060269E-2"/>
    <n v="26"/>
    <n v="290"/>
    <n v="15"/>
    <n v="16.371527777777779"/>
    <n v="4350"/>
    <n v="600"/>
    <n v="8"/>
    <n v="520.70000000000005"/>
    <n v="406.4"/>
    <n v="292.10000000000002"/>
    <n v="1200"/>
    <n v="1080"/>
    <n v="1200"/>
    <n v="4"/>
    <n v="2"/>
    <n v="2"/>
    <n v="4"/>
    <n v="16"/>
    <n v="261.94444444444446"/>
    <n v="3.9370078740157481"/>
    <n v="20"/>
    <n v="61812005.408000007"/>
    <n v="2.1828703703703707"/>
    <x v="0"/>
    <n v="100"/>
    <n v="10"/>
    <n v="12"/>
    <n v="28"/>
    <n v="120"/>
    <n v="170"/>
    <n v="145"/>
    <n v="58"/>
    <n v="58"/>
    <n v="29"/>
    <n v="9"/>
    <n v="11"/>
    <n v="25"/>
    <n v="109"/>
    <n v="154"/>
  </r>
  <r>
    <s v="3 ply, inner selflocking CB box size : 105 x 105 x 170 mm -(OD) Paper combination ( 250 VK ,22 BF X 140 VK,22BF X 250 VK ,22 BF) , B.S : 11 Kg/cm2."/>
    <n v="5006"/>
    <n v="5006"/>
    <n v="5006"/>
    <n v="5006"/>
    <n v="1.9371190867756603E-2"/>
    <n v="26"/>
    <n v="193"/>
    <n v="15"/>
    <n v="0.49641385577062497"/>
    <n v="2895"/>
    <n v="600"/>
    <n v="5"/>
    <n v="105"/>
    <n v="105"/>
    <n v="170"/>
    <n v="1200"/>
    <n v="1080"/>
    <n v="1200"/>
    <n v="7"/>
    <n v="11"/>
    <n v="10"/>
    <n v="7"/>
    <n v="770"/>
    <n v="382.23866894338124"/>
    <n v="3.9370078740157481"/>
    <n v="1"/>
    <n v="1874250"/>
    <n v="6.6188514102749993E-2"/>
    <x v="0"/>
    <n v="5"/>
    <n v="0.5"/>
    <n v="0.60000000000000009"/>
    <n v="1.4000000000000001"/>
    <n v="6"/>
    <n v="8.5"/>
    <n v="97"/>
    <n v="39"/>
    <n v="39"/>
    <n v="19"/>
    <n v="0"/>
    <n v="0"/>
    <n v="0"/>
    <n v="1"/>
    <n v="1"/>
  </r>
  <r>
    <s v="5 Ply Corrugated Box (size- 670x410x320 mm)-OD, (Type-1 ,B.S -14 Kg/cm2)"/>
    <n v="47263"/>
    <n v="4840.1219336219337"/>
    <n v="4841"/>
    <n v="5896"/>
    <n v="1.8732707748863306E-2"/>
    <n v="26"/>
    <n v="227"/>
    <n v="15"/>
    <n v="23.282253476142998"/>
    <n v="3405"/>
    <n v="600"/>
    <n v="6"/>
    <n v="670"/>
    <n v="410"/>
    <n v="320"/>
    <n v="1200"/>
    <n v="1080"/>
    <n v="1200"/>
    <n v="4"/>
    <n v="1"/>
    <n v="2"/>
    <n v="4"/>
    <n v="8"/>
    <n v="186.25802780914398"/>
    <n v="3.9370078740157481"/>
    <n v="30"/>
    <n v="87904000"/>
    <n v="3.1043004634857332"/>
    <x v="0"/>
    <n v="150"/>
    <n v="15"/>
    <n v="18"/>
    <n v="42"/>
    <n v="180"/>
    <n v="255"/>
    <n v="114"/>
    <n v="45"/>
    <n v="45"/>
    <n v="23"/>
    <n v="14"/>
    <n v="17"/>
    <n v="39"/>
    <n v="173"/>
    <n v="243"/>
  </r>
  <r>
    <s v="670X410X320 7 PLY 300 GM CB BOX"/>
    <n v="5781"/>
    <n v="4551"/>
    <n v="4551"/>
    <n v="4562"/>
    <n v="1.7610525297475088E-2"/>
    <n v="26"/>
    <n v="176"/>
    <n v="15"/>
    <n v="23.282253476142998"/>
    <n v="2640"/>
    <n v="600"/>
    <n v="5"/>
    <n v="670"/>
    <n v="410"/>
    <n v="320"/>
    <n v="1200"/>
    <n v="1080"/>
    <n v="1200"/>
    <n v="4"/>
    <n v="1"/>
    <n v="2"/>
    <n v="4"/>
    <n v="8"/>
    <n v="186.25802780914398"/>
    <n v="3.9370078740157481"/>
    <n v="24"/>
    <n v="87904000"/>
    <n v="3.1043004634857332"/>
    <x v="0"/>
    <n v="120"/>
    <n v="12"/>
    <n v="14.400000000000002"/>
    <n v="33.600000000000009"/>
    <n v="144.00000000000003"/>
    <n v="204.00000000000006"/>
    <n v="88"/>
    <n v="35"/>
    <n v="35"/>
    <n v="18"/>
    <n v="11"/>
    <n v="13"/>
    <n v="31"/>
    <n v="135"/>
    <n v="190"/>
  </r>
  <r>
    <s v="CORRUGATED BOXES 560X370X160,5PLY,25BF"/>
    <n v="54661"/>
    <n v="4481.6153846153848"/>
    <n v="4482"/>
    <n v="5455"/>
    <n v="1.7343523265937893E-2"/>
    <n v="26"/>
    <n v="210"/>
    <n v="15"/>
    <n v="8.7806387336309246"/>
    <n v="3150"/>
    <n v="600"/>
    <n v="6"/>
    <n v="560"/>
    <n v="370"/>
    <n v="160"/>
    <n v="1200"/>
    <n v="1080"/>
    <n v="1200"/>
    <n v="8"/>
    <n v="2"/>
    <n v="2"/>
    <n v="8"/>
    <n v="32"/>
    <n v="280.98043947618959"/>
    <n v="3.9370078740157481"/>
    <n v="7"/>
    <n v="33152000"/>
    <n v="1.1707518311507898"/>
    <x v="0"/>
    <n v="35"/>
    <n v="3.5"/>
    <n v="4.2"/>
    <n v="9.8000000000000007"/>
    <n v="42.000000000000007"/>
    <n v="59.500000000000007"/>
    <n v="105"/>
    <n v="42"/>
    <n v="42"/>
    <n v="21"/>
    <n v="3"/>
    <n v="4"/>
    <n v="9"/>
    <n v="39"/>
    <n v="55"/>
  </r>
  <r>
    <s v="5 Ply Corrugated Box (size- 787x381x254 mm)-OD, (Type-1 ,B.S -14 Kg/cm2)"/>
    <n v="49876"/>
    <n v="4431.3333333333339"/>
    <n v="4432"/>
    <n v="5074"/>
    <n v="1.7150043532939925E-2"/>
    <n v="26"/>
    <n v="196"/>
    <n v="15"/>
    <n v="20.172039041994751"/>
    <n v="2940"/>
    <n v="600"/>
    <n v="5"/>
    <n v="787"/>
    <n v="381"/>
    <n v="254"/>
    <n v="1200"/>
    <n v="1080"/>
    <n v="1200"/>
    <n v="5"/>
    <n v="1"/>
    <n v="2"/>
    <n v="5"/>
    <n v="10"/>
    <n v="201.72039041994751"/>
    <n v="3.9370078740157481"/>
    <n v="21"/>
    <n v="76161138"/>
    <n v="2.6896052055993001"/>
    <x v="0"/>
    <n v="105"/>
    <n v="10.5"/>
    <n v="12.600000000000001"/>
    <n v="29.400000000000002"/>
    <n v="126"/>
    <n v="178.5"/>
    <n v="98"/>
    <n v="39"/>
    <n v="39"/>
    <n v="20"/>
    <n v="10"/>
    <n v="12"/>
    <n v="27"/>
    <n v="120"/>
    <n v="169"/>
  </r>
  <r>
    <s v="CB Box  410 x 240 x 160 mm , B.S-14 (5 Ply , Type-1)"/>
    <n v="4201"/>
    <n v="4201"/>
    <n v="4201"/>
    <n v="4201"/>
    <n v="1.625616716648931E-2"/>
    <n v="26"/>
    <n v="162"/>
    <n v="15"/>
    <n v="4.169955846473373"/>
    <n v="2430"/>
    <n v="600"/>
    <n v="5"/>
    <n v="410"/>
    <n v="240"/>
    <n v="160"/>
    <n v="1200"/>
    <n v="1080"/>
    <n v="1200"/>
    <n v="8"/>
    <n v="2"/>
    <n v="4"/>
    <n v="8"/>
    <n v="64"/>
    <n v="266.87717417429587"/>
    <n v="3.9370078740157481"/>
    <n v="3"/>
    <n v="15744000"/>
    <n v="0.5559941128631164"/>
    <x v="0"/>
    <n v="15"/>
    <n v="1.5"/>
    <n v="1.8000000000000003"/>
    <n v="4.2000000000000011"/>
    <n v="18.000000000000004"/>
    <n v="25.500000000000007"/>
    <n v="81"/>
    <n v="32"/>
    <n v="32"/>
    <n v="16"/>
    <n v="1"/>
    <n v="2"/>
    <n v="4"/>
    <n v="15"/>
    <n v="22"/>
  </r>
  <r>
    <s v="WHITE BOX FOR DORMAN 80X72X120  PARTNO.- 904-325"/>
    <n v="12587"/>
    <n v="4195.666666666667"/>
    <n v="4196"/>
    <n v="4794"/>
    <n v="1.6236819193189513E-2"/>
    <n v="26"/>
    <n v="185"/>
    <n v="15"/>
    <n v="0"/>
    <n v="2775"/>
    <n v="600"/>
    <n v="5"/>
    <n v="2032"/>
    <n v="1955.8"/>
    <n v="3048"/>
    <n v="2050"/>
    <n v="2000"/>
    <n v="1200"/>
    <n v="0"/>
    <n v="1"/>
    <n v="1"/>
    <n v="0"/>
    <n v="0"/>
    <n v="0"/>
    <n v="3.9370078740157481"/>
    <n v="0"/>
    <n v="12113317708.800001"/>
    <n v="0"/>
    <x v="1"/>
    <n v="0"/>
    <n v="0"/>
    <n v="0"/>
    <n v="0"/>
    <n v="0"/>
    <n v="0"/>
    <n v="93"/>
    <n v="37"/>
    <n v="37"/>
    <n v="19"/>
    <n v="0"/>
    <n v="0"/>
    <n v="0"/>
    <n v="0"/>
    <n v="0"/>
  </r>
  <r>
    <s v="BOX SIZE 20X12X8 ( BURSTING STRENGTH -14 )"/>
    <n v="5100"/>
    <n v="3975"/>
    <n v="3975"/>
    <n v="4038"/>
    <n v="1.5381638773338493E-2"/>
    <n v="26"/>
    <n v="156"/>
    <n v="15"/>
    <n v="8.3333333333333321"/>
    <n v="2340"/>
    <n v="600"/>
    <n v="4"/>
    <n v="508"/>
    <n v="304.8"/>
    <n v="203.2"/>
    <n v="1200"/>
    <n v="1080"/>
    <n v="1200"/>
    <n v="6"/>
    <n v="2"/>
    <n v="3"/>
    <n v="6"/>
    <n v="36"/>
    <n v="299.99999999999994"/>
    <n v="3.9370078740157481"/>
    <n v="5"/>
    <n v="31463162.879999995"/>
    <n v="1.1111111111111109"/>
    <x v="0"/>
    <n v="25"/>
    <n v="2.5"/>
    <n v="3"/>
    <n v="7"/>
    <n v="30"/>
    <n v="42.5"/>
    <n v="78"/>
    <n v="31"/>
    <n v="31"/>
    <n v="16"/>
    <n v="2"/>
    <n v="3"/>
    <n v="6"/>
    <n v="27"/>
    <n v="38"/>
  </r>
  <r>
    <s v="C.B. BOXES   22.1/2 X 13 X 7&quot;  5PLY"/>
    <n v="47379"/>
    <n v="3644.5384615384614"/>
    <n v="3645"/>
    <n v="4087"/>
    <n v="1.41046725355519E-2"/>
    <n v="26"/>
    <n v="158"/>
    <n v="15"/>
    <n v="8.7287326388888875"/>
    <n v="2370"/>
    <n v="600"/>
    <n v="4"/>
    <n v="561.33999999999992"/>
    <n v="330.2"/>
    <n v="177.8"/>
    <n v="1200"/>
    <n v="1080"/>
    <n v="1200"/>
    <n v="7"/>
    <n v="2"/>
    <n v="3"/>
    <n v="7"/>
    <n v="42"/>
    <n v="366.60677083333326"/>
    <n v="3.9370078740157481"/>
    <n v="4"/>
    <n v="32956024.410399996"/>
    <n v="1.1638310185185183"/>
    <x v="0"/>
    <n v="20"/>
    <n v="2"/>
    <n v="2.4000000000000004"/>
    <n v="5.6000000000000005"/>
    <n v="24"/>
    <n v="34"/>
    <n v="79"/>
    <n v="32"/>
    <n v="32"/>
    <n v="16"/>
    <n v="2"/>
    <n v="2"/>
    <n v="5"/>
    <n v="23"/>
    <n v="32"/>
  </r>
  <r>
    <s v="WHITE BOX FOR DORMAN 220 X 130 X 58 mm  PART NO.-904-968/969/971/972"/>
    <n v="6400"/>
    <n v="3200"/>
    <n v="3200"/>
    <n v="3200"/>
    <n v="1.2382702911869981E-2"/>
    <n v="26"/>
    <n v="124"/>
    <n v="15"/>
    <n v="0.43934976868203957"/>
    <n v="1860"/>
    <n v="600"/>
    <n v="4"/>
    <n v="220"/>
    <n v="130"/>
    <n v="58"/>
    <n v="1200"/>
    <n v="1080"/>
    <n v="1200"/>
    <n v="21"/>
    <n v="4"/>
    <n v="3"/>
    <n v="21"/>
    <n v="252"/>
    <n v="110.71614170787397"/>
    <n v="3.9370078740157481"/>
    <n v="1"/>
    <n v="1658800"/>
    <n v="5.8579969157605272E-2"/>
    <x v="0"/>
    <n v="5"/>
    <n v="0.5"/>
    <n v="0.60000000000000009"/>
    <n v="1.4000000000000001"/>
    <n v="6"/>
    <n v="8.5"/>
    <n v="62"/>
    <n v="25"/>
    <n v="25"/>
    <n v="12"/>
    <n v="0"/>
    <n v="0"/>
    <n v="1"/>
    <n v="3"/>
    <n v="4"/>
  </r>
  <r>
    <s v="5 PLY UNIVERSAL CORRUGATED BOX (760X370X180mm)"/>
    <n v="7719"/>
    <n v="3154.2272727272725"/>
    <n v="3155"/>
    <n v="4425"/>
    <n v="1.220857115217181E-2"/>
    <n v="26"/>
    <n v="171"/>
    <n v="15"/>
    <n v="13.406153780811499"/>
    <n v="2565"/>
    <n v="600"/>
    <n v="5"/>
    <n v="760"/>
    <n v="370"/>
    <n v="180"/>
    <n v="1200"/>
    <n v="1080"/>
    <n v="1200"/>
    <n v="7"/>
    <n v="1"/>
    <n v="2"/>
    <n v="7"/>
    <n v="14"/>
    <n v="187.68615293136099"/>
    <n v="3.9370078740157481"/>
    <n v="13"/>
    <n v="50616000"/>
    <n v="1.7874871707748665"/>
    <x v="0"/>
    <n v="65"/>
    <n v="6.5"/>
    <n v="7.8000000000000007"/>
    <n v="18.2"/>
    <n v="78"/>
    <n v="110.5"/>
    <n v="86"/>
    <n v="34"/>
    <n v="34"/>
    <n v="17"/>
    <n v="6"/>
    <n v="7"/>
    <n v="17"/>
    <n v="73"/>
    <n v="103"/>
  </r>
  <r>
    <s v="31X15X10 ( 3 KRAFT PAPER 180 GSM 22 BF, 2 SEMI KRAFT PAPER 125 GSM 18 BF) Corrugated Box"/>
    <n v="3040"/>
    <n v="3040"/>
    <n v="3040"/>
    <n v="3040"/>
    <n v="1.1763567766276482E-2"/>
    <n v="26"/>
    <n v="117"/>
    <n v="15"/>
    <n v="20.182291666666668"/>
    <n v="1755"/>
    <n v="600"/>
    <n v="3"/>
    <n v="787.4"/>
    <n v="381"/>
    <n v="254"/>
    <n v="1200"/>
    <n v="1080"/>
    <n v="1200"/>
    <n v="5"/>
    <n v="1"/>
    <n v="2"/>
    <n v="5"/>
    <n v="10"/>
    <n v="201.82291666666669"/>
    <n v="3.9370078740157481"/>
    <n v="13"/>
    <n v="76199847.599999994"/>
    <n v="2.6909722222222223"/>
    <x v="0"/>
    <n v="65"/>
    <n v="6.5"/>
    <n v="7.8000000000000007"/>
    <n v="18.2"/>
    <n v="78"/>
    <n v="110.5"/>
    <n v="59"/>
    <n v="23"/>
    <n v="23"/>
    <n v="12"/>
    <n v="6"/>
    <n v="7"/>
    <n v="16"/>
    <n v="72"/>
    <n v="101"/>
  </r>
  <r>
    <s v="WHITE BOX FOR DORMAN 110x90x130  PART NO.-904-128/904-129"/>
    <n v="8270"/>
    <n v="2756.6666666666665"/>
    <n v="2757"/>
    <n v="3143"/>
    <n v="1.0668472477507981E-2"/>
    <n v="26"/>
    <n v="121"/>
    <n v="15"/>
    <n v="0.34087482052916862"/>
    <n v="1815"/>
    <n v="600"/>
    <n v="4"/>
    <n v="110"/>
    <n v="90"/>
    <n v="130"/>
    <n v="1200"/>
    <n v="1080"/>
    <n v="1200"/>
    <n v="9"/>
    <n v="3"/>
    <n v="5"/>
    <n v="9"/>
    <n v="135"/>
    <n v="46.018100771437766"/>
    <n v="3.9370078740157481"/>
    <n v="1"/>
    <n v="1287000"/>
    <n v="4.5449976070555814E-2"/>
    <x v="0"/>
    <n v="5"/>
    <n v="0.5"/>
    <n v="0.60000000000000009"/>
    <n v="1.4000000000000001"/>
    <n v="6"/>
    <n v="8.5"/>
    <n v="61"/>
    <n v="24"/>
    <n v="24"/>
    <n v="12"/>
    <n v="0"/>
    <n v="1"/>
    <n v="1"/>
    <n v="5"/>
    <n v="7"/>
  </r>
  <r>
    <s v="Corrugated Box 5 Ply   45&quot; x 13&quot; x 12&quot;"/>
    <n v="28782"/>
    <n v="2659.2051282051279"/>
    <n v="2660"/>
    <n v="3283"/>
    <n v="1.0293121795491923E-2"/>
    <n v="26"/>
    <n v="127"/>
    <n v="15"/>
    <n v="30.46875"/>
    <n v="1905"/>
    <n v="600"/>
    <n v="4"/>
    <n v="1143"/>
    <n v="330.2"/>
    <n v="304.8"/>
    <n v="1200"/>
    <n v="1080"/>
    <n v="1200"/>
    <n v="4"/>
    <n v="1"/>
    <n v="3"/>
    <n v="4"/>
    <n v="12"/>
    <n v="365.625"/>
    <n v="3.9370078740157481"/>
    <n v="12"/>
    <n v="115037189.28"/>
    <n v="4.0625"/>
    <x v="0"/>
    <n v="60"/>
    <n v="6"/>
    <n v="7.2000000000000011"/>
    <n v="16.800000000000004"/>
    <n v="72.000000000000014"/>
    <n v="102.00000000000003"/>
    <n v="64"/>
    <n v="25"/>
    <n v="25"/>
    <n v="13"/>
    <n v="5"/>
    <n v="6"/>
    <n v="15"/>
    <n v="65"/>
    <n v="91"/>
  </r>
  <r>
    <s v="5 Ply Corrugated Box (size- 940x355x205 mm)-OD, (Type-1 ,B.S -14 Kg/cm2)"/>
    <n v="31379"/>
    <n v="2614.9166666666665"/>
    <n v="2615"/>
    <n v="3202"/>
    <n v="1.0118990035793751E-2"/>
    <n v="26"/>
    <n v="124"/>
    <n v="15"/>
    <n v="18.118675338127144"/>
    <n v="1860"/>
    <n v="600"/>
    <n v="4"/>
    <n v="940"/>
    <n v="355"/>
    <n v="205"/>
    <n v="1200"/>
    <n v="1080"/>
    <n v="1200"/>
    <n v="6"/>
    <n v="1"/>
    <n v="3"/>
    <n v="6"/>
    <n v="18"/>
    <n v="326.13615608628857"/>
    <n v="3.9370078740157481"/>
    <n v="8"/>
    <n v="68408500"/>
    <n v="2.4158233784169525"/>
    <x v="0"/>
    <n v="40"/>
    <n v="4"/>
    <n v="4.8000000000000007"/>
    <n v="11.200000000000001"/>
    <n v="48"/>
    <n v="68"/>
    <n v="62"/>
    <n v="25"/>
    <n v="25"/>
    <n v="12"/>
    <n v="3"/>
    <n v="4"/>
    <n v="10"/>
    <n v="40"/>
    <n v="57"/>
  </r>
  <r>
    <s v="5PLY BOX  14&quot;X14&quot;6&quot;"/>
    <n v="33094"/>
    <n v="2545.6923076923076"/>
    <n v="2546"/>
    <n v="3020"/>
    <n v="9.8519880042565542E-3"/>
    <n v="26"/>
    <n v="117"/>
    <n v="15"/>
    <n v="5.1041666666666679"/>
    <n v="1755"/>
    <n v="600"/>
    <n v="3"/>
    <n v="355.6"/>
    <n v="355.6"/>
    <n v="152.4"/>
    <n v="1200"/>
    <n v="1080"/>
    <n v="1200"/>
    <n v="8"/>
    <n v="3"/>
    <n v="3"/>
    <n v="8"/>
    <n v="72"/>
    <n v="367.50000000000011"/>
    <n v="3.9370078740157481"/>
    <n v="2"/>
    <n v="19271187.264000002"/>
    <n v="0.68055555555555569"/>
    <x v="0"/>
    <n v="10"/>
    <n v="1"/>
    <n v="1.2000000000000002"/>
    <n v="2.8000000000000003"/>
    <n v="12"/>
    <n v="17"/>
    <n v="59"/>
    <n v="23"/>
    <n v="23"/>
    <n v="12"/>
    <n v="1"/>
    <n v="1"/>
    <n v="2"/>
    <n v="10"/>
    <n v="14"/>
  </r>
  <r>
    <s v="5 Ply Corrugated Box (size- 760x370x180 mm)-OD, (Type-1 ,B.S -14 Kg/cm2)-automatic corrugated board"/>
    <n v="30076"/>
    <n v="2506.3333333333335"/>
    <n v="2507"/>
    <n v="3562"/>
    <n v="9.7010738125181389E-3"/>
    <n v="26"/>
    <n v="137"/>
    <n v="15"/>
    <n v="13.406153780811499"/>
    <n v="2055"/>
    <n v="600"/>
    <n v="4"/>
    <n v="760"/>
    <n v="370"/>
    <n v="180"/>
    <n v="1200"/>
    <n v="1080"/>
    <n v="1200"/>
    <n v="7"/>
    <n v="1"/>
    <n v="2"/>
    <n v="7"/>
    <n v="14"/>
    <n v="187.68615293136099"/>
    <n v="3.9370078740157481"/>
    <n v="11"/>
    <n v="50616000"/>
    <n v="1.7874871707748665"/>
    <x v="0"/>
    <n v="55"/>
    <n v="5.5"/>
    <n v="6.6000000000000005"/>
    <n v="15.400000000000002"/>
    <n v="66"/>
    <n v="93.5"/>
    <n v="69"/>
    <n v="27"/>
    <n v="27"/>
    <n v="14"/>
    <n v="5"/>
    <n v="6"/>
    <n v="14"/>
    <n v="60"/>
    <n v="85"/>
  </r>
  <r>
    <s v="5 Ply corrugated separator (size- 745x500x7 mm), (B.S -12 Kg/cm2)-automatic corrugated board"/>
    <n v="30027"/>
    <n v="2502.25"/>
    <n v="2503"/>
    <n v="2943"/>
    <n v="9.6855954338783013E-3"/>
    <n v="26"/>
    <n v="114"/>
    <n v="15"/>
    <n v="0.69062245107211129"/>
    <n v="1710"/>
    <n v="600"/>
    <n v="3"/>
    <n v="745"/>
    <n v="500"/>
    <n v="7"/>
    <n v="1200"/>
    <n v="1080"/>
    <n v="1200"/>
    <n v="171"/>
    <n v="1"/>
    <n v="2"/>
    <n v="171"/>
    <n v="342"/>
    <n v="236.19287826666206"/>
    <n v="3.9370078740157481"/>
    <n v="1"/>
    <n v="2607500"/>
    <n v="9.2082993476281502E-2"/>
    <x v="0"/>
    <n v="5"/>
    <n v="0.5"/>
    <n v="0.60000000000000009"/>
    <n v="1.4000000000000001"/>
    <n v="6"/>
    <n v="8.5"/>
    <n v="57"/>
    <n v="23"/>
    <n v="23"/>
    <n v="11"/>
    <n v="0"/>
    <n v="0"/>
    <n v="0"/>
    <n v="2"/>
    <n v="2"/>
  </r>
  <r>
    <s v="C.B.BOX 24 X15X 10 ( 7 PLY )"/>
    <n v="27546"/>
    <n v="2461.1205128205124"/>
    <n v="2462"/>
    <n v="2827"/>
    <n v="9.5269420528199672E-3"/>
    <n v="26"/>
    <n v="109"/>
    <n v="15"/>
    <n v="15.625000000000002"/>
    <n v="1635"/>
    <n v="600"/>
    <n v="3"/>
    <n v="609.6"/>
    <n v="381"/>
    <n v="254"/>
    <n v="1200"/>
    <n v="1080"/>
    <n v="1200"/>
    <n v="5"/>
    <n v="1"/>
    <n v="2"/>
    <n v="5"/>
    <n v="10"/>
    <n v="156.25000000000003"/>
    <n v="3.9370078740157481"/>
    <n v="12"/>
    <n v="58993430.399999999"/>
    <n v="2.0833333333333335"/>
    <x v="0"/>
    <n v="60"/>
    <n v="6"/>
    <n v="7.2000000000000011"/>
    <n v="16.800000000000004"/>
    <n v="72.000000000000014"/>
    <n v="102.00000000000003"/>
    <n v="55"/>
    <n v="22"/>
    <n v="22"/>
    <n v="11"/>
    <n v="6"/>
    <n v="7"/>
    <n v="15"/>
    <n v="66"/>
    <n v="94"/>
  </r>
  <r>
    <s v="CB Box 520 x 240 x 160 mm , B.S-14 (5 Ply , Type-1)"/>
    <n v="2400"/>
    <n v="2400"/>
    <n v="2400"/>
    <n v="2400"/>
    <n v="9.2870271839024868E-3"/>
    <n v="26"/>
    <n v="93"/>
    <n v="15"/>
    <n v="5.2887244882101312"/>
    <n v="1395"/>
    <n v="600"/>
    <n v="3"/>
    <n v="520"/>
    <n v="240"/>
    <n v="160"/>
    <n v="1200"/>
    <n v="1080"/>
    <n v="1200"/>
    <n v="8"/>
    <n v="2"/>
    <n v="4"/>
    <n v="8"/>
    <n v="64"/>
    <n v="338.4783672454484"/>
    <n v="3.9370078740157481"/>
    <n v="2"/>
    <n v="19968000"/>
    <n v="0.70516326509468419"/>
    <x v="0"/>
    <n v="10"/>
    <n v="1"/>
    <n v="1.2000000000000002"/>
    <n v="2.8000000000000003"/>
    <n v="12"/>
    <n v="17"/>
    <n v="47"/>
    <n v="19"/>
    <n v="19"/>
    <n v="9"/>
    <n v="1"/>
    <n v="1"/>
    <n v="2"/>
    <n v="8"/>
    <n v="12"/>
  </r>
  <r>
    <s v="510X380X205 MM 5 PLY C. BOX"/>
    <n v="21512"/>
    <n v="2367.9807692307695"/>
    <n v="2368"/>
    <n v="3055"/>
    <n v="9.1632001547837863E-3"/>
    <n v="26"/>
    <n v="118"/>
    <n v="15"/>
    <n v="10.522622956335152"/>
    <n v="1770"/>
    <n v="600"/>
    <n v="3"/>
    <n v="510"/>
    <n v="380"/>
    <n v="205"/>
    <n v="1200"/>
    <n v="1080"/>
    <n v="1200"/>
    <n v="6"/>
    <n v="2"/>
    <n v="2"/>
    <n v="6"/>
    <n v="24"/>
    <n v="252.54295095204364"/>
    <n v="3.9370078740157481"/>
    <n v="6"/>
    <n v="39729000"/>
    <n v="1.4030163941780203"/>
    <x v="0"/>
    <n v="30"/>
    <n v="3"/>
    <n v="3.6000000000000005"/>
    <n v="8.4000000000000021"/>
    <n v="36.000000000000007"/>
    <n v="51.000000000000014"/>
    <n v="59"/>
    <n v="24"/>
    <n v="24"/>
    <n v="12"/>
    <n v="2"/>
    <n v="3"/>
    <n v="7"/>
    <n v="30"/>
    <n v="42"/>
  </r>
  <r>
    <s v="5 PLY CORRUGATION SEPARATOR SHEET (745x500x7mm)"/>
    <n v="4722"/>
    <n v="2361"/>
    <n v="2361"/>
    <n v="2361"/>
    <n v="9.1361129921640714E-3"/>
    <n v="26"/>
    <n v="91"/>
    <n v="15"/>
    <n v="0.69062245107211129"/>
    <n v="1365"/>
    <n v="600"/>
    <n v="3"/>
    <n v="745"/>
    <n v="500"/>
    <n v="7"/>
    <n v="1200"/>
    <n v="1080"/>
    <n v="1200"/>
    <n v="171"/>
    <n v="1"/>
    <n v="2"/>
    <n v="171"/>
    <n v="342"/>
    <n v="236.19287826666206"/>
    <n v="3.9370078740157481"/>
    <n v="1"/>
    <n v="2607500"/>
    <n v="9.2082993476281502E-2"/>
    <x v="0"/>
    <n v="5"/>
    <n v="0.5"/>
    <n v="0.60000000000000009"/>
    <n v="1.4000000000000001"/>
    <n v="6"/>
    <n v="8.5"/>
    <n v="46"/>
    <n v="18"/>
    <n v="18"/>
    <n v="9"/>
    <n v="0"/>
    <n v="0"/>
    <n v="0"/>
    <n v="2"/>
    <n v="2"/>
  </r>
  <r>
    <s v="CB Box 650 x 370 x 320 mm , B.S-17 (5 Ply , Type-2)"/>
    <n v="2361"/>
    <n v="2361"/>
    <n v="2361"/>
    <n v="3098"/>
    <n v="9.1361129921640714E-3"/>
    <n v="26"/>
    <n v="120"/>
    <n v="15"/>
    <n v="20.383625631643216"/>
    <n v="1800"/>
    <n v="600"/>
    <n v="3"/>
    <n v="650"/>
    <n v="370"/>
    <n v="320"/>
    <n v="1200"/>
    <n v="1080"/>
    <n v="1200"/>
    <n v="4"/>
    <n v="1"/>
    <n v="2"/>
    <n v="4"/>
    <n v="8"/>
    <n v="163.06900505314573"/>
    <n v="3.9370078740157481"/>
    <n v="16"/>
    <n v="76960000"/>
    <n v="2.717816750885762"/>
    <x v="0"/>
    <n v="80"/>
    <n v="8"/>
    <n v="9.6000000000000014"/>
    <n v="22.400000000000002"/>
    <n v="96"/>
    <n v="136"/>
    <n v="60"/>
    <n v="24"/>
    <n v="24"/>
    <n v="12"/>
    <n v="8"/>
    <n v="9"/>
    <n v="21"/>
    <n v="90"/>
    <n v="128"/>
  </r>
  <r>
    <s v="C.B. BOXES   36 X 9 X 5&quot;  7 PLY (719 Gm.)"/>
    <n v="28215"/>
    <n v="2351.25"/>
    <n v="2352"/>
    <n v="3172"/>
    <n v="9.1012866402244361E-3"/>
    <n v="26"/>
    <n v="122"/>
    <n v="15"/>
    <n v="7.0312500000000009"/>
    <n v="1830"/>
    <n v="600"/>
    <n v="4"/>
    <n v="914.4"/>
    <n v="228.6"/>
    <n v="127"/>
    <n v="1200"/>
    <n v="1080"/>
    <n v="1200"/>
    <n v="9"/>
    <n v="1"/>
    <n v="4"/>
    <n v="9"/>
    <n v="36"/>
    <n v="253.12500000000003"/>
    <n v="3.9370078740157481"/>
    <n v="4"/>
    <n v="26547043.68"/>
    <n v="0.93750000000000011"/>
    <x v="0"/>
    <n v="20"/>
    <n v="2"/>
    <n v="2.4000000000000004"/>
    <n v="5.6000000000000005"/>
    <n v="24"/>
    <n v="34"/>
    <n v="61"/>
    <n v="24"/>
    <n v="24"/>
    <n v="12"/>
    <n v="2"/>
    <n v="2"/>
    <n v="5"/>
    <n v="20"/>
    <n v="29"/>
  </r>
  <r>
    <s v="C.B.BOX22X19X9.5&quot;  5 PLY"/>
    <n v="25187"/>
    <n v="2289.7272727272725"/>
    <n v="2290"/>
    <n v="2900"/>
    <n v="8.8613717713069556E-3"/>
    <n v="26"/>
    <n v="112"/>
    <n v="15"/>
    <n v="17.23524305555555"/>
    <n v="1680"/>
    <n v="600"/>
    <n v="3"/>
    <n v="558.79999999999995"/>
    <n v="482.59999999999997"/>
    <n v="241.29999999999998"/>
    <n v="1200"/>
    <n v="1080"/>
    <n v="1200"/>
    <n v="5"/>
    <n v="2"/>
    <n v="2"/>
    <n v="5"/>
    <n v="20"/>
    <n v="344.70486111111097"/>
    <n v="3.9370078740157481"/>
    <n v="6"/>
    <n v="65073031.143999979"/>
    <n v="2.2980324074074066"/>
    <x v="0"/>
    <n v="30"/>
    <n v="3"/>
    <n v="3.6000000000000005"/>
    <n v="8.4000000000000021"/>
    <n v="36.000000000000007"/>
    <n v="51.000000000000014"/>
    <n v="56"/>
    <n v="22"/>
    <n v="22"/>
    <n v="11"/>
    <n v="3"/>
    <n v="3"/>
    <n v="8"/>
    <n v="33"/>
    <n v="47"/>
  </r>
  <r>
    <s v="Corrugated Box (5Ply HSC(B.S&gt;14)&amp; 3Ply lid) Size-413*362*286mm(O.D)"/>
    <n v="6703"/>
    <n v="2234.3333333333335"/>
    <n v="2235"/>
    <n v="2442"/>
    <n v="8.6485440650091901E-3"/>
    <n v="26"/>
    <n v="94"/>
    <n v="15"/>
    <n v="11.325073537340863"/>
    <n v="1410"/>
    <n v="600"/>
    <n v="3"/>
    <n v="413"/>
    <n v="362"/>
    <n v="286"/>
    <n v="1200"/>
    <n v="1080"/>
    <n v="1200"/>
    <n v="4"/>
    <n v="2"/>
    <n v="2"/>
    <n v="4"/>
    <n v="16"/>
    <n v="181.20117659745381"/>
    <n v="3.9370078740157481"/>
    <n v="7"/>
    <n v="42758716"/>
    <n v="1.5100098049787818"/>
    <x v="0"/>
    <n v="35"/>
    <n v="3.5"/>
    <n v="4.2"/>
    <n v="9.8000000000000007"/>
    <n v="42.000000000000007"/>
    <n v="59.500000000000007"/>
    <n v="47"/>
    <n v="19"/>
    <n v="19"/>
    <n v="9"/>
    <n v="3"/>
    <n v="4"/>
    <n v="8"/>
    <n v="34"/>
    <n v="49"/>
  </r>
  <r>
    <s v="30X18X8 ( 3 KRAFT PAPER 180 GSM 22 BF, 2 SEMI KRAFT PAPER 125 GSM 18 BF) Corrugated Box"/>
    <n v="22847"/>
    <n v="2168.604487179487"/>
    <n v="2169"/>
    <n v="2531"/>
    <n v="8.3931508174518721E-3"/>
    <n v="26"/>
    <n v="98"/>
    <n v="15"/>
    <n v="18.749999999999996"/>
    <n v="1470"/>
    <n v="600"/>
    <n v="3"/>
    <n v="762"/>
    <n v="457.2"/>
    <n v="203.2"/>
    <n v="1200"/>
    <n v="1080"/>
    <n v="1200"/>
    <n v="6"/>
    <n v="1"/>
    <n v="2"/>
    <n v="6"/>
    <n v="12"/>
    <n v="224.99999999999994"/>
    <n v="3.9370078740157481"/>
    <n v="9"/>
    <n v="70792116.479999989"/>
    <n v="2.4999999999999996"/>
    <x v="0"/>
    <n v="45"/>
    <n v="4.5"/>
    <n v="5.4"/>
    <n v="12.6"/>
    <n v="54"/>
    <n v="76.5"/>
    <n v="49"/>
    <n v="20"/>
    <n v="20"/>
    <n v="10"/>
    <n v="4"/>
    <n v="5"/>
    <n v="12"/>
    <n v="50"/>
    <n v="71"/>
  </r>
  <r>
    <s v="20X17X9.5( 3 KRAFT PAPER 180 GSM 22 BF, 2 SEMI KRAFT PAPER 125 GSM 18 BF) Corrugated Box"/>
    <n v="2116"/>
    <n v="2116"/>
    <n v="2116"/>
    <n v="2116"/>
    <n v="8.1880623004740253E-3"/>
    <n v="26"/>
    <n v="82"/>
    <n v="15"/>
    <n v="14.019097222222221"/>
    <n v="1230"/>
    <n v="600"/>
    <n v="3"/>
    <n v="508"/>
    <n v="431.8"/>
    <n v="241.29999999999998"/>
    <n v="1200"/>
    <n v="1080"/>
    <n v="1200"/>
    <n v="5"/>
    <n v="2"/>
    <n v="2"/>
    <n v="5"/>
    <n v="20"/>
    <n v="280.38194444444446"/>
    <n v="3.9370078740157481"/>
    <n v="5"/>
    <n v="52930216.719999991"/>
    <n v="1.8692129629629628"/>
    <x v="0"/>
    <n v="25"/>
    <n v="2.5"/>
    <n v="3"/>
    <n v="7"/>
    <n v="30"/>
    <n v="42.5"/>
    <n v="41"/>
    <n v="16"/>
    <n v="16"/>
    <n v="8"/>
    <n v="2"/>
    <n v="2"/>
    <n v="6"/>
    <n v="24"/>
    <n v="34"/>
  </r>
  <r>
    <s v="20X15X8 ( 3 KRAFT PAPER 180 GSM 22 BF, 2 SEMI KRAFT PAPER 125 GSM 18 BF) Corrugated Box"/>
    <n v="21670"/>
    <n v="2071.6666666666665"/>
    <n v="2072"/>
    <n v="2689"/>
    <n v="8.0178001354358139E-3"/>
    <n v="26"/>
    <n v="104"/>
    <n v="15"/>
    <n v="10.416666666666666"/>
    <n v="1560"/>
    <n v="600"/>
    <n v="3"/>
    <n v="508"/>
    <n v="381"/>
    <n v="203.2"/>
    <n v="1200"/>
    <n v="1080"/>
    <n v="1200"/>
    <n v="6"/>
    <n v="2"/>
    <n v="2"/>
    <n v="6"/>
    <n v="24"/>
    <n v="250"/>
    <n v="3.9370078740157481"/>
    <n v="5"/>
    <n v="39328953.600000001"/>
    <n v="1.3888888888888888"/>
    <x v="0"/>
    <n v="25"/>
    <n v="2.5"/>
    <n v="3"/>
    <n v="7"/>
    <n v="30"/>
    <n v="42.5"/>
    <n v="52"/>
    <n v="21"/>
    <n v="21"/>
    <n v="10"/>
    <n v="2"/>
    <n v="3"/>
    <n v="6"/>
    <n v="25"/>
    <n v="36"/>
  </r>
  <r>
    <s v="5 Ply Corrugated Box (size- 725x700x335 mm)-OD, (Type-2 ,B.S -17 Kg/cm2)"/>
    <n v="15764"/>
    <n v="2037.3333333333333"/>
    <n v="2038"/>
    <n v="2487"/>
    <n v="7.8862339169971946E-3"/>
    <n v="26"/>
    <n v="96"/>
    <n v="15"/>
    <n v="45.029510819903095"/>
    <n v="1440"/>
    <n v="600"/>
    <n v="3"/>
    <n v="725"/>
    <n v="700"/>
    <n v="335"/>
    <n v="1200"/>
    <n v="1080"/>
    <n v="1200"/>
    <n v="4"/>
    <n v="1"/>
    <n v="1"/>
    <n v="4"/>
    <n v="4"/>
    <n v="180.11804327961238"/>
    <n v="3.9370078740157481"/>
    <n v="26"/>
    <n v="170012500"/>
    <n v="6.0039347759870791"/>
    <x v="0"/>
    <n v="130"/>
    <n v="13"/>
    <n v="15.600000000000001"/>
    <n v="36.4"/>
    <n v="156"/>
    <n v="221"/>
    <n v="48"/>
    <n v="19"/>
    <n v="19"/>
    <n v="10"/>
    <n v="12"/>
    <n v="14"/>
    <n v="33"/>
    <n v="150"/>
    <n v="209"/>
  </r>
  <r>
    <s v="5 Ply Corrugated Box (size- 508x430x320 mm)-OD, (Type-1 ,B.S -14 Kg/cm2)"/>
    <n v="23536"/>
    <n v="2024.3015151515149"/>
    <n v="2025"/>
    <n v="2417"/>
    <n v="7.8359291864177234E-3"/>
    <n v="26"/>
    <n v="93"/>
    <n v="15"/>
    <n v="18.513925916740721"/>
    <n v="1395"/>
    <n v="600"/>
    <n v="3"/>
    <n v="508"/>
    <n v="430"/>
    <n v="320"/>
    <n v="1200"/>
    <n v="1080"/>
    <n v="1200"/>
    <n v="4"/>
    <n v="2"/>
    <n v="2"/>
    <n v="4"/>
    <n v="16"/>
    <n v="296.22281466785154"/>
    <n v="3.9370078740157481"/>
    <n v="7"/>
    <n v="69900800"/>
    <n v="2.4685234555654296"/>
    <x v="0"/>
    <n v="35"/>
    <n v="3.5"/>
    <n v="4.2"/>
    <n v="9.8000000000000007"/>
    <n v="42.000000000000007"/>
    <n v="59.500000000000007"/>
    <n v="47"/>
    <n v="19"/>
    <n v="19"/>
    <n v="9"/>
    <n v="3"/>
    <n v="4"/>
    <n v="8"/>
    <n v="34"/>
    <n v="49"/>
  </r>
  <r>
    <s v="5 Ply Corrugated Box (size- 520x240x160 mm)-OD, (Type-1 ,B.S -14 Kg/cm2)"/>
    <n v="22277"/>
    <n v="1883.9166666666667"/>
    <n v="1884"/>
    <n v="2120"/>
    <n v="7.2903163393634521E-3"/>
    <n v="26"/>
    <n v="82"/>
    <n v="15"/>
    <n v="5.2887244882101312"/>
    <n v="1230"/>
    <n v="600"/>
    <n v="3"/>
    <n v="520"/>
    <n v="240"/>
    <n v="160"/>
    <n v="1200"/>
    <n v="1080"/>
    <n v="1200"/>
    <n v="8"/>
    <n v="2"/>
    <n v="4"/>
    <n v="8"/>
    <n v="64"/>
    <n v="338.4783672454484"/>
    <n v="3.9370078740157481"/>
    <n v="2"/>
    <n v="19968000"/>
    <n v="0.70516326509468419"/>
    <x v="0"/>
    <n v="10"/>
    <n v="1"/>
    <n v="1.2000000000000002"/>
    <n v="2.8000000000000003"/>
    <n v="12"/>
    <n v="17"/>
    <n v="41"/>
    <n v="16"/>
    <n v="16"/>
    <n v="8"/>
    <n v="1"/>
    <n v="1"/>
    <n v="2"/>
    <n v="8"/>
    <n v="12"/>
  </r>
  <r>
    <s v="5 Ply Corrugated Box (size- 650x370x320 mm)-OD, (Type-2 ,B.S -17 Kg/cm2)"/>
    <n v="22096"/>
    <n v="1841.3333333333333"/>
    <n v="1842"/>
    <n v="2210"/>
    <n v="7.1277933636451586E-3"/>
    <n v="26"/>
    <n v="85"/>
    <n v="15"/>
    <n v="20.383625631643216"/>
    <n v="1275"/>
    <n v="600"/>
    <n v="3"/>
    <n v="650"/>
    <n v="370"/>
    <n v="320"/>
    <n v="1200"/>
    <n v="1080"/>
    <n v="1200"/>
    <n v="4"/>
    <n v="1"/>
    <n v="2"/>
    <n v="4"/>
    <n v="8"/>
    <n v="163.06900505314573"/>
    <n v="3.9370078740157481"/>
    <n v="12"/>
    <n v="76960000"/>
    <n v="2.717816750885762"/>
    <x v="0"/>
    <n v="60"/>
    <n v="6"/>
    <n v="7.2000000000000011"/>
    <n v="16.800000000000004"/>
    <n v="72.000000000000014"/>
    <n v="102.00000000000003"/>
    <n v="43"/>
    <n v="17"/>
    <n v="17"/>
    <n v="9"/>
    <n v="5"/>
    <n v="6"/>
    <n v="15"/>
    <n v="68"/>
    <n v="94"/>
  </r>
  <r>
    <s v="5 Ply Corrugated Box (size- 508x305x255 mm)-OD, (Type-1 ,B.S -14 Kg/cm2)"/>
    <n v="19640"/>
    <n v="1829.0476190476193"/>
    <n v="1830"/>
    <n v="2194"/>
    <n v="7.0813582277256459E-3"/>
    <n v="26"/>
    <n v="85"/>
    <n v="15"/>
    <n v="10.464539158244984"/>
    <n v="1275"/>
    <n v="600"/>
    <n v="3"/>
    <n v="508"/>
    <n v="305"/>
    <n v="255"/>
    <n v="1200"/>
    <n v="1080"/>
    <n v="1200"/>
    <n v="5"/>
    <n v="2"/>
    <n v="3"/>
    <n v="5"/>
    <n v="30"/>
    <n v="313.93617474734953"/>
    <n v="3.9370078740157481"/>
    <n v="3"/>
    <n v="39509700"/>
    <n v="1.3952718877659978"/>
    <x v="0"/>
    <n v="15"/>
    <n v="1.5"/>
    <n v="1.8000000000000003"/>
    <n v="4.2000000000000011"/>
    <n v="18.000000000000004"/>
    <n v="25.500000000000007"/>
    <n v="43"/>
    <n v="17"/>
    <n v="17"/>
    <n v="9"/>
    <n v="1"/>
    <n v="2"/>
    <n v="4"/>
    <n v="18"/>
    <n v="25"/>
  </r>
  <r>
    <s v="Corrugated Box Size  400 X 400 X 150"/>
    <n v="22201"/>
    <n v="1780.9560439560441"/>
    <n v="1781"/>
    <n v="2030"/>
    <n v="6.8917480893876367E-3"/>
    <n v="26"/>
    <n v="79"/>
    <n v="15"/>
    <n v="6.3566400098679461"/>
    <n v="1185"/>
    <n v="600"/>
    <n v="2"/>
    <n v="400"/>
    <n v="400"/>
    <n v="150"/>
    <n v="1200"/>
    <n v="1080"/>
    <n v="1200"/>
    <n v="8"/>
    <n v="3"/>
    <n v="2"/>
    <n v="8"/>
    <n v="48"/>
    <n v="305.11872047366143"/>
    <n v="3.9370078740157481"/>
    <n v="2"/>
    <n v="24000000"/>
    <n v="0.84755200131572617"/>
    <x v="0"/>
    <n v="10"/>
    <n v="1"/>
    <n v="1.2000000000000002"/>
    <n v="2.8000000000000003"/>
    <n v="12"/>
    <n v="17"/>
    <n v="40"/>
    <n v="16"/>
    <n v="16"/>
    <n v="8"/>
    <n v="1"/>
    <n v="1"/>
    <n v="2"/>
    <n v="10"/>
    <n v="14"/>
  </r>
  <r>
    <s v="5 Ply Corrugated Box (size- 1090x470x240 mm)-OD, (Type-1 ,B.S -14 Kg/cm2)"/>
    <n v="19538"/>
    <n v="1750.1944444444443"/>
    <n v="1751"/>
    <n v="2191"/>
    <n v="6.7756602495888558E-3"/>
    <n v="26"/>
    <n v="85"/>
    <n v="15"/>
    <n v="32.565066770553493"/>
    <n v="1275"/>
    <n v="600"/>
    <n v="3"/>
    <n v="1090"/>
    <n v="470"/>
    <n v="240"/>
    <n v="1200"/>
    <n v="1080"/>
    <n v="1200"/>
    <n v="5"/>
    <n v="1"/>
    <n v="2"/>
    <n v="5"/>
    <n v="10"/>
    <n v="325.65066770553494"/>
    <n v="3.9370078740157481"/>
    <n v="9"/>
    <n v="122952000"/>
    <n v="4.3420089027404654"/>
    <x v="0"/>
    <n v="45"/>
    <n v="4.5"/>
    <n v="5.4"/>
    <n v="12.6"/>
    <n v="54"/>
    <n v="76.5"/>
    <n v="43"/>
    <n v="17"/>
    <n v="17"/>
    <n v="9"/>
    <n v="4"/>
    <n v="5"/>
    <n v="12"/>
    <n v="54"/>
    <n v="75"/>
  </r>
  <r>
    <s v="Corrugated Box 3 Ply Size- 18&quot;*15&quot;"/>
    <n v="19241"/>
    <n v="1749.1818181818182"/>
    <n v="1750"/>
    <n v="2003"/>
    <n v="6.7717906549288965E-3"/>
    <n v="26"/>
    <n v="78"/>
    <n v="15"/>
    <n v="17.301304133858263"/>
    <n v="1170"/>
    <n v="600"/>
    <n v="2"/>
    <n v="457.2"/>
    <n v="381"/>
    <n v="375"/>
    <n v="1200"/>
    <n v="1080"/>
    <n v="1200"/>
    <n v="3"/>
    <n v="2"/>
    <n v="2"/>
    <n v="3"/>
    <n v="12"/>
    <n v="207.61564960629914"/>
    <n v="3.9370078740157481"/>
    <n v="7"/>
    <n v="65322449.999999993"/>
    <n v="2.3068405511811019"/>
    <x v="0"/>
    <n v="35"/>
    <n v="3.5"/>
    <n v="4.2"/>
    <n v="9.8000000000000007"/>
    <n v="42.000000000000007"/>
    <n v="59.500000000000007"/>
    <n v="39"/>
    <n v="16"/>
    <n v="16"/>
    <n v="8"/>
    <n v="3"/>
    <n v="4"/>
    <n v="9"/>
    <n v="40"/>
    <n v="56"/>
  </r>
  <r>
    <s v="5 Ply Corrugated Box (size- 508x430x240 mm)-OD, (Type-1 ,B.S -14 Kg/cm2)"/>
    <n v="20478"/>
    <n v="1706.5"/>
    <n v="1707"/>
    <n v="1966"/>
    <n v="6.6053980845506436E-3"/>
    <n v="26"/>
    <n v="76"/>
    <n v="15"/>
    <n v="13.885444437555542"/>
    <n v="1140"/>
    <n v="600"/>
    <n v="2"/>
    <n v="508"/>
    <n v="430"/>
    <n v="240"/>
    <n v="1200"/>
    <n v="1080"/>
    <n v="1200"/>
    <n v="5"/>
    <n v="2"/>
    <n v="2"/>
    <n v="5"/>
    <n v="20"/>
    <n v="277.70888875111086"/>
    <n v="3.9370078740157481"/>
    <n v="4"/>
    <n v="52425600"/>
    <n v="1.8513925916740723"/>
    <x v="0"/>
    <n v="20"/>
    <n v="2"/>
    <n v="2.4000000000000004"/>
    <n v="5.6000000000000005"/>
    <n v="24"/>
    <n v="34"/>
    <n v="38"/>
    <n v="15"/>
    <n v="15"/>
    <n v="8"/>
    <n v="2"/>
    <n v="2"/>
    <n v="5"/>
    <n v="24"/>
    <n v="33"/>
  </r>
  <r>
    <s v="5 Ply Corrugated Box (size- 560x370x180 mm)-OD, (Type-1 ,B.S -14 Kg/cm2)-automatic corrugated board"/>
    <n v="20354"/>
    <n v="1696.1666666666667"/>
    <n v="1697"/>
    <n v="2180"/>
    <n v="6.5667021379510497E-3"/>
    <n v="26"/>
    <n v="84"/>
    <n v="15"/>
    <n v="9.8782185753347882"/>
    <n v="1260"/>
    <n v="600"/>
    <n v="3"/>
    <n v="560"/>
    <n v="370"/>
    <n v="180"/>
    <n v="1200"/>
    <n v="1080"/>
    <n v="1200"/>
    <n v="7"/>
    <n v="2"/>
    <n v="2"/>
    <n v="7"/>
    <n v="28"/>
    <n v="276.59012010937408"/>
    <n v="3.9370078740157481"/>
    <n v="4"/>
    <n v="37296000"/>
    <n v="1.3170958100446384"/>
    <x v="0"/>
    <n v="20"/>
    <n v="2"/>
    <n v="2.4000000000000004"/>
    <n v="5.6000000000000005"/>
    <n v="24"/>
    <n v="34"/>
    <n v="42"/>
    <n v="17"/>
    <n v="17"/>
    <n v="8"/>
    <n v="2"/>
    <n v="2"/>
    <n v="4"/>
    <n v="17"/>
    <n v="25"/>
  </r>
  <r>
    <s v="43X18.5X9.5 ( 3 KRAFT PAPER 180 GSM 22 BF, 2 SEMI KRAFT PAPER 125 GSM 18 BF) Corrugated Box"/>
    <n v="2260"/>
    <n v="1586.5"/>
    <n v="1587"/>
    <n v="1728"/>
    <n v="6.1410467253555194E-3"/>
    <n v="26"/>
    <n v="67"/>
    <n v="15"/>
    <n v="32.800564236111114"/>
    <n v="1005"/>
    <n v="600"/>
    <n v="2"/>
    <n v="1092.2"/>
    <n v="469.9"/>
    <n v="241.29999999999998"/>
    <n v="1200"/>
    <n v="1080"/>
    <n v="1200"/>
    <n v="5"/>
    <n v="1"/>
    <n v="2"/>
    <n v="5"/>
    <n v="10"/>
    <n v="328.00564236111114"/>
    <n v="3.9370078740157481"/>
    <n v="8"/>
    <n v="123841139.41399999"/>
    <n v="4.3734085648148149"/>
    <x v="0"/>
    <n v="40"/>
    <n v="4"/>
    <n v="4.8000000000000007"/>
    <n v="11.200000000000001"/>
    <n v="48"/>
    <n v="68"/>
    <n v="34"/>
    <n v="13"/>
    <n v="13"/>
    <n v="7"/>
    <n v="3"/>
    <n v="4"/>
    <n v="9"/>
    <n v="42"/>
    <n v="58"/>
  </r>
  <r>
    <s v="CB Box  660 x 380 x 160 mm , B.S-14 (5 Ply , Type-1)"/>
    <n v="1553"/>
    <n v="1553"/>
    <n v="1553"/>
    <n v="1553"/>
    <n v="6.0094805069169002E-3"/>
    <n v="26"/>
    <n v="60"/>
    <n v="15"/>
    <n v="10.628302096499207"/>
    <n v="900"/>
    <n v="600"/>
    <n v="2"/>
    <n v="660"/>
    <n v="380"/>
    <n v="160"/>
    <n v="1200"/>
    <n v="1080"/>
    <n v="1200"/>
    <n v="8"/>
    <n v="1"/>
    <n v="2"/>
    <n v="8"/>
    <n v="16"/>
    <n v="170.0528335439873"/>
    <n v="3.9370078740157481"/>
    <n v="4"/>
    <n v="40128000"/>
    <n v="1.4171069461998942"/>
    <x v="0"/>
    <n v="20"/>
    <n v="2"/>
    <n v="2.4000000000000004"/>
    <n v="5.6000000000000005"/>
    <n v="24"/>
    <n v="34"/>
    <n v="30"/>
    <n v="12"/>
    <n v="12"/>
    <n v="6"/>
    <n v="2"/>
    <n v="2"/>
    <n v="5"/>
    <n v="23"/>
    <n v="32"/>
  </r>
  <r>
    <s v="CORRUGATED BOXES 410X235X160,5PLY,25BF"/>
    <n v="2950"/>
    <n v="1500"/>
    <n v="1500"/>
    <n v="1510"/>
    <n v="5.8043919899390542E-3"/>
    <n v="26"/>
    <n v="59"/>
    <n v="15"/>
    <n v="4.0830817663385108"/>
    <n v="885"/>
    <n v="600"/>
    <n v="2"/>
    <n v="410"/>
    <n v="235"/>
    <n v="160"/>
    <n v="1200"/>
    <n v="1080"/>
    <n v="1200"/>
    <n v="8"/>
    <n v="2"/>
    <n v="4"/>
    <n v="8"/>
    <n v="64"/>
    <n v="261.31723304566469"/>
    <n v="3.9370078740157481"/>
    <n v="1"/>
    <n v="15416000"/>
    <n v="0.5444109021784681"/>
    <x v="0"/>
    <n v="5"/>
    <n v="0.5"/>
    <n v="0.60000000000000009"/>
    <n v="1.4000000000000001"/>
    <n v="6"/>
    <n v="8.5"/>
    <n v="30"/>
    <n v="12"/>
    <n v="12"/>
    <n v="6"/>
    <n v="0"/>
    <n v="1"/>
    <n v="1"/>
    <n v="6"/>
    <n v="8"/>
  </r>
  <r>
    <s v="3 ply, inner selflocking CB box size : 205 x 105 x 140 mm -(OD) Paper combination ( 250 VK ,22 BF X 140 VK,22BF X 250 VK ,22 BF) , B.S : 11 Kg/cm2."/>
    <n v="1495"/>
    <n v="1495"/>
    <n v="1495"/>
    <n v="1495"/>
    <n v="5.7850440166392573E-3"/>
    <n v="26"/>
    <n v="58"/>
    <n v="15"/>
    <n v="0.79815561123904399"/>
    <n v="870"/>
    <n v="600"/>
    <n v="2"/>
    <n v="205"/>
    <n v="105"/>
    <n v="140"/>
    <n v="1200"/>
    <n v="1080"/>
    <n v="1200"/>
    <n v="9"/>
    <n v="3"/>
    <n v="5"/>
    <n v="9"/>
    <n v="135"/>
    <n v="107.75100751727093"/>
    <n v="3.9370078740157481"/>
    <n v="1"/>
    <n v="3013500"/>
    <n v="0.10642074816520587"/>
    <x v="0"/>
    <n v="5"/>
    <n v="0.5"/>
    <n v="0.60000000000000009"/>
    <n v="1.4000000000000001"/>
    <n v="6"/>
    <n v="8.5"/>
    <n v="29"/>
    <n v="12"/>
    <n v="12"/>
    <n v="6"/>
    <n v="0"/>
    <n v="0"/>
    <n v="1"/>
    <n v="3"/>
    <n v="4"/>
  </r>
  <r>
    <s v="3 ply, outer selflocking CB box size : 230 x 225 x 180 mm -(OD) Paper combination ( 250 VK ,22 BF X 140 VK,22BF X 250 VK ,22 BF) , B.S : 11 Kg/cm2."/>
    <n v="1482"/>
    <n v="1482"/>
    <n v="1482"/>
    <n v="1482"/>
    <n v="5.7347392860597852E-3"/>
    <n v="26"/>
    <n v="57"/>
    <n v="15"/>
    <n v="2.4671709038299965"/>
    <n v="855"/>
    <n v="600"/>
    <n v="2"/>
    <n v="230"/>
    <n v="225"/>
    <n v="180"/>
    <n v="1200"/>
    <n v="1080"/>
    <n v="1200"/>
    <n v="7"/>
    <n v="5"/>
    <n v="4"/>
    <n v="7"/>
    <n v="140"/>
    <n v="345.40392653619949"/>
    <n v="3.9370078740157481"/>
    <n v="1"/>
    <n v="9315000"/>
    <n v="0.32895612051066619"/>
    <x v="0"/>
    <n v="5"/>
    <n v="0.5"/>
    <n v="0.60000000000000009"/>
    <n v="1.4000000000000001"/>
    <n v="6"/>
    <n v="8.5"/>
    <n v="29"/>
    <n v="11"/>
    <n v="11"/>
    <n v="6"/>
    <n v="0"/>
    <n v="0"/>
    <n v="1"/>
    <n v="3"/>
    <n v="4"/>
  </r>
  <r>
    <s v="CORRUGATED BOXES  35X16X6,5-PLY,300GM"/>
    <n v="18862"/>
    <n v="1450.9230769230769"/>
    <n v="1451"/>
    <n v="1655"/>
    <n v="5.614781851601045E-3"/>
    <n v="26"/>
    <n v="64"/>
    <n v="15"/>
    <n v="14.583333333333336"/>
    <n v="960"/>
    <n v="600"/>
    <n v="2"/>
    <n v="889"/>
    <n v="406.4"/>
    <n v="152.4"/>
    <n v="1200"/>
    <n v="1080"/>
    <n v="1200"/>
    <n v="8"/>
    <n v="1"/>
    <n v="2"/>
    <n v="8"/>
    <n v="16"/>
    <n v="233.33333333333337"/>
    <n v="3.9370078740157481"/>
    <n v="5"/>
    <n v="55060535.039999999"/>
    <n v="1.9444444444444446"/>
    <x v="0"/>
    <n v="25"/>
    <n v="2.5"/>
    <n v="3"/>
    <n v="7"/>
    <n v="30"/>
    <n v="42.5"/>
    <n v="32"/>
    <n v="13"/>
    <n v="13"/>
    <n v="6"/>
    <n v="2"/>
    <n v="2"/>
    <n v="6"/>
    <n v="23"/>
    <n v="33"/>
  </r>
  <r>
    <s v="5 Ply corrugated separator  (size- 555x500x7 mm), (B.S -12 Kg/cm2)-automatic corrugated board"/>
    <n v="14462"/>
    <n v="1446.2"/>
    <n v="1447"/>
    <n v="1394"/>
    <n v="5.5993034729612074E-3"/>
    <n v="26"/>
    <n v="54"/>
    <n v="15"/>
    <n v="0.51449055079868689"/>
    <n v="810"/>
    <n v="600"/>
    <n v="2"/>
    <n v="555"/>
    <n v="500"/>
    <n v="7"/>
    <n v="1200"/>
    <n v="1080"/>
    <n v="1200"/>
    <n v="171"/>
    <n v="2"/>
    <n v="2"/>
    <n v="171"/>
    <n v="684"/>
    <n v="351.91153674630181"/>
    <n v="3.9370078740157481"/>
    <n v="1"/>
    <n v="1942500"/>
    <n v="6.8598740106491585E-2"/>
    <x v="0"/>
    <n v="5"/>
    <n v="0.5"/>
    <n v="0.60000000000000009"/>
    <n v="1.4000000000000001"/>
    <n v="6"/>
    <n v="8.5"/>
    <n v="27"/>
    <n v="11"/>
    <n v="11"/>
    <n v="5"/>
    <n v="0"/>
    <n v="0"/>
    <n v="0"/>
    <n v="0"/>
    <n v="0"/>
  </r>
  <r>
    <s v="560X410X160 5PLY 300GM CB BOX"/>
    <n v="13302"/>
    <n v="1445.2773892773891"/>
    <n v="1446"/>
    <n v="1764"/>
    <n v="5.5954338783012481E-3"/>
    <n v="26"/>
    <n v="68"/>
    <n v="15"/>
    <n v="9.7298969751045359"/>
    <n v="1020"/>
    <n v="600"/>
    <n v="2"/>
    <n v="560"/>
    <n v="410"/>
    <n v="160"/>
    <n v="1200"/>
    <n v="1080"/>
    <n v="1200"/>
    <n v="8"/>
    <n v="2"/>
    <n v="2"/>
    <n v="8"/>
    <n v="32"/>
    <n v="311.35670320334515"/>
    <n v="3.9370078740157481"/>
    <n v="3"/>
    <n v="36736000"/>
    <n v="1.2973195966806048"/>
    <x v="0"/>
    <n v="15"/>
    <n v="1.5"/>
    <n v="1.8000000000000003"/>
    <n v="4.2000000000000011"/>
    <n v="18.000000000000004"/>
    <n v="25.500000000000007"/>
    <n v="34"/>
    <n v="14"/>
    <n v="14"/>
    <n v="7"/>
    <n v="1"/>
    <n v="1"/>
    <n v="3"/>
    <n v="13"/>
    <n v="18"/>
  </r>
  <r>
    <s v="5 PLY CORRUGATION SEPARATOR SHEET (555x500x7mm)"/>
    <n v="2825"/>
    <n v="1412.5"/>
    <n v="1413"/>
    <n v="1519"/>
    <n v="5.4677372545225891E-3"/>
    <n v="26"/>
    <n v="59"/>
    <n v="15"/>
    <n v="0.51449055079868689"/>
    <n v="885"/>
    <n v="600"/>
    <n v="2"/>
    <n v="555"/>
    <n v="500"/>
    <n v="7"/>
    <n v="1200"/>
    <n v="1080"/>
    <n v="1200"/>
    <n v="171"/>
    <n v="2"/>
    <n v="2"/>
    <n v="171"/>
    <n v="684"/>
    <n v="351.91153674630181"/>
    <n v="3.9370078740157481"/>
    <n v="1"/>
    <n v="1942500"/>
    <n v="6.8598740106491585E-2"/>
    <x v="0"/>
    <n v="5"/>
    <n v="0.5"/>
    <n v="0.60000000000000009"/>
    <n v="1.4000000000000001"/>
    <n v="6"/>
    <n v="8.5"/>
    <n v="30"/>
    <n v="12"/>
    <n v="12"/>
    <n v="6"/>
    <n v="0"/>
    <n v="0"/>
    <n v="0"/>
    <n v="1"/>
    <n v="1"/>
  </r>
  <r>
    <s v="11X15X10 ( 3 KRAFT PAPER 180 GSM 22 BF, 2 SEMI KRAFT PAPER 125 GSM 18 BF) Corrugated Box"/>
    <n v="14048"/>
    <n v="1388.4307692307693"/>
    <n v="1389"/>
    <n v="1927"/>
    <n v="5.3748669826835637E-3"/>
    <n v="26"/>
    <n v="75"/>
    <n v="15"/>
    <n v="7.1614583333333321"/>
    <n v="1125"/>
    <n v="600"/>
    <n v="2"/>
    <n v="279.39999999999998"/>
    <n v="381"/>
    <n v="254"/>
    <n v="1200"/>
    <n v="1080"/>
    <n v="1200"/>
    <n v="5"/>
    <n v="4"/>
    <n v="2"/>
    <n v="5"/>
    <n v="40"/>
    <n v="286.45833333333326"/>
    <n v="3.9370078740157481"/>
    <n v="2"/>
    <n v="27038655.599999998"/>
    <n v="0.95486111111111094"/>
    <x v="0"/>
    <n v="10"/>
    <n v="1"/>
    <n v="1.2000000000000002"/>
    <n v="2.8000000000000003"/>
    <n v="12"/>
    <n v="17"/>
    <n v="38"/>
    <n v="15"/>
    <n v="15"/>
    <n v="8"/>
    <n v="1"/>
    <n v="1"/>
    <n v="3"/>
    <n v="12"/>
    <n v="17"/>
  </r>
  <r>
    <s v="5 Ply Corrugated Box (size- 762x508x305 mm)-OD, (Type-1 ,B.S -14 Kg/cm2)"/>
    <n v="9452"/>
    <n v="1258.439393939394"/>
    <n v="1259"/>
    <n v="1733"/>
    <n v="4.8718196768888456E-3"/>
    <n v="26"/>
    <n v="67"/>
    <n v="15"/>
    <n v="31.270505249343834"/>
    <n v="1005"/>
    <n v="600"/>
    <n v="2"/>
    <n v="762"/>
    <n v="508"/>
    <n v="305"/>
    <n v="1200"/>
    <n v="1080"/>
    <n v="1200"/>
    <n v="4"/>
    <n v="1"/>
    <n v="2"/>
    <n v="4"/>
    <n v="8"/>
    <n v="250.16404199475068"/>
    <n v="3.9370078740157481"/>
    <n v="9"/>
    <n v="118064280"/>
    <n v="4.1694006999125115"/>
    <x v="0"/>
    <n v="45"/>
    <n v="4.5"/>
    <n v="5.4"/>
    <n v="12.6"/>
    <n v="54"/>
    <n v="76.5"/>
    <n v="34"/>
    <n v="13"/>
    <n v="13"/>
    <n v="7"/>
    <n v="4"/>
    <n v="5"/>
    <n v="11"/>
    <n v="53"/>
    <n v="73"/>
  </r>
  <r>
    <s v="7 PLY CORRUGATED BOX ( 725 x 700 x 335 mm )"/>
    <n v="1245"/>
    <n v="1245"/>
    <n v="1245"/>
    <n v="1245"/>
    <n v="4.8176453516494151E-3"/>
    <n v="26"/>
    <n v="48"/>
    <n v="15"/>
    <n v="45.029510819903095"/>
    <n v="720"/>
    <n v="600"/>
    <n v="2"/>
    <n v="725"/>
    <n v="700"/>
    <n v="335"/>
    <n v="1200"/>
    <n v="1080"/>
    <n v="1200"/>
    <n v="4"/>
    <n v="1"/>
    <n v="1"/>
    <n v="4"/>
    <n v="4"/>
    <n v="180.11804327961238"/>
    <n v="3.9370078740157481"/>
    <n v="13"/>
    <n v="170012500"/>
    <n v="6.0039347759870791"/>
    <x v="0"/>
    <n v="65"/>
    <n v="6.5"/>
    <n v="7.8000000000000007"/>
    <n v="18.2"/>
    <n v="78"/>
    <n v="110.5"/>
    <n v="24"/>
    <n v="10"/>
    <n v="10"/>
    <n v="5"/>
    <n v="6"/>
    <n v="8"/>
    <n v="18"/>
    <n v="75"/>
    <n v="107"/>
  </r>
  <r>
    <s v="Corrugated Box SIZE-38X20X10 BRUSTING-21(7 PLY)"/>
    <n v="1153"/>
    <n v="1153"/>
    <n v="1153"/>
    <n v="1153"/>
    <n v="4.4616426429331529E-3"/>
    <n v="26"/>
    <n v="45"/>
    <n v="15"/>
    <n v="32.986111111111107"/>
    <n v="675"/>
    <n v="600"/>
    <n v="2"/>
    <n v="965.19999999999993"/>
    <n v="508"/>
    <n v="254"/>
    <n v="1200"/>
    <n v="1080"/>
    <n v="1200"/>
    <n v="5"/>
    <n v="1"/>
    <n v="2"/>
    <n v="5"/>
    <n v="10"/>
    <n v="329.86111111111109"/>
    <n v="3.9370078740157481"/>
    <n v="5"/>
    <n v="124541686.39999999"/>
    <n v="4.3981481481481479"/>
    <x v="0"/>
    <n v="25"/>
    <n v="2.5"/>
    <n v="3"/>
    <n v="7"/>
    <n v="30"/>
    <n v="42.5"/>
    <n v="23"/>
    <n v="9"/>
    <n v="9"/>
    <n v="5"/>
    <n v="2"/>
    <n v="3"/>
    <n v="6"/>
    <n v="30"/>
    <n v="41"/>
  </r>
  <r>
    <s v="C.B. BOXES   26 X 7 X 4&quot;  7PLY (420 Gm.)"/>
    <n v="13580"/>
    <n v="1131.6666666666667"/>
    <n v="1132"/>
    <n v="1511"/>
    <n v="4.3803811550740058E-3"/>
    <n v="26"/>
    <n v="59"/>
    <n v="15"/>
    <n v="3.1597222222222223"/>
    <n v="885"/>
    <n v="600"/>
    <n v="2"/>
    <n v="660.4"/>
    <n v="177.8"/>
    <n v="101.6"/>
    <n v="1200"/>
    <n v="1080"/>
    <n v="1200"/>
    <n v="12"/>
    <n v="1"/>
    <n v="6"/>
    <n v="12"/>
    <n v="72"/>
    <n v="227.5"/>
    <n v="3.9370078740157481"/>
    <n v="1"/>
    <n v="11929782.592"/>
    <n v="0.42129629629629634"/>
    <x v="0"/>
    <n v="5"/>
    <n v="0.5"/>
    <n v="0.60000000000000009"/>
    <n v="1.4000000000000001"/>
    <n v="6"/>
    <n v="8.5"/>
    <n v="30"/>
    <n v="12"/>
    <n v="12"/>
    <n v="6"/>
    <n v="0"/>
    <n v="1"/>
    <n v="1"/>
    <n v="5"/>
    <n v="7"/>
  </r>
  <r>
    <s v="5 PLY UNIVERSAL CORRUGATED BOX (560x370x180mm)"/>
    <n v="2242"/>
    <n v="1121"/>
    <n v="1121"/>
    <n v="1359"/>
    <n v="4.3378156138144533E-3"/>
    <n v="26"/>
    <n v="53"/>
    <n v="15"/>
    <n v="9.8782185753347882"/>
    <n v="795"/>
    <n v="600"/>
    <n v="2"/>
    <n v="560"/>
    <n v="370"/>
    <n v="180"/>
    <n v="1200"/>
    <n v="1080"/>
    <n v="1200"/>
    <n v="7"/>
    <n v="2"/>
    <n v="2"/>
    <n v="7"/>
    <n v="28"/>
    <n v="276.59012010937408"/>
    <n v="3.9370078740157481"/>
    <n v="2"/>
    <n v="37296000"/>
    <n v="1.3170958100446384"/>
    <x v="0"/>
    <n v="10"/>
    <n v="1"/>
    <n v="1.2000000000000002"/>
    <n v="2.8000000000000003"/>
    <n v="12"/>
    <n v="17"/>
    <n v="27"/>
    <n v="11"/>
    <n v="11"/>
    <n v="5"/>
    <n v="1"/>
    <n v="1"/>
    <n v="3"/>
    <n v="11"/>
    <n v="16"/>
  </r>
  <r>
    <s v="20X15X6 ( 3 KRAFT PAPER 180 GSM 22 BF, 2 SEMI KRAFT PAPER 125 GSM 18 BF) Corrugated Box"/>
    <n v="6222"/>
    <n v="1116.6363636363635"/>
    <n v="1117"/>
    <n v="1482"/>
    <n v="4.3223372351746158E-3"/>
    <n v="26"/>
    <n v="57"/>
    <n v="15"/>
    <n v="7.8125000000000009"/>
    <n v="855"/>
    <n v="600"/>
    <n v="2"/>
    <n v="508"/>
    <n v="381"/>
    <n v="152.4"/>
    <n v="1200"/>
    <n v="1080"/>
    <n v="1200"/>
    <n v="8"/>
    <n v="2"/>
    <n v="2"/>
    <n v="8"/>
    <n v="32"/>
    <n v="250.00000000000003"/>
    <n v="3.9370078740157481"/>
    <n v="2"/>
    <n v="29496715.199999999"/>
    <n v="1.0416666666666667"/>
    <x v="0"/>
    <n v="10"/>
    <n v="1"/>
    <n v="1.2000000000000002"/>
    <n v="2.8000000000000003"/>
    <n v="12"/>
    <n v="17"/>
    <n v="29"/>
    <n v="11"/>
    <n v="11"/>
    <n v="6"/>
    <n v="1"/>
    <n v="1"/>
    <n v="2"/>
    <n v="11"/>
    <n v="15"/>
  </r>
  <r>
    <s v="1 Cardboard separator 5 ply size 4x3.8 in feet"/>
    <n v="11157"/>
    <n v="1111.6666666666665"/>
    <n v="1112"/>
    <n v="1464"/>
    <n v="4.3029892618748188E-3"/>
    <n v="26"/>
    <n v="57"/>
    <n v="15"/>
    <n v="140.25590551181105"/>
    <n v="855"/>
    <n v="600"/>
    <n v="2"/>
    <n v="1219.2"/>
    <n v="1158.24"/>
    <n v="375"/>
    <n v="1200"/>
    <n v="1200"/>
    <n v="1200"/>
    <n v="3"/>
    <n v="1"/>
    <n v="1"/>
    <n v="3"/>
    <n v="3"/>
    <n v="420.76771653543312"/>
    <n v="3.9370078740157481"/>
    <n v="20"/>
    <n v="529547328.00000006"/>
    <n v="18.700787401574807"/>
    <x v="0"/>
    <n v="100"/>
    <n v="10"/>
    <n v="12"/>
    <n v="28"/>
    <n v="120"/>
    <n v="170"/>
    <n v="29"/>
    <n v="11"/>
    <n v="11"/>
    <n v="6"/>
    <n v="10"/>
    <n v="11"/>
    <n v="26"/>
    <n v="120"/>
    <n v="167"/>
  </r>
  <r>
    <s v="5 Ply Corrugated Box (size- 1067x330x305 mm)-OD, (Type-1 ,B.S -14 Kg/cm2)"/>
    <n v="6541"/>
    <n v="1107.8"/>
    <n v="1108"/>
    <n v="1401"/>
    <n v="4.2875108832349813E-3"/>
    <n v="26"/>
    <n v="54"/>
    <n v="15"/>
    <n v="28.444255697156411"/>
    <n v="810"/>
    <n v="600"/>
    <n v="2"/>
    <n v="1067"/>
    <n v="330"/>
    <n v="305"/>
    <n v="1200"/>
    <n v="1080"/>
    <n v="1200"/>
    <n v="4"/>
    <n v="1"/>
    <n v="3"/>
    <n v="4"/>
    <n v="12"/>
    <n v="341.33106836587694"/>
    <n v="3.9370078740157481"/>
    <n v="5"/>
    <n v="107393550"/>
    <n v="3.7925674262875213"/>
    <x v="0"/>
    <n v="25"/>
    <n v="2.5"/>
    <n v="3"/>
    <n v="7"/>
    <n v="30"/>
    <n v="42.5"/>
    <n v="27"/>
    <n v="11"/>
    <n v="11"/>
    <n v="5"/>
    <n v="2"/>
    <n v="3"/>
    <n v="6"/>
    <n v="25"/>
    <n v="36"/>
  </r>
  <r>
    <s v="CORRUGATED BOX 25X14X10&quot; 5PLY BOX"/>
    <n v="11693"/>
    <n v="1063"/>
    <n v="1063"/>
    <n v="1408"/>
    <n v="4.1133791235368096E-3"/>
    <n v="26"/>
    <n v="55"/>
    <n v="15"/>
    <n v="15.190972222222221"/>
    <n v="825"/>
    <n v="600"/>
    <n v="2"/>
    <n v="635"/>
    <n v="355.6"/>
    <n v="254"/>
    <n v="1200"/>
    <n v="1080"/>
    <n v="1200"/>
    <n v="5"/>
    <n v="1"/>
    <n v="3"/>
    <n v="5"/>
    <n v="15"/>
    <n v="227.86458333333331"/>
    <n v="3.9370078740157481"/>
    <n v="4"/>
    <n v="57354724"/>
    <n v="2.0254629629629628"/>
    <x v="0"/>
    <n v="20"/>
    <n v="2"/>
    <n v="2.4000000000000004"/>
    <n v="5.6000000000000005"/>
    <n v="24"/>
    <n v="34"/>
    <n v="28"/>
    <n v="11"/>
    <n v="11"/>
    <n v="6"/>
    <n v="2"/>
    <n v="2"/>
    <n v="5"/>
    <n v="24"/>
    <n v="33"/>
  </r>
  <r>
    <s v="5 Ply Corrugated Box (size- 965x508x255 mm)-OD, (Type-1 ,B.S -14 Kg/cm2)"/>
    <n v="9110"/>
    <n v="1031.1666666666667"/>
    <n v="1032"/>
    <n v="1335"/>
    <n v="3.9934216890780694E-3"/>
    <n v="26"/>
    <n v="52"/>
    <n v="15"/>
    <n v="33.10911569739806"/>
    <n v="780"/>
    <n v="600"/>
    <n v="2"/>
    <n v="965"/>
    <n v="508"/>
    <n v="255"/>
    <n v="1200"/>
    <n v="1080"/>
    <n v="1200"/>
    <n v="5"/>
    <n v="1"/>
    <n v="2"/>
    <n v="5"/>
    <n v="10"/>
    <n v="331.09115697398062"/>
    <n v="3.9370078740157481"/>
    <n v="6"/>
    <n v="125006100"/>
    <n v="4.4145487596530746"/>
    <x v="0"/>
    <n v="30"/>
    <n v="3"/>
    <n v="3.6000000000000005"/>
    <n v="8.4000000000000021"/>
    <n v="36.000000000000007"/>
    <n v="51.000000000000014"/>
    <n v="26"/>
    <n v="10"/>
    <n v="10"/>
    <n v="5"/>
    <n v="3"/>
    <n v="3"/>
    <n v="7"/>
    <n v="30"/>
    <n v="43"/>
  </r>
  <r>
    <s v="C.B. BOXES   17x7x4&quot;   5 PLY (222 Gm.)"/>
    <n v="5605"/>
    <n v="992.5"/>
    <n v="993"/>
    <n v="1168"/>
    <n v="3.8425074973396536E-3"/>
    <n v="26"/>
    <n v="45"/>
    <n v="15"/>
    <n v="2.0659722222222228"/>
    <n v="675"/>
    <n v="600"/>
    <n v="2"/>
    <n v="431.8"/>
    <n v="177.8"/>
    <n v="101.6"/>
    <n v="1200"/>
    <n v="1080"/>
    <n v="1200"/>
    <n v="12"/>
    <n v="2"/>
    <n v="5"/>
    <n v="12"/>
    <n v="120"/>
    <n v="247.91666666666674"/>
    <n v="3.9370078740157481"/>
    <n v="1"/>
    <n v="7800242.4640000006"/>
    <n v="0.27546296296296302"/>
    <x v="0"/>
    <n v="5"/>
    <n v="0.5"/>
    <n v="0.60000000000000009"/>
    <n v="1.4000000000000001"/>
    <n v="6"/>
    <n v="8.5"/>
    <n v="23"/>
    <n v="9"/>
    <n v="9"/>
    <n v="5"/>
    <n v="0"/>
    <n v="0"/>
    <n v="1"/>
    <n v="3"/>
    <n v="4"/>
  </r>
  <r>
    <s v="20X12X10 ( 3 KRAFT PAPER 180 GSM 22 BF, 2 SEMI KRAFT PAPER 125 GSM 18 BF) Corrugated Box"/>
    <n v="980"/>
    <n v="980"/>
    <n v="980"/>
    <n v="980"/>
    <n v="3.792202766760182E-3"/>
    <n v="26"/>
    <n v="38"/>
    <n v="15"/>
    <n v="10.416666666666666"/>
    <n v="570"/>
    <n v="600"/>
    <n v="1"/>
    <n v="508"/>
    <n v="304.8"/>
    <n v="254"/>
    <n v="1200"/>
    <n v="1080"/>
    <n v="1200"/>
    <n v="5"/>
    <n v="2"/>
    <n v="3"/>
    <n v="5"/>
    <n v="30"/>
    <n v="312.5"/>
    <n v="3.9370078740157481"/>
    <n v="2"/>
    <n v="39328953.600000001"/>
    <n v="1.3888888888888888"/>
    <x v="0"/>
    <n v="10"/>
    <n v="1"/>
    <n v="1.2000000000000002"/>
    <n v="2.8000000000000003"/>
    <n v="12"/>
    <n v="17"/>
    <n v="19"/>
    <n v="8"/>
    <n v="8"/>
    <n v="4"/>
    <n v="1"/>
    <n v="1"/>
    <n v="2"/>
    <n v="8"/>
    <n v="12"/>
  </r>
  <r>
    <s v="5 Ply Corrugated Box (size- 660x380x160 mm)-OD, (Type-1 ,B.S -14 Kg/cm2)"/>
    <n v="11404"/>
    <n v="950.33333333333337"/>
    <n v="951"/>
    <n v="1124"/>
    <n v="3.6799845216213601E-3"/>
    <n v="26"/>
    <n v="44"/>
    <n v="15"/>
    <n v="10.628302096499207"/>
    <n v="660"/>
    <n v="600"/>
    <n v="2"/>
    <n v="660"/>
    <n v="380"/>
    <n v="160"/>
    <n v="1200"/>
    <n v="1080"/>
    <n v="1200"/>
    <n v="8"/>
    <n v="1"/>
    <n v="2"/>
    <n v="8"/>
    <n v="16"/>
    <n v="170.0528335439873"/>
    <n v="3.9370078740157481"/>
    <n v="3"/>
    <n v="40128000"/>
    <n v="1.4171069461998942"/>
    <x v="0"/>
    <n v="15"/>
    <n v="1.5"/>
    <n v="1.8000000000000003"/>
    <n v="4.2000000000000011"/>
    <n v="18.000000000000004"/>
    <n v="25.500000000000007"/>
    <n v="22"/>
    <n v="9"/>
    <n v="9"/>
    <n v="4"/>
    <n v="1"/>
    <n v="2"/>
    <n v="4"/>
    <n v="15"/>
    <n v="22"/>
  </r>
  <r>
    <s v="5 Ply Corrugated Box (size- 940x355x320 mm)-OD, (Type-2 ,B.S -17 Kg/cm2)"/>
    <n v="10272"/>
    <n v="933.81818181818187"/>
    <n v="934"/>
    <n v="1191"/>
    <n v="3.6142014124020509E-3"/>
    <n v="26"/>
    <n v="46"/>
    <n v="15"/>
    <n v="28.282810283905786"/>
    <n v="690"/>
    <n v="600"/>
    <n v="2"/>
    <n v="940"/>
    <n v="355"/>
    <n v="320"/>
    <n v="1200"/>
    <n v="1080"/>
    <n v="1200"/>
    <n v="4"/>
    <n v="1"/>
    <n v="3"/>
    <n v="4"/>
    <n v="12"/>
    <n v="339.39372340686941"/>
    <n v="3.9370078740157481"/>
    <n v="5"/>
    <n v="106784000"/>
    <n v="3.771041371187438"/>
    <x v="0"/>
    <n v="25"/>
    <n v="2.5"/>
    <n v="3"/>
    <n v="7"/>
    <n v="30"/>
    <n v="42.5"/>
    <n v="23"/>
    <n v="9"/>
    <n v="9"/>
    <n v="5"/>
    <n v="2"/>
    <n v="2"/>
    <n v="5"/>
    <n v="25"/>
    <n v="34"/>
  </r>
  <r>
    <s v="CORRUGATED BOX (52 x 9  x 5 )&quot;  7 PLY NET WT. 1 KG."/>
    <n v="5397"/>
    <n v="899.5"/>
    <n v="900"/>
    <n v="883"/>
    <n v="3.4826351939634325E-3"/>
    <n v="26"/>
    <n v="34"/>
    <n v="15"/>
    <n v="10.156249999999998"/>
    <n v="510"/>
    <n v="600"/>
    <n v="1"/>
    <n v="1320.8"/>
    <n v="228.6"/>
    <n v="127"/>
    <n v="1500"/>
    <n v="1080"/>
    <n v="1200"/>
    <n v="9"/>
    <n v="1"/>
    <n v="4"/>
    <n v="9"/>
    <n v="36"/>
    <n v="365.62499999999994"/>
    <n v="3.9370078740157481"/>
    <n v="1"/>
    <n v="38345729.759999998"/>
    <n v="1.3541666666666665"/>
    <x v="2"/>
    <n v="10"/>
    <n v="0.5"/>
    <n v="0.60000000000000009"/>
    <n v="1.4000000000000001"/>
    <n v="6"/>
    <n v="8.5"/>
    <n v="17"/>
    <n v="7"/>
    <n v="7"/>
    <n v="3"/>
    <n v="0"/>
    <n v="1"/>
    <n v="1"/>
    <n v="5"/>
    <n v="7"/>
  </r>
  <r>
    <s v="5 Ply Corrugated Box (size- 850x380x280 mm)-OD, (Type-2 ,B.S -17 Kg/cm2)"/>
    <n v="7702"/>
    <n v="898.58333333333326"/>
    <n v="899"/>
    <n v="1129"/>
    <n v="3.4787655993034731E-3"/>
    <n v="26"/>
    <n v="44"/>
    <n v="15"/>
    <n v="23.953938437185712"/>
    <n v="660"/>
    <n v="600"/>
    <n v="2"/>
    <n v="850"/>
    <n v="380"/>
    <n v="280"/>
    <n v="1200"/>
    <n v="1080"/>
    <n v="1200"/>
    <n v="4"/>
    <n v="1"/>
    <n v="2"/>
    <n v="4"/>
    <n v="8"/>
    <n v="191.6315074974857"/>
    <n v="3.9370078740157481"/>
    <n v="6"/>
    <n v="90440000"/>
    <n v="3.1938584582914284"/>
    <x v="0"/>
    <n v="30"/>
    <n v="3"/>
    <n v="3.6000000000000005"/>
    <n v="8.4000000000000021"/>
    <n v="36.000000000000007"/>
    <n v="51.000000000000014"/>
    <n v="22"/>
    <n v="9"/>
    <n v="9"/>
    <n v="4"/>
    <n v="3"/>
    <n v="3"/>
    <n v="8"/>
    <n v="30"/>
    <n v="44"/>
  </r>
  <r>
    <s v="24X15X8 ( 3 KRAFT PAPER 180 GSM 22 BF, 2 SEMI KRAFT PAPER 125 GSM 18 BF) Corrugated Box"/>
    <n v="5437"/>
    <n v="892.86666666666667"/>
    <n v="893"/>
    <n v="1093"/>
    <n v="3.4555480313437168E-3"/>
    <n v="26"/>
    <n v="43"/>
    <n v="15"/>
    <n v="12.499999999999998"/>
    <n v="645"/>
    <n v="600"/>
    <n v="2"/>
    <n v="609.6"/>
    <n v="381"/>
    <n v="203.2"/>
    <n v="1200"/>
    <n v="1080"/>
    <n v="1200"/>
    <n v="6"/>
    <n v="1"/>
    <n v="2"/>
    <n v="6"/>
    <n v="12"/>
    <n v="149.99999999999997"/>
    <n v="3.9370078740157481"/>
    <n v="4"/>
    <n v="47194744.32"/>
    <n v="1.6666666666666665"/>
    <x v="0"/>
    <n v="20"/>
    <n v="2"/>
    <n v="2.4000000000000004"/>
    <n v="5.6000000000000005"/>
    <n v="24"/>
    <n v="34"/>
    <n v="22"/>
    <n v="9"/>
    <n v="9"/>
    <n v="4"/>
    <n v="2"/>
    <n v="2"/>
    <n v="5"/>
    <n v="20"/>
    <n v="29"/>
  </r>
  <r>
    <s v="30X20X12  300  TOP 7 PLY GM CB BOX"/>
    <n v="879"/>
    <n v="879"/>
    <n v="879"/>
    <n v="879"/>
    <n v="3.4013737061042858E-3"/>
    <n v="26"/>
    <n v="34"/>
    <n v="15"/>
    <n v="31.250000000000004"/>
    <n v="510"/>
    <n v="600"/>
    <n v="1"/>
    <n v="762"/>
    <n v="508"/>
    <n v="304.8"/>
    <n v="1200"/>
    <n v="1080"/>
    <n v="1200"/>
    <n v="4"/>
    <n v="1"/>
    <n v="2"/>
    <n v="4"/>
    <n v="8"/>
    <n v="250.00000000000003"/>
    <n v="3.9370078740157481"/>
    <n v="5"/>
    <n v="117986860.8"/>
    <n v="4.166666666666667"/>
    <x v="0"/>
    <n v="25"/>
    <n v="2.5"/>
    <n v="3"/>
    <n v="7"/>
    <n v="30"/>
    <n v="42.5"/>
    <n v="17"/>
    <n v="7"/>
    <n v="7"/>
    <n v="3"/>
    <n v="2"/>
    <n v="3"/>
    <n v="6"/>
    <n v="23"/>
    <n v="34"/>
  </r>
  <r>
    <s v="CORRUGATED BOX 18x15x10 ( 3 KRAFT PAPER 180 GSM 22 BF, 2 SEMI KRAFT PAPER 125 GSM 18 BF)"/>
    <n v="7411"/>
    <n v="859.85714285714289"/>
    <n v="860"/>
    <n v="1121"/>
    <n v="3.3278514075650574E-3"/>
    <n v="26"/>
    <n v="44"/>
    <n v="15"/>
    <n v="11.71875"/>
    <n v="660"/>
    <n v="600"/>
    <n v="2"/>
    <n v="457.2"/>
    <n v="381"/>
    <n v="254"/>
    <n v="1200"/>
    <n v="1080"/>
    <n v="1200"/>
    <n v="5"/>
    <n v="2"/>
    <n v="2"/>
    <n v="5"/>
    <n v="20"/>
    <n v="234.375"/>
    <n v="3.9370078740157481"/>
    <n v="3"/>
    <n v="44245072.799999997"/>
    <n v="1.5625"/>
    <x v="0"/>
    <n v="15"/>
    <n v="1.5"/>
    <n v="1.8000000000000003"/>
    <n v="4.2000000000000011"/>
    <n v="18.000000000000004"/>
    <n v="25.500000000000007"/>
    <n v="22"/>
    <n v="9"/>
    <n v="9"/>
    <n v="4"/>
    <n v="1"/>
    <n v="1"/>
    <n v="3"/>
    <n v="12"/>
    <n v="17"/>
  </r>
  <r>
    <s v="5 Ply Corrugated Box (size- 508x305x305 mm)-OD, (Type-1 ,B.S -14 Kg/cm2)"/>
    <n v="1632"/>
    <n v="816"/>
    <n v="816"/>
    <n v="978"/>
    <n v="3.1575892425268451E-3"/>
    <n v="26"/>
    <n v="38"/>
    <n v="15"/>
    <n v="12.516409581430276"/>
    <n v="570"/>
    <n v="600"/>
    <n v="1"/>
    <n v="508"/>
    <n v="305"/>
    <n v="305"/>
    <n v="1200"/>
    <n v="1080"/>
    <n v="1200"/>
    <n v="4"/>
    <n v="2"/>
    <n v="3"/>
    <n v="4"/>
    <n v="24"/>
    <n v="300.39382995432663"/>
    <n v="3.9370078740157481"/>
    <n v="2"/>
    <n v="47256700"/>
    <n v="1.6688546108573701"/>
    <x v="0"/>
    <n v="10"/>
    <n v="1"/>
    <n v="1.2000000000000002"/>
    <n v="2.8000000000000003"/>
    <n v="12"/>
    <n v="17"/>
    <n v="19"/>
    <n v="8"/>
    <n v="8"/>
    <n v="4"/>
    <n v="1"/>
    <n v="1"/>
    <n v="2"/>
    <n v="10"/>
    <n v="14"/>
  </r>
  <r>
    <s v="3 ply, outer selflocking CB box size : 225 x 225 x 160 mm -(OD) Paper combination ( 250 VK ,22 BF X 140 VK,22BF X 250 VK ,22 BF) , B.S : 11 Kg/cm2."/>
    <n v="800"/>
    <n v="800"/>
    <n v="800"/>
    <n v="800"/>
    <n v="3.0956757279674953E-3"/>
    <n v="26"/>
    <n v="31"/>
    <n v="15"/>
    <n v="2.145366003330432"/>
    <n v="465"/>
    <n v="600"/>
    <n v="1"/>
    <n v="225"/>
    <n v="225"/>
    <n v="160"/>
    <n v="1200"/>
    <n v="1080"/>
    <n v="1200"/>
    <n v="8"/>
    <n v="5"/>
    <n v="4"/>
    <n v="8"/>
    <n v="160"/>
    <n v="343.25856053286913"/>
    <n v="3.9370078740157481"/>
    <n v="1"/>
    <n v="8100000"/>
    <n v="0.28604880044405762"/>
    <x v="0"/>
    <n v="5"/>
    <n v="0.5"/>
    <n v="0.60000000000000009"/>
    <n v="1.4000000000000001"/>
    <n v="6"/>
    <n v="8.5"/>
    <n v="16"/>
    <n v="6"/>
    <n v="6"/>
    <n v="3"/>
    <n v="0"/>
    <n v="0"/>
    <n v="0"/>
    <n v="1"/>
    <n v="1"/>
  </r>
  <r>
    <s v="37x14x12.5  17BS(5ply) TYPE - 2"/>
    <n v="1527"/>
    <n v="763.5"/>
    <n v="764"/>
    <n v="985"/>
    <n v="2.9563703202089581E-3"/>
    <n v="26"/>
    <n v="38"/>
    <n v="15"/>
    <n v="28.103298611111114"/>
    <n v="570"/>
    <n v="600"/>
    <n v="1"/>
    <n v="939.8"/>
    <n v="355.6"/>
    <n v="317.5"/>
    <n v="1200"/>
    <n v="1080"/>
    <n v="1200"/>
    <n v="4"/>
    <n v="1"/>
    <n v="3"/>
    <n v="4"/>
    <n v="12"/>
    <n v="337.23958333333337"/>
    <n v="3.9370078740157481"/>
    <n v="4"/>
    <n v="106106239.40000001"/>
    <n v="3.7471064814814818"/>
    <x v="0"/>
    <n v="20"/>
    <n v="2"/>
    <n v="2.4000000000000004"/>
    <n v="5.6000000000000005"/>
    <n v="24"/>
    <n v="34"/>
    <n v="19"/>
    <n v="8"/>
    <n v="8"/>
    <n v="4"/>
    <n v="2"/>
    <n v="2"/>
    <n v="5"/>
    <n v="20"/>
    <n v="29"/>
  </r>
  <r>
    <s v="37X14X8 ( 3 KRAFT PAPER 180 GSM 22 BF, 2 SEMI KRAFT PAPER 125 GSM 18 BF) Corrugated Box"/>
    <n v="1420"/>
    <n v="710"/>
    <n v="710"/>
    <n v="816"/>
    <n v="2.747412208571152E-3"/>
    <n v="26"/>
    <n v="32"/>
    <n v="15"/>
    <n v="17.986111111111111"/>
    <n v="480"/>
    <n v="600"/>
    <n v="1"/>
    <n v="939.8"/>
    <n v="355.6"/>
    <n v="203.2"/>
    <n v="1200"/>
    <n v="1080"/>
    <n v="1200"/>
    <n v="6"/>
    <n v="1"/>
    <n v="3"/>
    <n v="6"/>
    <n v="18"/>
    <n v="323.75"/>
    <n v="3.9370078740157481"/>
    <n v="2"/>
    <n v="67907993.215999991"/>
    <n v="2.3981481481481479"/>
    <x v="0"/>
    <n v="10"/>
    <n v="1"/>
    <n v="1.2000000000000002"/>
    <n v="2.8000000000000003"/>
    <n v="12"/>
    <n v="17"/>
    <n v="16"/>
    <n v="6"/>
    <n v="6"/>
    <n v="3"/>
    <n v="1"/>
    <n v="1"/>
    <n v="2"/>
    <n v="10"/>
    <n v="14"/>
  </r>
  <r>
    <s v="Corrugated separator (16.9x16.9inchx 3ply Bursting pressure required: 14kgf  ~ 17kgf. Customer cummins export"/>
    <n v="2800"/>
    <n v="700"/>
    <n v="700"/>
    <n v="800"/>
    <n v="2.7087162619715585E-3"/>
    <n v="26"/>
    <n v="31"/>
    <n v="15"/>
    <n v="18.301575828412076"/>
    <n v="465"/>
    <n v="600"/>
    <n v="1"/>
    <n v="429.26"/>
    <n v="429.26"/>
    <n v="375"/>
    <n v="1200"/>
    <n v="1080"/>
    <n v="1200"/>
    <n v="3"/>
    <n v="2"/>
    <n v="2"/>
    <n v="3"/>
    <n v="12"/>
    <n v="219.61890994094492"/>
    <n v="3.9370078740157481"/>
    <n v="3"/>
    <n v="69099055.349999994"/>
    <n v="2.4402101104549434"/>
    <x v="0"/>
    <n v="15"/>
    <n v="1.5"/>
    <n v="1.8000000000000003"/>
    <n v="4.2000000000000011"/>
    <n v="18.000000000000004"/>
    <n v="25.500000000000007"/>
    <n v="16"/>
    <n v="6"/>
    <n v="6"/>
    <n v="3"/>
    <n v="1"/>
    <n v="2"/>
    <n v="4"/>
    <n v="15"/>
    <n v="22"/>
  </r>
  <r>
    <s v="26X24X15 ( 3 KRAFT PAPER 180 GSM 22 BF, 2 SEMI KRAFT PAPER 125 GSM 18 BF) Corrugated Box"/>
    <n v="7916"/>
    <n v="675.58974358974353"/>
    <n v="676"/>
    <n v="855"/>
    <n v="2.6158459901325336E-3"/>
    <n v="26"/>
    <n v="33"/>
    <n v="15"/>
    <n v="40.625000000000007"/>
    <n v="495"/>
    <n v="600"/>
    <n v="1"/>
    <n v="660.4"/>
    <n v="609.6"/>
    <n v="381"/>
    <n v="1200"/>
    <n v="1080"/>
    <n v="1200"/>
    <n v="3"/>
    <n v="1"/>
    <n v="1"/>
    <n v="3"/>
    <n v="3"/>
    <n v="121.87500000000003"/>
    <n v="3.9370078740157481"/>
    <n v="12"/>
    <n v="153382919.04000002"/>
    <n v="5.4166666666666679"/>
    <x v="0"/>
    <n v="60"/>
    <n v="6"/>
    <n v="7.2000000000000011"/>
    <n v="16.800000000000004"/>
    <n v="72.000000000000014"/>
    <n v="102.00000000000003"/>
    <n v="17"/>
    <n v="7"/>
    <n v="7"/>
    <n v="3"/>
    <n v="6"/>
    <n v="7"/>
    <n v="16"/>
    <n v="60"/>
    <n v="89"/>
  </r>
  <r>
    <s v="CB Box  850 x 380 x 280 mm ,  B.S-17 (5 Ply , Type-2)"/>
    <n v="590"/>
    <n v="590"/>
    <n v="590"/>
    <n v="590"/>
    <n v="2.2830608493760278E-3"/>
    <n v="26"/>
    <n v="23"/>
    <n v="15"/>
    <n v="23.953938437185712"/>
    <n v="345"/>
    <n v="600"/>
    <n v="1"/>
    <n v="850"/>
    <n v="380"/>
    <n v="280"/>
    <n v="1200"/>
    <n v="1080"/>
    <n v="1200"/>
    <n v="4"/>
    <n v="1"/>
    <n v="2"/>
    <n v="4"/>
    <n v="8"/>
    <n v="191.6315074974857"/>
    <n v="3.9370078740157481"/>
    <n v="4"/>
    <n v="90440000"/>
    <n v="3.1938584582914284"/>
    <x v="0"/>
    <n v="20"/>
    <n v="2"/>
    <n v="2.4000000000000004"/>
    <n v="5.6000000000000005"/>
    <n v="24"/>
    <n v="34"/>
    <n v="12"/>
    <n v="5"/>
    <n v="5"/>
    <n v="2"/>
    <n v="2"/>
    <n v="2"/>
    <n v="4"/>
    <n v="15"/>
    <n v="23"/>
  </r>
  <r>
    <s v="20X17X12.5( 3 KRAFT PAPER 180 GSM 22 BF, 2 SEMI KRAFT PAPER 125 GSM 18 BF) Corrugated Box"/>
    <n v="954"/>
    <n v="577"/>
    <n v="577"/>
    <n v="663"/>
    <n v="2.2327561187965562E-3"/>
    <n v="26"/>
    <n v="26"/>
    <n v="15"/>
    <n v="18.446180555555557"/>
    <n v="390"/>
    <n v="600"/>
    <n v="1"/>
    <n v="508"/>
    <n v="431.8"/>
    <n v="317.5"/>
    <n v="1200"/>
    <n v="1080"/>
    <n v="1200"/>
    <n v="4"/>
    <n v="2"/>
    <n v="2"/>
    <n v="4"/>
    <n v="16"/>
    <n v="295.13888888888891"/>
    <n v="3.9370078740157481"/>
    <n v="2"/>
    <n v="69645022"/>
    <n v="2.4594907407407409"/>
    <x v="0"/>
    <n v="10"/>
    <n v="1"/>
    <n v="1.2000000000000002"/>
    <n v="2.8000000000000003"/>
    <n v="12"/>
    <n v="17"/>
    <n v="13"/>
    <n v="5"/>
    <n v="5"/>
    <n v="3"/>
    <n v="1"/>
    <n v="1"/>
    <n v="2"/>
    <n v="11"/>
    <n v="15"/>
  </r>
  <r>
    <s v="5-ply cardboard separator (size in inch 26*26)"/>
    <n v="4037"/>
    <n v="576.71428571428567"/>
    <n v="577"/>
    <n v="757"/>
    <n v="2.2327561187965562E-3"/>
    <n v="26"/>
    <n v="30"/>
    <n v="15"/>
    <n v="43.317339238845143"/>
    <n v="450"/>
    <n v="600"/>
    <n v="1"/>
    <n v="660.4"/>
    <n v="660.4"/>
    <n v="375"/>
    <n v="1200"/>
    <n v="1080"/>
    <n v="1200"/>
    <n v="3"/>
    <n v="1"/>
    <n v="1"/>
    <n v="3"/>
    <n v="3"/>
    <n v="129.95201771653544"/>
    <n v="3.9370078740157481"/>
    <n v="11"/>
    <n v="163548060"/>
    <n v="5.7756452318460187"/>
    <x v="0"/>
    <n v="55"/>
    <n v="5.5"/>
    <n v="6.6000000000000005"/>
    <n v="15.400000000000002"/>
    <n v="66"/>
    <n v="93.5"/>
    <n v="15"/>
    <n v="6"/>
    <n v="6"/>
    <n v="3"/>
    <n v="5"/>
    <n v="6"/>
    <n v="14"/>
    <n v="60"/>
    <n v="85"/>
  </r>
  <r>
    <s v="5 Ply Corrugated Box (size- 965x535x508 mm)-OD, (Type-2 ,B.S -17 Kg/cm2)"/>
    <n v="2102"/>
    <n v="555.4"/>
    <n v="556"/>
    <n v="579"/>
    <n v="2.1514946309374094E-3"/>
    <n v="26"/>
    <n v="23"/>
    <n v="15"/>
    <n v="69.464223129835148"/>
    <n v="345"/>
    <n v="600"/>
    <n v="1"/>
    <n v="965"/>
    <n v="535"/>
    <n v="508"/>
    <n v="1200"/>
    <n v="1080"/>
    <n v="1200"/>
    <n v="2"/>
    <n v="1"/>
    <n v="2"/>
    <n v="2"/>
    <n v="4"/>
    <n v="277.85689251934059"/>
    <n v="3.9370078740157481"/>
    <n v="7"/>
    <n v="262267700"/>
    <n v="9.2618964173113536"/>
    <x v="0"/>
    <n v="35"/>
    <n v="3.5"/>
    <n v="4.2"/>
    <n v="9.8000000000000007"/>
    <n v="42.000000000000007"/>
    <n v="59.500000000000007"/>
    <n v="12"/>
    <n v="5"/>
    <n v="5"/>
    <n v="2"/>
    <n v="3"/>
    <n v="4"/>
    <n v="9"/>
    <n v="30"/>
    <n v="46"/>
  </r>
  <r>
    <s v="15X11X7 ( 3 KRAFT PAPER 180 GSM 22 BF, 2 SEMI KRAFT PAPER 125 GSM 18 BF) Corrugated Box"/>
    <n v="4406"/>
    <n v="525.5"/>
    <n v="526"/>
    <n v="665"/>
    <n v="2.0354067911386282E-3"/>
    <n v="26"/>
    <n v="26"/>
    <n v="15"/>
    <n v="5.013020833333333"/>
    <n v="390"/>
    <n v="600"/>
    <n v="1"/>
    <n v="381"/>
    <n v="279.39999999999998"/>
    <n v="177.8"/>
    <n v="1200"/>
    <n v="1080"/>
    <n v="1200"/>
    <n v="7"/>
    <n v="3"/>
    <n v="3"/>
    <n v="7"/>
    <n v="63"/>
    <n v="315.8203125"/>
    <n v="3.9370078740157481"/>
    <n v="1"/>
    <n v="18927058.920000002"/>
    <n v="0.66840277777777779"/>
    <x v="0"/>
    <n v="5"/>
    <n v="0.5"/>
    <n v="0.60000000000000009"/>
    <n v="1.4000000000000001"/>
    <n v="6"/>
    <n v="8.5"/>
    <n v="13"/>
    <n v="5"/>
    <n v="5"/>
    <n v="3"/>
    <n v="0"/>
    <n v="0"/>
    <n v="1"/>
    <n v="3"/>
    <n v="4"/>
  </r>
  <r>
    <s v="280X270X160 5 PLY 300GM CB BOX"/>
    <n v="1637"/>
    <n v="518.77777777777783"/>
    <n v="519"/>
    <n v="529"/>
    <n v="2.0083196285189129E-3"/>
    <n v="26"/>
    <n v="21"/>
    <n v="15"/>
    <n v="3.2037465649734456"/>
    <n v="315"/>
    <n v="600"/>
    <n v="1"/>
    <n v="280"/>
    <n v="270"/>
    <n v="160"/>
    <n v="1200"/>
    <n v="1080"/>
    <n v="1200"/>
    <n v="8"/>
    <n v="4"/>
    <n v="4"/>
    <n v="8"/>
    <n v="128"/>
    <n v="410.07956031660103"/>
    <n v="3.9370078740157481"/>
    <n v="1"/>
    <n v="12096000"/>
    <n v="0.42716620866312605"/>
    <x v="0"/>
    <n v="5"/>
    <n v="0.5"/>
    <n v="0.60000000000000009"/>
    <n v="1.4000000000000001"/>
    <n v="6"/>
    <n v="8.5"/>
    <n v="11"/>
    <n v="4"/>
    <n v="4"/>
    <n v="2"/>
    <n v="0"/>
    <n v="0"/>
    <n v="0"/>
    <n v="1"/>
    <n v="1"/>
  </r>
  <r>
    <s v="CB Box  280 x 240 x 160 mm , B.S-14 (5 Ply , Type-1)"/>
    <n v="5539"/>
    <n v="461.58333333333331"/>
    <n v="462"/>
    <n v="612"/>
    <n v="1.7877527329012285E-3"/>
    <n v="26"/>
    <n v="24"/>
    <n v="15"/>
    <n v="2.8477747244208396"/>
    <n v="360"/>
    <n v="600"/>
    <n v="1"/>
    <n v="280"/>
    <n v="240"/>
    <n v="160"/>
    <n v="1200"/>
    <n v="1080"/>
    <n v="1200"/>
    <n v="8"/>
    <n v="4"/>
    <n v="4"/>
    <n v="8"/>
    <n v="128"/>
    <n v="364.51516472586746"/>
    <n v="3.9370078740157481"/>
    <n v="1"/>
    <n v="10752000"/>
    <n v="0.37970329658944529"/>
    <x v="0"/>
    <n v="5"/>
    <n v="0.5"/>
    <n v="0.60000000000000009"/>
    <n v="1.4000000000000001"/>
    <n v="6"/>
    <n v="8.5"/>
    <n v="12"/>
    <n v="5"/>
    <n v="5"/>
    <n v="2"/>
    <n v="0"/>
    <n v="0"/>
    <n v="0"/>
    <n v="1"/>
    <n v="1"/>
  </r>
  <r>
    <s v="37X14X10 ( 3 KRAFT PAPER 180 GSM 22 BF, 2 SEMI KRAFT PAPER 125 GSM 18 BF) Corrugated Box"/>
    <n v="868"/>
    <n v="434"/>
    <n v="434"/>
    <n v="516"/>
    <n v="1.6794040824223663E-3"/>
    <n v="26"/>
    <n v="20"/>
    <n v="15"/>
    <n v="22.482638888888889"/>
    <n v="300"/>
    <n v="600"/>
    <n v="1"/>
    <n v="939.8"/>
    <n v="355.6"/>
    <n v="254"/>
    <n v="1200"/>
    <n v="1080"/>
    <n v="1200"/>
    <n v="5"/>
    <n v="1"/>
    <n v="3"/>
    <n v="5"/>
    <n v="15"/>
    <n v="337.23958333333331"/>
    <n v="3.9370078740157481"/>
    <n v="2"/>
    <n v="84884991.519999996"/>
    <n v="2.9976851851851851"/>
    <x v="0"/>
    <n v="10"/>
    <n v="1"/>
    <n v="1.2000000000000002"/>
    <n v="2.8000000000000003"/>
    <n v="12"/>
    <n v="17"/>
    <n v="10"/>
    <n v="4"/>
    <n v="4"/>
    <n v="2"/>
    <n v="1"/>
    <n v="1"/>
    <n v="2"/>
    <n v="8"/>
    <n v="12"/>
  </r>
  <r>
    <s v="Corrugated BOX 20 x 22 x 9 7PLY"/>
    <n v="428"/>
    <n v="428"/>
    <n v="428"/>
    <n v="428"/>
    <n v="1.6561865144626101E-3"/>
    <n v="26"/>
    <n v="17"/>
    <n v="15"/>
    <n v="17.1875"/>
    <n v="255"/>
    <n v="600"/>
    <n v="1"/>
    <n v="508"/>
    <n v="558.79999999999995"/>
    <n v="228.6"/>
    <n v="1200"/>
    <n v="1080"/>
    <n v="1200"/>
    <n v="5"/>
    <n v="2"/>
    <n v="1"/>
    <n v="5"/>
    <n v="10"/>
    <n v="171.875"/>
    <n v="3.9370078740157481"/>
    <n v="2"/>
    <n v="64892773.43999999"/>
    <n v="2.2916666666666665"/>
    <x v="0"/>
    <n v="10"/>
    <n v="1"/>
    <n v="1.2000000000000002"/>
    <n v="2.8000000000000003"/>
    <n v="12"/>
    <n v="17"/>
    <n v="9"/>
    <n v="3"/>
    <n v="3"/>
    <n v="2"/>
    <n v="1"/>
    <n v="1"/>
    <n v="2"/>
    <n v="12"/>
    <n v="16"/>
  </r>
  <r>
    <s v="CORRAGATED BOX  41.5X7.5X7"/>
    <n v="854"/>
    <n v="427"/>
    <n v="427"/>
    <n v="511"/>
    <n v="1.6523169198026507E-3"/>
    <n v="26"/>
    <n v="20"/>
    <n v="15"/>
    <n v="9.4563802083333357"/>
    <n v="300"/>
    <n v="600"/>
    <n v="1"/>
    <n v="1054.1000000000001"/>
    <n v="190.5"/>
    <n v="177.8"/>
    <n v="1200"/>
    <n v="1080"/>
    <n v="1200"/>
    <n v="7"/>
    <n v="1"/>
    <n v="5"/>
    <n v="7"/>
    <n v="35"/>
    <n v="330.97330729166674"/>
    <n v="3.9370078740157481"/>
    <n v="1"/>
    <n v="35703315.690000005"/>
    <n v="1.2608506944444446"/>
    <x v="0"/>
    <n v="5"/>
    <n v="0.5"/>
    <n v="0.60000000000000009"/>
    <n v="1.4000000000000001"/>
    <n v="6"/>
    <n v="8.5"/>
    <n v="10"/>
    <n v="4"/>
    <n v="4"/>
    <n v="2"/>
    <n v="0"/>
    <n v="0"/>
    <n v="1"/>
    <n v="3"/>
    <n v="4"/>
  </r>
  <r>
    <s v="7 PLY CORRUGATED BOXS 20 x 17 x 12.5"/>
    <n v="850"/>
    <n v="425"/>
    <n v="425"/>
    <n v="538"/>
    <n v="1.644577730482732E-3"/>
    <n v="26"/>
    <n v="21"/>
    <n v="15"/>
    <n v="18.446180555555557"/>
    <n v="315"/>
    <n v="600"/>
    <n v="1"/>
    <n v="508"/>
    <n v="431.8"/>
    <n v="317.5"/>
    <n v="1200"/>
    <n v="1080"/>
    <n v="1200"/>
    <n v="4"/>
    <n v="2"/>
    <n v="2"/>
    <n v="4"/>
    <n v="16"/>
    <n v="295.13888888888891"/>
    <n v="3.9370078740157481"/>
    <n v="2"/>
    <n v="69645022"/>
    <n v="2.4594907407407409"/>
    <x v="0"/>
    <n v="10"/>
    <n v="1"/>
    <n v="1.2000000000000002"/>
    <n v="2.8000000000000003"/>
    <n v="12"/>
    <n v="17"/>
    <n v="11"/>
    <n v="4"/>
    <n v="4"/>
    <n v="2"/>
    <n v="1"/>
    <n v="1"/>
    <n v="2"/>
    <n v="8"/>
    <n v="12"/>
  </r>
  <r>
    <s v="CB box : 560 x 370 x 190 mm (OD with lid) 5 ply HSC (B.S-14kg/cm2) &amp; 3ply lid (B.S-10-12kg/cm2)"/>
    <n v="411"/>
    <n v="411"/>
    <n v="411"/>
    <n v="411"/>
    <n v="1.5904034052433007E-3"/>
    <n v="26"/>
    <n v="16"/>
    <n v="15"/>
    <n v="10.427008496186721"/>
    <n v="240"/>
    <n v="600"/>
    <n v="1"/>
    <n v="560"/>
    <n v="370"/>
    <n v="190"/>
    <n v="1200"/>
    <n v="1080"/>
    <n v="1200"/>
    <n v="6"/>
    <n v="2"/>
    <n v="2"/>
    <n v="6"/>
    <n v="24"/>
    <n v="250.24820390848129"/>
    <n v="3.9370078740157481"/>
    <n v="1"/>
    <n v="39368000"/>
    <n v="1.3902677994915629"/>
    <x v="0"/>
    <n v="5"/>
    <n v="0.5"/>
    <n v="0.60000000000000009"/>
    <n v="1.4000000000000001"/>
    <n v="6"/>
    <n v="8.5"/>
    <n v="8"/>
    <n v="3"/>
    <n v="3"/>
    <n v="2"/>
    <n v="0"/>
    <n v="0"/>
    <n v="1"/>
    <n v="5"/>
    <n v="6"/>
  </r>
  <r>
    <s v="5 PLY CORRUGATED BOX  ( 660 x 380 x 180 mm)"/>
    <n v="3243"/>
    <n v="405.375"/>
    <n v="406"/>
    <n v="468"/>
    <n v="1.571055431943504E-3"/>
    <n v="26"/>
    <n v="18"/>
    <n v="15"/>
    <n v="11.956839858561606"/>
    <n v="270"/>
    <n v="600"/>
    <n v="1"/>
    <n v="660"/>
    <n v="380"/>
    <n v="180"/>
    <n v="1200"/>
    <n v="1080"/>
    <n v="1200"/>
    <n v="7"/>
    <n v="1"/>
    <n v="2"/>
    <n v="7"/>
    <n v="14"/>
    <n v="167.39575801986248"/>
    <n v="3.9370078740157481"/>
    <n v="2"/>
    <n v="45144000"/>
    <n v="1.5942453144748809"/>
    <x v="0"/>
    <n v="10"/>
    <n v="1"/>
    <n v="1.2000000000000002"/>
    <n v="2.8000000000000003"/>
    <n v="12"/>
    <n v="17"/>
    <n v="9"/>
    <n v="4"/>
    <n v="4"/>
    <n v="2"/>
    <n v="1"/>
    <n v="1"/>
    <n v="2"/>
    <n v="9"/>
    <n v="13"/>
  </r>
  <r>
    <s v="CB Box 750 x 460 x 200 mm , B.S-17 (5 Ply , Type-2)"/>
    <n v="395"/>
    <n v="395"/>
    <n v="395"/>
    <n v="395"/>
    <n v="1.5284898906839509E-3"/>
    <n v="26"/>
    <n v="16"/>
    <n v="15"/>
    <n v="18.275340028370344"/>
    <n v="240"/>
    <n v="600"/>
    <n v="1"/>
    <n v="750"/>
    <n v="460"/>
    <n v="200"/>
    <n v="1200"/>
    <n v="1080"/>
    <n v="1200"/>
    <n v="6"/>
    <n v="1"/>
    <n v="2"/>
    <n v="6"/>
    <n v="12"/>
    <n v="219.30408034044413"/>
    <n v="3.9370078740157481"/>
    <n v="2"/>
    <n v="69000000"/>
    <n v="2.4367120037827128"/>
    <x v="0"/>
    <n v="10"/>
    <n v="1"/>
    <n v="1.2000000000000002"/>
    <n v="2.8000000000000003"/>
    <n v="12"/>
    <n v="17"/>
    <n v="8"/>
    <n v="3"/>
    <n v="3"/>
    <n v="2"/>
    <n v="1"/>
    <n v="1"/>
    <n v="2"/>
    <n v="10"/>
    <n v="14"/>
  </r>
  <r>
    <s v="CORRUGATED BOX   840x520x280 (For GM)"/>
    <n v="3797"/>
    <n v="379.7"/>
    <n v="380"/>
    <n v="380"/>
    <n v="1.4704459707845603E-3"/>
    <n v="26"/>
    <n v="15"/>
    <n v="15"/>
    <n v="32.393437490287063"/>
    <n v="225"/>
    <n v="600"/>
    <n v="1"/>
    <n v="840"/>
    <n v="520"/>
    <n v="280"/>
    <n v="1200"/>
    <n v="1080"/>
    <n v="1200"/>
    <n v="4"/>
    <n v="1"/>
    <n v="2"/>
    <n v="4"/>
    <n v="8"/>
    <n v="259.1474999222965"/>
    <n v="3.9370078740157481"/>
    <n v="2"/>
    <n v="122304000"/>
    <n v="4.3191249987049414"/>
    <x v="0"/>
    <n v="10"/>
    <n v="1"/>
    <n v="1.2000000000000002"/>
    <n v="2.8000000000000003"/>
    <n v="12"/>
    <n v="17"/>
    <n v="8"/>
    <n v="3"/>
    <n v="3"/>
    <n v="2"/>
    <n v="1"/>
    <n v="1"/>
    <n v="3"/>
    <n v="15"/>
    <n v="20"/>
  </r>
  <r>
    <s v="CORRUGATED BOX (60 X 22 X 20 )&quot;  7 PLY"/>
    <n v="380"/>
    <n v="380"/>
    <n v="380"/>
    <n v="461"/>
    <n v="1.4704459707845603E-3"/>
    <n v="26"/>
    <n v="18"/>
    <n v="15"/>
    <n v="114.58333333333331"/>
    <n v="270"/>
    <n v="600"/>
    <n v="1"/>
    <n v="1524"/>
    <n v="558.79999999999995"/>
    <n v="508"/>
    <n v="1500"/>
    <n v="1080"/>
    <n v="1200"/>
    <n v="2"/>
    <n v="1"/>
    <n v="1"/>
    <n v="2"/>
    <n v="2"/>
    <n v="229.16666666666663"/>
    <n v="3.9370078740157481"/>
    <n v="10"/>
    <n v="432618489.59999996"/>
    <n v="15.277777777777775"/>
    <x v="2"/>
    <n v="100"/>
    <n v="5"/>
    <n v="6"/>
    <n v="14"/>
    <n v="60"/>
    <n v="85"/>
    <n v="9"/>
    <n v="4"/>
    <n v="4"/>
    <n v="2"/>
    <n v="5"/>
    <n v="6"/>
    <n v="14"/>
    <n v="60"/>
    <n v="85"/>
  </r>
  <r>
    <s v="Corrugated box (L:442*B:442*H:216mm) 5ply, Bursting pressure required: 14kgf  ~ 17kgf, Customer cummins export"/>
    <n v="1489"/>
    <n v="372.25"/>
    <n v="373"/>
    <n v="483"/>
    <n v="1.4433588081648448E-3"/>
    <n v="26"/>
    <n v="19"/>
    <n v="15"/>
    <n v="11.176727569990575"/>
    <n v="285"/>
    <n v="600"/>
    <n v="1"/>
    <n v="442"/>
    <n v="442"/>
    <n v="216"/>
    <n v="1200"/>
    <n v="1080"/>
    <n v="1200"/>
    <n v="6"/>
    <n v="2"/>
    <n v="2"/>
    <n v="6"/>
    <n v="24"/>
    <n v="268.24146167977381"/>
    <n v="3.9370078740157481"/>
    <n v="1"/>
    <n v="42198624"/>
    <n v="1.49023034266541"/>
    <x v="0"/>
    <n v="5"/>
    <n v="0.5"/>
    <n v="0.60000000000000009"/>
    <n v="1.4000000000000001"/>
    <n v="6"/>
    <n v="8.5"/>
    <n v="10"/>
    <n v="4"/>
    <n v="4"/>
    <n v="2"/>
    <n v="0"/>
    <n v="1"/>
    <n v="1"/>
    <n v="5"/>
    <n v="7"/>
  </r>
  <r>
    <s v="CB box : 1015 x 230 x 125 mm  (OD ) 5 ply, Type-1  , (B.S-14kg/cm2)"/>
    <n v="1008"/>
    <n v="336"/>
    <n v="336"/>
    <n v="355"/>
    <n v="1.300183805746348E-3"/>
    <n v="26"/>
    <n v="14"/>
    <n v="15"/>
    <n v="7.7289458869982921"/>
    <n v="210"/>
    <n v="600"/>
    <n v="1"/>
    <n v="1015"/>
    <n v="230"/>
    <n v="125"/>
    <n v="1200"/>
    <n v="1080"/>
    <n v="1200"/>
    <n v="10"/>
    <n v="1"/>
    <n v="4"/>
    <n v="10"/>
    <n v="40"/>
    <n v="309.15783547993169"/>
    <n v="3.9370078740157481"/>
    <n v="1"/>
    <n v="29181250"/>
    <n v="1.0305261182664389"/>
    <x v="0"/>
    <n v="5"/>
    <n v="0.5"/>
    <n v="0.60000000000000009"/>
    <n v="1.4000000000000001"/>
    <n v="6"/>
    <n v="8.5"/>
    <n v="7"/>
    <n v="3"/>
    <n v="3"/>
    <n v="1"/>
    <n v="0"/>
    <n v="0"/>
    <n v="1"/>
    <n v="2"/>
    <n v="3"/>
  </r>
  <r>
    <s v="CB Box:370x370x175mm 5ply (B.S-14kg/cm2)"/>
    <n v="630"/>
    <n v="315"/>
    <n v="315"/>
    <n v="323"/>
    <n v="1.2189223178872013E-3"/>
    <n v="26"/>
    <n v="13"/>
    <n v="15"/>
    <n v="6.3453834598504715"/>
    <n v="195"/>
    <n v="600"/>
    <n v="1"/>
    <n v="370"/>
    <n v="370"/>
    <n v="175"/>
    <n v="1200"/>
    <n v="1080"/>
    <n v="1200"/>
    <n v="7"/>
    <n v="3"/>
    <n v="2"/>
    <n v="7"/>
    <n v="42"/>
    <n v="266.50610531371979"/>
    <n v="3.9370078740157481"/>
    <n v="1"/>
    <n v="23957500"/>
    <n v="0.84605112798006288"/>
    <x v="0"/>
    <n v="5"/>
    <n v="0.5"/>
    <n v="0.60000000000000009"/>
    <n v="1.4000000000000001"/>
    <n v="6"/>
    <n v="8.5"/>
    <n v="7"/>
    <n v="3"/>
    <n v="3"/>
    <n v="1"/>
    <n v="0"/>
    <n v="0"/>
    <n v="1"/>
    <n v="1"/>
    <n v="2"/>
  </r>
  <r>
    <s v="13X8X5 ( 3 KRAFT PAPER 180 GSM 22 BF, 2 SEMI KRAFT PAPER 125 GSM 18 BF) Corrugated Box"/>
    <n v="300"/>
    <n v="300"/>
    <n v="300"/>
    <n v="400"/>
    <n v="1.1608783979878108E-3"/>
    <n v="26"/>
    <n v="16"/>
    <n v="15"/>
    <n v="2.2569444444444446"/>
    <n v="240"/>
    <n v="600"/>
    <n v="1"/>
    <n v="330.2"/>
    <n v="203.2"/>
    <n v="127"/>
    <n v="1200"/>
    <n v="1080"/>
    <n v="1200"/>
    <n v="9"/>
    <n v="3"/>
    <n v="5"/>
    <n v="9"/>
    <n v="135"/>
    <n v="304.6875"/>
    <n v="3.9370078740157481"/>
    <n v="1"/>
    <n v="8521273.2799999993"/>
    <n v="0.30092592592592593"/>
    <x v="0"/>
    <n v="5"/>
    <n v="0.5"/>
    <n v="0.60000000000000009"/>
    <n v="1.4000000000000001"/>
    <n v="6"/>
    <n v="8.5"/>
    <n v="8"/>
    <n v="3"/>
    <n v="3"/>
    <n v="2"/>
    <n v="0"/>
    <n v="0"/>
    <n v="0"/>
    <n v="1"/>
    <n v="1"/>
  </r>
  <r>
    <s v="20X12X8 7 PLY 300 TOP GM CB BOX"/>
    <n v="300"/>
    <n v="300"/>
    <n v="300"/>
    <n v="300"/>
    <n v="1.1608783979878108E-3"/>
    <n v="26"/>
    <n v="12"/>
    <n v="15"/>
    <n v="8.3333333333333321"/>
    <n v="180"/>
    <n v="600"/>
    <n v="1"/>
    <n v="508"/>
    <n v="304.8"/>
    <n v="203.2"/>
    <n v="1200"/>
    <n v="1080"/>
    <n v="1200"/>
    <n v="6"/>
    <n v="2"/>
    <n v="3"/>
    <n v="6"/>
    <n v="36"/>
    <n v="299.99999999999994"/>
    <n v="3.9370078740157481"/>
    <n v="1"/>
    <n v="31463162.879999995"/>
    <n v="1.1111111111111109"/>
    <x v="0"/>
    <n v="5"/>
    <n v="0.5"/>
    <n v="0.60000000000000009"/>
    <n v="1.4000000000000001"/>
    <n v="6"/>
    <n v="8.5"/>
    <n v="6"/>
    <n v="2"/>
    <n v="2"/>
    <n v="1"/>
    <n v="0"/>
    <n v="0"/>
    <n v="0"/>
    <n v="2"/>
    <n v="2"/>
  </r>
  <r>
    <s v="5 Ply  Corrugated Box (size- 508x430x190 mm)-OD, (Type-1 ,B.S -14 Kg/cm2)"/>
    <n v="600"/>
    <n v="300"/>
    <n v="300"/>
    <n v="300"/>
    <n v="1.1608783979878108E-3"/>
    <n v="26"/>
    <n v="12"/>
    <n v="15"/>
    <n v="10.992643513064806"/>
    <n v="180"/>
    <n v="600"/>
    <n v="1"/>
    <n v="508"/>
    <n v="430"/>
    <n v="190"/>
    <n v="1200"/>
    <n v="1080"/>
    <n v="1200"/>
    <n v="6"/>
    <n v="2"/>
    <n v="2"/>
    <n v="6"/>
    <n v="24"/>
    <n v="263.82344431355534"/>
    <n v="3.9370078740157481"/>
    <n v="1"/>
    <n v="41503600"/>
    <n v="1.465685801741974"/>
    <x v="0"/>
    <n v="5"/>
    <n v="0.5"/>
    <n v="0.60000000000000009"/>
    <n v="1.4000000000000001"/>
    <n v="6"/>
    <n v="8.5"/>
    <n v="6"/>
    <n v="2"/>
    <n v="2"/>
    <n v="1"/>
    <n v="0"/>
    <n v="0"/>
    <n v="1"/>
    <n v="3"/>
    <n v="4"/>
  </r>
  <r>
    <s v="C.B. BOXES   42 X 13 X 12&quot;   7PLY"/>
    <n v="296"/>
    <n v="296"/>
    <n v="296"/>
    <n v="296"/>
    <n v="1.1454000193479733E-3"/>
    <n v="26"/>
    <n v="12"/>
    <n v="15"/>
    <n v="28.437500000000004"/>
    <n v="180"/>
    <n v="600"/>
    <n v="1"/>
    <n v="1066.8"/>
    <n v="330.2"/>
    <n v="304.8"/>
    <n v="1200"/>
    <n v="1080"/>
    <n v="1200"/>
    <n v="4"/>
    <n v="1"/>
    <n v="3"/>
    <n v="4"/>
    <n v="12"/>
    <n v="341.25000000000006"/>
    <n v="3.9370078740157481"/>
    <n v="2"/>
    <n v="107368043.32799999"/>
    <n v="3.791666666666667"/>
    <x v="0"/>
    <n v="10"/>
    <n v="1"/>
    <n v="1.2000000000000002"/>
    <n v="2.8000000000000003"/>
    <n v="12"/>
    <n v="17"/>
    <n v="6"/>
    <n v="2"/>
    <n v="2"/>
    <n v="1"/>
    <n v="1"/>
    <n v="1"/>
    <n v="1"/>
    <n v="5"/>
    <n v="8"/>
  </r>
  <r>
    <s v="Corrugated Box 38 X 21 X 20&quot; , 7Ply"/>
    <n v="295"/>
    <n v="295"/>
    <n v="295"/>
    <n v="295"/>
    <n v="1.1415304246880139E-3"/>
    <n v="26"/>
    <n v="12"/>
    <n v="15"/>
    <n v="69.270833333333314"/>
    <n v="180"/>
    <n v="600"/>
    <n v="1"/>
    <n v="965.19999999999993"/>
    <n v="533.4"/>
    <n v="508"/>
    <n v="1200"/>
    <n v="1080"/>
    <n v="1200"/>
    <n v="2"/>
    <n v="1"/>
    <n v="2"/>
    <n v="2"/>
    <n v="4"/>
    <n v="277.08333333333326"/>
    <n v="3.9370078740157481"/>
    <n v="4"/>
    <n v="261537541.43999997"/>
    <n v="9.2361111111111089"/>
    <x v="0"/>
    <n v="20"/>
    <n v="2"/>
    <n v="2.4000000000000004"/>
    <n v="5.6000000000000005"/>
    <n v="24"/>
    <n v="34"/>
    <n v="6"/>
    <n v="2"/>
    <n v="2"/>
    <n v="1"/>
    <n v="2"/>
    <n v="2"/>
    <n v="4"/>
    <n v="15"/>
    <n v="23"/>
  </r>
  <r>
    <s v="5 Ply Corrugated Box (size- 1015x535x485 mm), (Type-2 ,B.S -17 Kg/cm2)"/>
    <n v="2627"/>
    <n v="262.7"/>
    <n v="263"/>
    <n v="343"/>
    <n v="1.0177033955693141E-3"/>
    <n v="26"/>
    <n v="14"/>
    <n v="15"/>
    <n v="69.755416835787187"/>
    <n v="210"/>
    <n v="600"/>
    <n v="1"/>
    <n v="1015"/>
    <n v="535"/>
    <n v="485"/>
    <n v="1200"/>
    <n v="1080"/>
    <n v="1200"/>
    <n v="2"/>
    <n v="1"/>
    <n v="2"/>
    <n v="2"/>
    <n v="4"/>
    <n v="279.02166734314875"/>
    <n v="3.9370078740157481"/>
    <n v="4"/>
    <n v="263367125"/>
    <n v="9.3007222447716256"/>
    <x v="0"/>
    <n v="20"/>
    <n v="2"/>
    <n v="2.4000000000000004"/>
    <n v="5.6000000000000005"/>
    <n v="24"/>
    <n v="34"/>
    <n v="7"/>
    <n v="3"/>
    <n v="3"/>
    <n v="1"/>
    <n v="2"/>
    <n v="2"/>
    <n v="5"/>
    <n v="15"/>
    <n v="24"/>
  </r>
  <r>
    <s v="Corrugated Box ( 20 X 15 X 10 ) &quot; ( Export Quality )"/>
    <n v="2015"/>
    <n v="251.875"/>
    <n v="252"/>
    <n v="337"/>
    <n v="9.7513785430976101E-4"/>
    <n v="26"/>
    <n v="13"/>
    <n v="15"/>
    <n v="13.020833333333336"/>
    <n v="195"/>
    <n v="600"/>
    <n v="1"/>
    <n v="508"/>
    <n v="381"/>
    <n v="254"/>
    <n v="1200"/>
    <n v="1080"/>
    <n v="1200"/>
    <n v="5"/>
    <n v="2"/>
    <n v="2"/>
    <n v="5"/>
    <n v="20"/>
    <n v="260.41666666666674"/>
    <n v="3.9370078740157481"/>
    <n v="1"/>
    <n v="49161192"/>
    <n v="1.7361111111111114"/>
    <x v="0"/>
    <n v="5"/>
    <n v="0.5"/>
    <n v="0.60000000000000009"/>
    <n v="1.4000000000000001"/>
    <n v="6"/>
    <n v="8.5"/>
    <n v="7"/>
    <n v="3"/>
    <n v="3"/>
    <n v="1"/>
    <n v="0"/>
    <n v="0"/>
    <n v="1"/>
    <n v="3"/>
    <n v="4"/>
  </r>
  <r>
    <s v="CB box : 390x230x150 mm( OD with lid) 5 ply HSC, BS-14Kg/cm2 &amp; 3 Ply top lid ( BS-10kg/cm2)"/>
    <n v="250"/>
    <n v="250"/>
    <n v="250"/>
    <n v="250"/>
    <n v="9.6739866498984234E-4"/>
    <n v="26"/>
    <n v="10"/>
    <n v="15"/>
    <n v="3.5636913055322172"/>
    <n v="150"/>
    <n v="600"/>
    <n v="1"/>
    <n v="390"/>
    <n v="230"/>
    <n v="150"/>
    <n v="1200"/>
    <n v="1080"/>
    <n v="1200"/>
    <n v="8"/>
    <n v="3"/>
    <n v="4"/>
    <n v="8"/>
    <n v="96"/>
    <n v="342.11436533109287"/>
    <n v="3.9370078740157481"/>
    <n v="1"/>
    <n v="13455000"/>
    <n v="0.47515884073762898"/>
    <x v="0"/>
    <n v="5"/>
    <n v="0.5"/>
    <n v="0.60000000000000009"/>
    <n v="1.4000000000000001"/>
    <n v="6"/>
    <n v="8.5"/>
    <n v="5"/>
    <n v="2"/>
    <n v="2"/>
    <n v="1"/>
    <n v="0"/>
    <n v="0"/>
    <n v="0"/>
    <n v="1"/>
    <n v="1"/>
  </r>
  <r>
    <s v="5 Ply Corrugated Box (size- 750x460x200 mm)-OD, (Type-2 ,B.S -17 Kg/cm2)"/>
    <n v="2490"/>
    <n v="249"/>
    <n v="249"/>
    <n v="326"/>
    <n v="9.6352907032988295E-4"/>
    <n v="26"/>
    <n v="13"/>
    <n v="15"/>
    <n v="18.275340028370344"/>
    <n v="195"/>
    <n v="600"/>
    <n v="1"/>
    <n v="750"/>
    <n v="460"/>
    <n v="200"/>
    <n v="1200"/>
    <n v="1080"/>
    <n v="1200"/>
    <n v="6"/>
    <n v="1"/>
    <n v="2"/>
    <n v="6"/>
    <n v="12"/>
    <n v="219.30408034044413"/>
    <n v="3.9370078740157481"/>
    <n v="2"/>
    <n v="69000000"/>
    <n v="2.4367120037827128"/>
    <x v="0"/>
    <n v="10"/>
    <n v="1"/>
    <n v="1.2000000000000002"/>
    <n v="2.8000000000000003"/>
    <n v="12"/>
    <n v="17"/>
    <n v="7"/>
    <n v="3"/>
    <n v="3"/>
    <n v="1"/>
    <n v="1"/>
    <n v="1"/>
    <n v="2"/>
    <n v="5"/>
    <n v="9"/>
  </r>
  <r>
    <s v="Cardboard Box 40&quot;x24x20&quot; - 7Ply"/>
    <n v="242"/>
    <n v="242"/>
    <n v="242"/>
    <n v="242"/>
    <n v="9.3644190771016733E-4"/>
    <n v="26"/>
    <n v="10"/>
    <n v="15"/>
    <n v="83.333333333333329"/>
    <n v="150"/>
    <n v="600"/>
    <n v="1"/>
    <n v="1016"/>
    <n v="609.6"/>
    <n v="508"/>
    <n v="1200"/>
    <n v="1080"/>
    <n v="1200"/>
    <n v="2"/>
    <n v="1"/>
    <n v="1"/>
    <n v="2"/>
    <n v="2"/>
    <n v="166.66666666666666"/>
    <n v="3.9370078740157481"/>
    <n v="6"/>
    <n v="314631628.80000001"/>
    <n v="11.111111111111111"/>
    <x v="0"/>
    <n v="30"/>
    <n v="3"/>
    <n v="3.6000000000000005"/>
    <n v="8.4000000000000021"/>
    <n v="36.000000000000007"/>
    <n v="51.000000000000014"/>
    <n v="5"/>
    <n v="2"/>
    <n v="2"/>
    <n v="1"/>
    <n v="3"/>
    <n v="3"/>
    <n v="7"/>
    <n v="30"/>
    <n v="43"/>
  </r>
  <r>
    <s v="5 PLY Corrugated Box 26x24x16 &quot;"/>
    <n v="639"/>
    <n v="235"/>
    <n v="235"/>
    <n v="293"/>
    <n v="9.0935474509045182E-4"/>
    <n v="26"/>
    <n v="12"/>
    <n v="15"/>
    <n v="43.333333333333336"/>
    <n v="180"/>
    <n v="600"/>
    <n v="1"/>
    <n v="660.4"/>
    <n v="609.6"/>
    <n v="406.4"/>
    <n v="1200"/>
    <n v="1080"/>
    <n v="1200"/>
    <n v="3"/>
    <n v="1"/>
    <n v="1"/>
    <n v="3"/>
    <n v="3"/>
    <n v="130"/>
    <n v="3.9370078740157481"/>
    <n v="5"/>
    <n v="163608446.97600001"/>
    <n v="5.7777777777777777"/>
    <x v="0"/>
    <n v="25"/>
    <n v="2.5"/>
    <n v="3"/>
    <n v="7"/>
    <n v="30"/>
    <n v="42.5"/>
    <n v="6"/>
    <n v="2"/>
    <n v="2"/>
    <n v="1"/>
    <n v="2"/>
    <n v="2"/>
    <n v="5"/>
    <n v="20"/>
    <n v="29"/>
  </r>
  <r>
    <s v="56X10X7 ( 3 KRAFT PAPER 180 GSM 22 BF, 2 SEMI KRAFT PAPER 125 GSM 18 BF) Corrugated Box"/>
    <n v="1515"/>
    <n v="216.42857142857142"/>
    <n v="217"/>
    <n v="270"/>
    <n v="8.3970204121118313E-4"/>
    <n v="26"/>
    <n v="11"/>
    <n v="15"/>
    <n v="17.013888888888893"/>
    <n v="165"/>
    <n v="600"/>
    <n v="1"/>
    <n v="1422.4"/>
    <n v="254"/>
    <n v="177.8"/>
    <n v="1500"/>
    <n v="1080"/>
    <n v="1200"/>
    <n v="7"/>
    <n v="1"/>
    <n v="4"/>
    <n v="7"/>
    <n v="28"/>
    <n v="476.38888888888903"/>
    <n v="3.9370078740157481"/>
    <n v="1"/>
    <n v="64237290.88000001"/>
    <n v="2.268518518518519"/>
    <x v="2"/>
    <n v="10"/>
    <n v="0.5"/>
    <n v="0.60000000000000009"/>
    <n v="1.4000000000000001"/>
    <n v="6"/>
    <n v="8.5"/>
    <n v="6"/>
    <n v="2"/>
    <n v="2"/>
    <n v="1"/>
    <n v="0"/>
    <n v="0"/>
    <n v="1"/>
    <n v="2"/>
    <n v="3"/>
  </r>
  <r>
    <s v="5 Ply Corrugated Box (size- 1525x560x508 mm)-OD, (Type-2 ,B.S -17 Kg/cm2)"/>
    <n v="2575"/>
    <n v="214.58333333333334"/>
    <n v="215"/>
    <n v="254"/>
    <n v="8.3196285189126435E-4"/>
    <n v="26"/>
    <n v="10"/>
    <n v="15"/>
    <n v="114.90474369837629"/>
    <n v="150"/>
    <n v="600"/>
    <n v="1"/>
    <n v="1525"/>
    <n v="560"/>
    <n v="508"/>
    <n v="1500"/>
    <n v="1080"/>
    <n v="1200"/>
    <n v="2"/>
    <n v="1"/>
    <n v="1"/>
    <n v="2"/>
    <n v="2"/>
    <n v="229.80948739675259"/>
    <n v="3.9370078740157481"/>
    <n v="6"/>
    <n v="433832000"/>
    <n v="15.32063249311684"/>
    <x v="2"/>
    <n v="60"/>
    <n v="3"/>
    <n v="3.6000000000000005"/>
    <n v="8.4000000000000021"/>
    <n v="36.000000000000007"/>
    <n v="51.000000000000014"/>
    <n v="5"/>
    <n v="2"/>
    <n v="2"/>
    <n v="1"/>
    <n v="3"/>
    <n v="3"/>
    <n v="7"/>
    <n v="30"/>
    <n v="43"/>
  </r>
  <r>
    <s v="Corrugated Box  (970x1000x300mm )"/>
    <n v="931"/>
    <n v="211.57142857142856"/>
    <n v="212"/>
    <n v="274"/>
    <n v="8.2035406791138629E-4"/>
    <n v="26"/>
    <n v="11"/>
    <n v="15"/>
    <n v="77.074260119648855"/>
    <n v="165"/>
    <n v="600"/>
    <n v="1"/>
    <n v="970"/>
    <n v="1000"/>
    <n v="300"/>
    <n v="1200"/>
    <n v="1080"/>
    <n v="1200"/>
    <n v="4"/>
    <n v="1"/>
    <n v="1"/>
    <n v="4"/>
    <n v="4"/>
    <n v="308.29704047859542"/>
    <n v="3.9370078740157481"/>
    <n v="3"/>
    <n v="291000000"/>
    <n v="10.276568015953181"/>
    <x v="0"/>
    <n v="15"/>
    <n v="1.5"/>
    <n v="1.8000000000000003"/>
    <n v="4.2000000000000011"/>
    <n v="18.000000000000004"/>
    <n v="25.500000000000007"/>
    <n v="6"/>
    <n v="2"/>
    <n v="2"/>
    <n v="1"/>
    <n v="2"/>
    <n v="2"/>
    <n v="4"/>
    <n v="15"/>
    <n v="23"/>
  </r>
  <r>
    <s v="C. B. BOX  26 X 9 X 9    300 GM  5 PLY"/>
    <n v="520"/>
    <n v="206.75"/>
    <n v="207"/>
    <n v="250"/>
    <n v="8.0100609461158944E-4"/>
    <n v="26"/>
    <n v="10"/>
    <n v="15"/>
    <n v="9.140625"/>
    <n v="150"/>
    <n v="600"/>
    <n v="1"/>
    <n v="660.4"/>
    <n v="228.6"/>
    <n v="228.6"/>
    <n v="1200"/>
    <n v="1080"/>
    <n v="1200"/>
    <n v="5"/>
    <n v="1"/>
    <n v="4"/>
    <n v="5"/>
    <n v="20"/>
    <n v="182.8125"/>
    <n v="3.9370078740157481"/>
    <n v="1"/>
    <n v="34511156.784000002"/>
    <n v="1.21875"/>
    <x v="0"/>
    <n v="5"/>
    <n v="0.5"/>
    <n v="0.60000000000000009"/>
    <n v="1.4000000000000001"/>
    <n v="6"/>
    <n v="8.5"/>
    <n v="5"/>
    <n v="2"/>
    <n v="2"/>
    <n v="1"/>
    <n v="0"/>
    <n v="0"/>
    <n v="1"/>
    <n v="3"/>
    <n v="4"/>
  </r>
  <r>
    <s v="CORRUGATED BOX (460 x 270 x 120) 5 PLY FOR G.M 3 Ply. 180V &amp; 2 Ply., 110SC."/>
    <n v="412"/>
    <n v="206"/>
    <n v="206"/>
    <n v="257"/>
    <n v="7.9713649995163006E-4"/>
    <n v="26"/>
    <n v="10"/>
    <n v="15"/>
    <n v="3.9474734461279946"/>
    <n v="150"/>
    <n v="600"/>
    <n v="1"/>
    <n v="460"/>
    <n v="270"/>
    <n v="120"/>
    <n v="1200"/>
    <n v="1080"/>
    <n v="1200"/>
    <n v="10"/>
    <n v="2"/>
    <n v="4"/>
    <n v="10"/>
    <n v="80"/>
    <n v="315.79787569023955"/>
    <n v="3.9370078740157481"/>
    <n v="1"/>
    <n v="14904000"/>
    <n v="0.52632979281706593"/>
    <x v="0"/>
    <n v="5"/>
    <n v="0.5"/>
    <n v="0.60000000000000009"/>
    <n v="1.4000000000000001"/>
    <n v="6"/>
    <n v="8.5"/>
    <n v="5"/>
    <n v="2"/>
    <n v="2"/>
    <n v="1"/>
    <n v="0"/>
    <n v="0"/>
    <n v="0"/>
    <n v="1"/>
    <n v="1"/>
  </r>
  <r>
    <s v="CORRUGRADED BOX Ø11X45"/>
    <n v="2375"/>
    <n v="182.69230769230768"/>
    <n v="183"/>
    <n v="230"/>
    <n v="7.0813582277256453E-4"/>
    <n v="26"/>
    <n v="9"/>
    <n v="15"/>
    <n v="31.719057578740152"/>
    <n v="135"/>
    <n v="600"/>
    <n v="1"/>
    <n v="279.39999999999998"/>
    <n v="1143"/>
    <n v="375"/>
    <n v="1200"/>
    <n v="1200"/>
    <n v="1200"/>
    <n v="3"/>
    <n v="4"/>
    <n v="1"/>
    <n v="3"/>
    <n v="12"/>
    <n v="380.62869094488184"/>
    <n v="3.9370078740157481"/>
    <n v="1"/>
    <n v="119757824.99999999"/>
    <n v="4.2292076771653537"/>
    <x v="0"/>
    <n v="5"/>
    <n v="0.5"/>
    <n v="0.60000000000000009"/>
    <n v="1.4000000000000001"/>
    <n v="6"/>
    <n v="8.5"/>
    <n v="5"/>
    <n v="2"/>
    <n v="2"/>
    <n v="1"/>
    <n v="0"/>
    <n v="1"/>
    <n v="1"/>
    <n v="5"/>
    <n v="7"/>
  </r>
  <r>
    <s v="Card Board Box 26&quot; x 17&quot; x 10-1/2&quot;"/>
    <n v="1405"/>
    <n v="175.625"/>
    <n v="176"/>
    <n v="180"/>
    <n v="6.8104866015284901E-4"/>
    <n v="26"/>
    <n v="7"/>
    <n v="15"/>
    <n v="19.184027777777779"/>
    <n v="105"/>
    <n v="600"/>
    <n v="1"/>
    <n v="660.4"/>
    <n v="431.8"/>
    <n v="254"/>
    <n v="1200"/>
    <n v="1080"/>
    <n v="1200"/>
    <n v="5"/>
    <n v="1"/>
    <n v="2"/>
    <n v="5"/>
    <n v="10"/>
    <n v="191.84027777777777"/>
    <n v="3.9370078740157481"/>
    <n v="1"/>
    <n v="72430822.879999995"/>
    <n v="2.5578703703703707"/>
    <x v="0"/>
    <n v="5"/>
    <n v="0.5"/>
    <n v="0.60000000000000009"/>
    <n v="1.4000000000000001"/>
    <n v="6"/>
    <n v="8.5"/>
    <n v="4"/>
    <n v="1"/>
    <n v="1"/>
    <n v="1"/>
    <n v="0"/>
    <n v="0"/>
    <n v="1"/>
    <n v="6"/>
    <n v="7"/>
  </r>
  <r>
    <s v="5 Ply Corrugated Box (size- 1370x305x280 mm)-OD, (Type-2 ,B.S -17 Kg/cm2)"/>
    <n v="1353"/>
    <n v="169.125"/>
    <n v="170"/>
    <n v="186"/>
    <n v="6.5783109219309278E-4"/>
    <n v="26"/>
    <n v="8"/>
    <n v="15"/>
    <n v="30.988090328105415"/>
    <n v="120"/>
    <n v="600"/>
    <n v="1"/>
    <n v="1370"/>
    <n v="305"/>
    <n v="280"/>
    <n v="1500"/>
    <n v="1080"/>
    <n v="1200"/>
    <n v="4"/>
    <n v="1"/>
    <n v="3"/>
    <n v="4"/>
    <n v="12"/>
    <n v="371.85708393726497"/>
    <n v="3.9370078740157481"/>
    <n v="1"/>
    <n v="116998000"/>
    <n v="4.1317453770807218"/>
    <x v="2"/>
    <n v="10"/>
    <n v="0.5"/>
    <n v="0.60000000000000009"/>
    <n v="1.4000000000000001"/>
    <n v="6"/>
    <n v="8.5"/>
    <n v="4"/>
    <n v="2"/>
    <n v="2"/>
    <n v="1"/>
    <n v="0"/>
    <n v="1"/>
    <n v="1"/>
    <n v="5"/>
    <n v="7"/>
  </r>
  <r>
    <s v="5 Ply Corrugated Box (size- 560x508x230 mm)-OD, (Type-2 ,B.S -17 Kg/cm2)"/>
    <n v="649"/>
    <n v="162.25"/>
    <n v="163"/>
    <n v="214"/>
    <n v="6.3074392957337716E-4"/>
    <n v="26"/>
    <n v="9"/>
    <n v="15"/>
    <n v="17.329895770902652"/>
    <n v="135"/>
    <n v="600"/>
    <n v="1"/>
    <n v="560"/>
    <n v="508"/>
    <n v="230"/>
    <n v="1200"/>
    <n v="1080"/>
    <n v="1200"/>
    <n v="5"/>
    <n v="2"/>
    <n v="2"/>
    <n v="5"/>
    <n v="20"/>
    <n v="346.59791541805305"/>
    <n v="3.9370078740157481"/>
    <n v="1"/>
    <n v="65430400"/>
    <n v="2.3106527694536871"/>
    <x v="0"/>
    <n v="5"/>
    <n v="0.5"/>
    <n v="0.60000000000000009"/>
    <n v="1.4000000000000001"/>
    <n v="6"/>
    <n v="8.5"/>
    <n v="5"/>
    <n v="2"/>
    <n v="2"/>
    <n v="1"/>
    <n v="0"/>
    <n v="0"/>
    <n v="1"/>
    <n v="3"/>
    <n v="4"/>
  </r>
  <r>
    <s v="C.B.BOX 35X9X9  5PLY"/>
    <n v="454"/>
    <n v="151.33333333333334"/>
    <n v="152"/>
    <n v="152"/>
    <n v="5.8817838831382409E-4"/>
    <n v="26"/>
    <n v="6"/>
    <n v="15"/>
    <n v="12.3046875"/>
    <n v="90"/>
    <n v="600"/>
    <n v="1"/>
    <n v="889"/>
    <n v="228.6"/>
    <n v="228.6"/>
    <n v="1200"/>
    <n v="1080"/>
    <n v="1200"/>
    <n v="5"/>
    <n v="1"/>
    <n v="4"/>
    <n v="5"/>
    <n v="20"/>
    <n v="246.09375"/>
    <n v="3.9370078740157481"/>
    <n v="1"/>
    <n v="46457326.439999998"/>
    <n v="1.640625"/>
    <x v="0"/>
    <n v="5"/>
    <n v="0.5"/>
    <n v="0.60000000000000009"/>
    <n v="1.4000000000000001"/>
    <n v="6"/>
    <n v="8.5"/>
    <n v="3"/>
    <n v="1"/>
    <n v="1"/>
    <n v="1"/>
    <n v="0"/>
    <n v="0"/>
    <n v="0"/>
    <n v="3"/>
    <n v="3"/>
  </r>
  <r>
    <s v="CB box : 510 x 380 x 145 mm (OD-with lid) 5 ply HSC (B.S-14kg/cm2) &amp; 3ply top lid (B.S: 10-12kg/cm2)"/>
    <n v="152"/>
    <n v="152"/>
    <n v="152"/>
    <n v="176"/>
    <n v="5.8817838831382409E-4"/>
    <n v="26"/>
    <n v="7"/>
    <n v="15"/>
    <n v="7.4428308715541309"/>
    <n v="105"/>
    <n v="600"/>
    <n v="1"/>
    <n v="510"/>
    <n v="380"/>
    <n v="145"/>
    <n v="1200"/>
    <n v="1080"/>
    <n v="1200"/>
    <n v="8"/>
    <n v="2"/>
    <n v="2"/>
    <n v="8"/>
    <n v="32"/>
    <n v="238.17058788973219"/>
    <n v="3.9370078740157481"/>
    <n v="1"/>
    <n v="28101000"/>
    <n v="0.99237744954055085"/>
    <x v="0"/>
    <n v="5"/>
    <n v="0.5"/>
    <n v="0.60000000000000009"/>
    <n v="1.4000000000000001"/>
    <n v="6"/>
    <n v="8.5"/>
    <n v="4"/>
    <n v="1"/>
    <n v="1"/>
    <n v="1"/>
    <n v="0"/>
    <n v="0"/>
    <n v="0"/>
    <n v="2"/>
    <n v="2"/>
  </r>
  <r>
    <s v="CB box : 790 x 380 x 150 mm (OD-with lid) 5 ply HSC (B.S-14kg/cm2) &amp; 3ply top lid (B.S:10-12kg/cm2)"/>
    <n v="150"/>
    <n v="150"/>
    <n v="150"/>
    <n v="150"/>
    <n v="5.8043919899390542E-4"/>
    <n v="26"/>
    <n v="6"/>
    <n v="15"/>
    <n v="11.926645818514736"/>
    <n v="90"/>
    <n v="600"/>
    <n v="1"/>
    <n v="790"/>
    <n v="380"/>
    <n v="150"/>
    <n v="1200"/>
    <n v="1080"/>
    <n v="1200"/>
    <n v="8"/>
    <n v="1"/>
    <n v="2"/>
    <n v="8"/>
    <n v="16"/>
    <n v="190.82633309623577"/>
    <n v="3.9370078740157481"/>
    <n v="1"/>
    <n v="45030000"/>
    <n v="1.5902194424686313"/>
    <x v="0"/>
    <n v="5"/>
    <n v="0.5"/>
    <n v="0.60000000000000009"/>
    <n v="1.4000000000000001"/>
    <n v="6"/>
    <n v="8.5"/>
    <n v="3"/>
    <n v="1"/>
    <n v="1"/>
    <n v="1"/>
    <n v="0"/>
    <n v="0"/>
    <n v="0"/>
    <n v="4"/>
    <n v="4"/>
  </r>
  <r>
    <s v="CB box : 900 x 515 x 190 mm  (OD-with lid) 5 ply HSC (B.S-14kg/cm2) &amp; 3ply top lid (B.S-10-12kg/cm2)"/>
    <n v="150"/>
    <n v="150"/>
    <n v="150"/>
    <n v="150"/>
    <n v="5.8043919899390542E-4"/>
    <n v="26"/>
    <n v="6"/>
    <n v="15"/>
    <n v="23.324895936209199"/>
    <n v="90"/>
    <n v="600"/>
    <n v="1"/>
    <n v="900"/>
    <n v="515"/>
    <n v="190"/>
    <n v="1200"/>
    <n v="1080"/>
    <n v="1200"/>
    <n v="6"/>
    <n v="1"/>
    <n v="2"/>
    <n v="6"/>
    <n v="12"/>
    <n v="279.89875123451037"/>
    <n v="3.9370078740157481"/>
    <n v="1"/>
    <n v="88065000"/>
    <n v="3.1099861248278931"/>
    <x v="0"/>
    <n v="5"/>
    <n v="0.5"/>
    <n v="0.60000000000000009"/>
    <n v="1.4000000000000001"/>
    <n v="6"/>
    <n v="8.5"/>
    <n v="3"/>
    <n v="1"/>
    <n v="1"/>
    <n v="1"/>
    <n v="0"/>
    <n v="0"/>
    <n v="1"/>
    <n v="5"/>
    <n v="6"/>
  </r>
  <r>
    <s v="CORGURATED BOX OF 7PLY (770 * 330 * 200mm)"/>
    <n v="1193"/>
    <n v="149.125"/>
    <n v="150"/>
    <n v="150"/>
    <n v="5.8043919899390542E-4"/>
    <n v="26"/>
    <n v="6"/>
    <n v="15"/>
    <n v="13.460185220895376"/>
    <n v="90"/>
    <n v="600"/>
    <n v="1"/>
    <n v="770"/>
    <n v="330"/>
    <n v="200"/>
    <n v="1200"/>
    <n v="1080"/>
    <n v="1200"/>
    <n v="6"/>
    <n v="1"/>
    <n v="3"/>
    <n v="6"/>
    <n v="18"/>
    <n v="242.28333397611675"/>
    <n v="3.9370078740157481"/>
    <n v="1"/>
    <n v="50820000"/>
    <n v="1.7946913627860501"/>
    <x v="0"/>
    <n v="5"/>
    <n v="0.5"/>
    <n v="0.60000000000000009"/>
    <n v="1.4000000000000001"/>
    <n v="6"/>
    <n v="8.5"/>
    <n v="3"/>
    <n v="1"/>
    <n v="1"/>
    <n v="1"/>
    <n v="0"/>
    <n v="0"/>
    <n v="0"/>
    <n v="3"/>
    <n v="3"/>
  </r>
  <r>
    <s v="Corrogated Box (650 mm X 380 mm X 160 mm) with  Broad flute quality Strentgh 20 ±1 (3 version Kraft 250 gsm/25B.f &amp; 2 semi kraft 180 gsm/25 b.f"/>
    <n v="150"/>
    <n v="150"/>
    <n v="150"/>
    <n v="197"/>
    <n v="5.8043919899390542E-4"/>
    <n v="26"/>
    <n v="8"/>
    <n v="15"/>
    <n v="10.467267216249219"/>
    <n v="120"/>
    <n v="600"/>
    <n v="1"/>
    <n v="650"/>
    <n v="380"/>
    <n v="160"/>
    <n v="1200"/>
    <n v="1080"/>
    <n v="1200"/>
    <n v="8"/>
    <n v="1"/>
    <n v="2"/>
    <n v="8"/>
    <n v="16"/>
    <n v="167.47627545998751"/>
    <n v="3.9370078740157481"/>
    <n v="1"/>
    <n v="39520000"/>
    <n v="1.3956356288332292"/>
    <x v="0"/>
    <n v="5"/>
    <n v="0.5"/>
    <n v="0.60000000000000009"/>
    <n v="1.4000000000000001"/>
    <n v="6"/>
    <n v="8.5"/>
    <n v="4"/>
    <n v="2"/>
    <n v="2"/>
    <n v="1"/>
    <n v="0"/>
    <n v="0"/>
    <n v="1"/>
    <n v="4"/>
    <n v="5"/>
  </r>
  <r>
    <s v="CB box : 570 x 340 x 150 mm (OD-with lid) 5 ply HSC (B.S-14kg/cm2) &amp; 3ply top lid (B.S:10-12kg/cm2)"/>
    <n v="149"/>
    <n v="149"/>
    <n v="149"/>
    <n v="149"/>
    <n v="5.7656960433394603E-4"/>
    <n v="26"/>
    <n v="6"/>
    <n v="15"/>
    <n v="7.6994802119525492"/>
    <n v="90"/>
    <n v="600"/>
    <n v="1"/>
    <n v="570"/>
    <n v="340"/>
    <n v="150"/>
    <n v="1200"/>
    <n v="1080"/>
    <n v="1200"/>
    <n v="8"/>
    <n v="2"/>
    <n v="3"/>
    <n v="8"/>
    <n v="48"/>
    <n v="369.57505017372239"/>
    <n v="3.9370078740157481"/>
    <n v="1"/>
    <n v="29070000"/>
    <n v="1.0265973615936732"/>
    <x v="0"/>
    <n v="5"/>
    <n v="0.5"/>
    <n v="0.60000000000000009"/>
    <n v="1.4000000000000001"/>
    <n v="6"/>
    <n v="8.5"/>
    <n v="3"/>
    <n v="1"/>
    <n v="1"/>
    <n v="1"/>
    <n v="0"/>
    <n v="0"/>
    <n v="0"/>
    <n v="1"/>
    <n v="1"/>
  </r>
  <r>
    <s v="CB box : 635 x 390 x 150 mm (OD-with lid) 5 ply HSC (B.S-14kg/cm2) &amp; 3ply top lid (B.S:10-12kg/cm2)"/>
    <n v="149"/>
    <n v="149"/>
    <n v="149"/>
    <n v="149"/>
    <n v="5.7656960433394603E-4"/>
    <n v="26"/>
    <n v="6"/>
    <n v="15"/>
    <n v="9.8388868652737322"/>
    <n v="90"/>
    <n v="600"/>
    <n v="1"/>
    <n v="635"/>
    <n v="390"/>
    <n v="150"/>
    <n v="1200"/>
    <n v="1080"/>
    <n v="1200"/>
    <n v="8"/>
    <n v="1"/>
    <n v="2"/>
    <n v="8"/>
    <n v="16"/>
    <n v="157.42218984437972"/>
    <n v="3.9370078740157481"/>
    <n v="1"/>
    <n v="37147500"/>
    <n v="1.3118515820364975"/>
    <x v="0"/>
    <n v="5"/>
    <n v="0.5"/>
    <n v="0.60000000000000009"/>
    <n v="1.4000000000000001"/>
    <n v="6"/>
    <n v="8.5"/>
    <n v="3"/>
    <n v="1"/>
    <n v="1"/>
    <n v="1"/>
    <n v="0"/>
    <n v="0"/>
    <n v="0"/>
    <n v="4"/>
    <n v="4"/>
  </r>
  <r>
    <s v="5 Ply Corrugated Box (size- 1880x305x280 mm)-OD, (Type-2 ,B.S -17 Kg/cm2)"/>
    <n v="322"/>
    <n v="133"/>
    <n v="133"/>
    <n v="172"/>
    <n v="5.1465608977459612E-4"/>
    <n v="26"/>
    <n v="7"/>
    <n v="15"/>
    <n v="42.52380278601327"/>
    <n v="105"/>
    <n v="600"/>
    <n v="1"/>
    <n v="1880"/>
    <n v="305"/>
    <n v="280"/>
    <n v="2000"/>
    <n v="1080"/>
    <n v="1200"/>
    <n v="4"/>
    <n v="1"/>
    <n v="3"/>
    <n v="4"/>
    <n v="12"/>
    <n v="510.28563343215922"/>
    <n v="3.9370078740157481"/>
    <n v="1"/>
    <n v="160552000"/>
    <n v="5.6698403714684362"/>
    <x v="3"/>
    <n v="10"/>
    <n v="0.5"/>
    <n v="0.60000000000000009"/>
    <n v="1.4000000000000001"/>
    <n v="6"/>
    <n v="8.5"/>
    <n v="4"/>
    <n v="1"/>
    <n v="1"/>
    <n v="1"/>
    <n v="0"/>
    <n v="0"/>
    <n v="1"/>
    <n v="5"/>
    <n v="6"/>
  </r>
  <r>
    <s v="CORRUGATED BOX (11x15x10) 7 PLY. With Original Vergin Paper."/>
    <n v="120"/>
    <n v="120"/>
    <n v="120"/>
    <n v="120"/>
    <n v="4.6435135919512433E-4"/>
    <n v="26"/>
    <n v="5"/>
    <n v="15"/>
    <n v="7.1614583333333321"/>
    <n v="75"/>
    <n v="600"/>
    <n v="1"/>
    <n v="279.39999999999998"/>
    <n v="381"/>
    <n v="254"/>
    <n v="1200"/>
    <n v="1080"/>
    <n v="1200"/>
    <n v="5"/>
    <n v="4"/>
    <n v="2"/>
    <n v="5"/>
    <n v="40"/>
    <n v="286.45833333333326"/>
    <n v="3.9370078740157481"/>
    <n v="1"/>
    <n v="27038655.599999998"/>
    <n v="0.95486111111111094"/>
    <x v="0"/>
    <n v="5"/>
    <n v="0.5"/>
    <n v="0.60000000000000009"/>
    <n v="1.4000000000000001"/>
    <n v="6"/>
    <n v="8.5"/>
    <n v="3"/>
    <n v="1"/>
    <n v="1"/>
    <n v="1"/>
    <n v="0"/>
    <n v="0"/>
    <n v="0"/>
    <n v="2"/>
    <n v="2"/>
  </r>
  <r>
    <s v="CB Box  960 x 500 x 300 mm , B.S-17 (5 Ply , Type-2)"/>
    <n v="100"/>
    <n v="100"/>
    <n v="100"/>
    <n v="100"/>
    <n v="3.8695946599593691E-4"/>
    <n v="26"/>
    <n v="4"/>
    <n v="15"/>
    <n v="38.139840059207678"/>
    <n v="60"/>
    <n v="600"/>
    <n v="1"/>
    <n v="960"/>
    <n v="500"/>
    <n v="300"/>
    <n v="1200"/>
    <n v="1080"/>
    <n v="1200"/>
    <n v="4"/>
    <n v="1"/>
    <n v="2"/>
    <n v="4"/>
    <n v="8"/>
    <n v="305.11872047366143"/>
    <n v="3.9370078740157481"/>
    <n v="1"/>
    <n v="144000000"/>
    <n v="5.0853120078943572"/>
    <x v="0"/>
    <n v="5"/>
    <n v="0.5"/>
    <n v="0.60000000000000009"/>
    <n v="1.4000000000000001"/>
    <n v="6"/>
    <n v="8.5"/>
    <n v="2"/>
    <n v="1"/>
    <n v="1"/>
    <n v="0"/>
    <n v="0"/>
    <n v="0"/>
    <n v="1"/>
    <n v="0"/>
    <n v="1"/>
  </r>
  <r>
    <s v="CB Box :  1560 x 200 x 150 mm 5-ply Type-1 (B.S-14kg/cm2)"/>
    <n v="100"/>
    <n v="100"/>
    <n v="100"/>
    <n v="100"/>
    <n v="3.8695946599593691E-4"/>
    <n v="26"/>
    <n v="4"/>
    <n v="15"/>
    <n v="12.395448019242496"/>
    <n v="60"/>
    <n v="600"/>
    <n v="1"/>
    <n v="1560"/>
    <n v="200"/>
    <n v="150"/>
    <n v="1500"/>
    <n v="1080"/>
    <n v="1200"/>
    <n v="8"/>
    <n v="1"/>
    <n v="5"/>
    <n v="8"/>
    <n v="40"/>
    <n v="495.81792076969981"/>
    <n v="3.9370078740157481"/>
    <n v="1"/>
    <n v="46800000"/>
    <n v="1.6527264025656661"/>
    <x v="2"/>
    <n v="10"/>
    <n v="0.5"/>
    <n v="0.60000000000000009"/>
    <n v="1.4000000000000001"/>
    <n v="6"/>
    <n v="8.5"/>
    <n v="2"/>
    <n v="1"/>
    <n v="1"/>
    <n v="0"/>
    <n v="0"/>
    <n v="0"/>
    <n v="0"/>
    <n v="0"/>
    <n v="0"/>
  </r>
  <r>
    <s v="5 Ply Corrugated Box (size- 1525x610x255 mm), (Type-2 ,B.S -17 Kg/cm2)"/>
    <n v="976"/>
    <n v="88.727272727272734"/>
    <n v="89"/>
    <n v="102"/>
    <n v="3.4439392473638384E-4"/>
    <n v="26"/>
    <n v="4"/>
    <n v="15"/>
    <n v="62.828433922533861"/>
    <n v="60"/>
    <n v="600"/>
    <n v="1"/>
    <n v="1525"/>
    <n v="610"/>
    <n v="255"/>
    <n v="1500"/>
    <n v="1080"/>
    <n v="1200"/>
    <n v="5"/>
    <n v="1"/>
    <n v="1"/>
    <n v="5"/>
    <n v="5"/>
    <n v="314.14216961266931"/>
    <n v="3.9370078740157481"/>
    <n v="1"/>
    <n v="237213750"/>
    <n v="8.3771245230045146"/>
    <x v="2"/>
    <n v="10"/>
    <n v="0.5"/>
    <n v="0.60000000000000009"/>
    <n v="1.4000000000000001"/>
    <n v="6"/>
    <n v="8.5"/>
    <n v="2"/>
    <n v="1"/>
    <n v="1"/>
    <n v="0"/>
    <n v="0"/>
    <n v="1"/>
    <n v="1"/>
    <n v="0"/>
    <n v="2"/>
  </r>
  <r>
    <s v="Corrugated Box  Ply-7, H-8&quot;, W-16&quot;, L-36&quot;"/>
    <n v="780"/>
    <n v="86.666666666666671"/>
    <n v="87"/>
    <n v="101"/>
    <n v="3.3665473541646512E-4"/>
    <n v="26"/>
    <n v="4"/>
    <n v="15"/>
    <n v="19.999999999999996"/>
    <n v="60"/>
    <n v="600"/>
    <n v="1"/>
    <n v="914.4"/>
    <n v="406.4"/>
    <n v="203.2"/>
    <n v="1200"/>
    <n v="1080"/>
    <n v="1200"/>
    <n v="6"/>
    <n v="1"/>
    <n v="2"/>
    <n v="6"/>
    <n v="12"/>
    <n v="239.99999999999994"/>
    <n v="3.9370078740157481"/>
    <n v="1"/>
    <n v="75511590.911999986"/>
    <n v="2.6666666666666661"/>
    <x v="0"/>
    <n v="5"/>
    <n v="0.5"/>
    <n v="0.60000000000000009"/>
    <n v="1.4000000000000001"/>
    <n v="6"/>
    <n v="8.5"/>
    <n v="2"/>
    <n v="1"/>
    <n v="1"/>
    <n v="0"/>
    <n v="0"/>
    <n v="0"/>
    <n v="1"/>
    <n v="0"/>
    <n v="1"/>
  </r>
  <r>
    <s v="5 Ply Corrugated Box (size- 765x455x230 mm)-OD, (Type-2 ,B.S -14 Kg/cm2)"/>
    <n v="163"/>
    <n v="81.5"/>
    <n v="82"/>
    <n v="91"/>
    <n v="3.1730676211666828E-4"/>
    <n v="26"/>
    <n v="4"/>
    <n v="15"/>
    <n v="21.203963267916691"/>
    <n v="60"/>
    <n v="600"/>
    <n v="1"/>
    <n v="765"/>
    <n v="455"/>
    <n v="230"/>
    <n v="1200"/>
    <n v="1080"/>
    <n v="1200"/>
    <n v="5"/>
    <n v="1"/>
    <n v="2"/>
    <n v="5"/>
    <n v="10"/>
    <n v="212.03963267916691"/>
    <n v="3.9370078740157481"/>
    <n v="1"/>
    <n v="80057250"/>
    <n v="2.8271951023888922"/>
    <x v="0"/>
    <n v="5"/>
    <n v="0.5"/>
    <n v="0.60000000000000009"/>
    <n v="1.4000000000000001"/>
    <n v="6"/>
    <n v="8.5"/>
    <n v="2"/>
    <n v="1"/>
    <n v="1"/>
    <n v="0"/>
    <n v="0"/>
    <n v="0"/>
    <n v="1"/>
    <n v="0"/>
    <n v="1"/>
  </r>
  <r>
    <s v="Corrugated Box  Ply-5, H-180mm, W-240mm, L-410mm"/>
    <n v="153"/>
    <n v="76.5"/>
    <n v="77"/>
    <n v="91"/>
    <n v="2.9795878881687144E-4"/>
    <n v="26"/>
    <n v="4"/>
    <n v="15"/>
    <n v="4.6912003272825444"/>
    <n v="60"/>
    <n v="600"/>
    <n v="1"/>
    <n v="410"/>
    <n v="240"/>
    <n v="180"/>
    <n v="1200"/>
    <n v="1080"/>
    <n v="1200"/>
    <n v="7"/>
    <n v="2"/>
    <n v="4"/>
    <n v="7"/>
    <n v="56"/>
    <n v="262.70721832782249"/>
    <n v="3.9370078740157481"/>
    <n v="1"/>
    <n v="17712000"/>
    <n v="0.62549337697100593"/>
    <x v="0"/>
    <n v="5"/>
    <n v="0.5"/>
    <n v="0.60000000000000009"/>
    <n v="1.4000000000000001"/>
    <n v="6"/>
    <n v="8.5"/>
    <n v="2"/>
    <n v="1"/>
    <n v="1"/>
    <n v="0"/>
    <n v="0"/>
    <n v="0"/>
    <n v="0"/>
    <n v="0"/>
    <n v="0"/>
  </r>
  <r>
    <s v="5 Ply Corrugated Box (size- 960x500x300 mm)-OD, (Type-2 ,B.S -17 Kg/cm2)"/>
    <n v="527"/>
    <n v="75.285714285714292"/>
    <n v="76"/>
    <n v="90"/>
    <n v="2.9408919415691205E-4"/>
    <n v="26"/>
    <n v="4"/>
    <n v="15"/>
    <n v="38.139840059207678"/>
    <n v="60"/>
    <n v="600"/>
    <n v="1"/>
    <n v="960"/>
    <n v="500"/>
    <n v="300"/>
    <n v="1200"/>
    <n v="1080"/>
    <n v="1200"/>
    <n v="4"/>
    <n v="1"/>
    <n v="2"/>
    <n v="4"/>
    <n v="8"/>
    <n v="305.11872047366143"/>
    <n v="3.9370078740157481"/>
    <n v="1"/>
    <n v="144000000"/>
    <n v="5.0853120078943572"/>
    <x v="0"/>
    <n v="5"/>
    <n v="0.5"/>
    <n v="0.60000000000000009"/>
    <n v="1.4000000000000001"/>
    <n v="6"/>
    <n v="8.5"/>
    <n v="2"/>
    <n v="1"/>
    <n v="1"/>
    <n v="0"/>
    <n v="0"/>
    <n v="0"/>
    <n v="1"/>
    <n v="0"/>
    <n v="1"/>
  </r>
  <r>
    <s v="765X455X230 MM 7 PLY C. BOX"/>
    <n v="60"/>
    <n v="60"/>
    <n v="60"/>
    <n v="60"/>
    <n v="2.3217567959756216E-4"/>
    <n v="26"/>
    <n v="3"/>
    <n v="15"/>
    <n v="21.203963267916691"/>
    <n v="45"/>
    <n v="600"/>
    <n v="1"/>
    <n v="765"/>
    <n v="455"/>
    <n v="230"/>
    <n v="1200"/>
    <n v="1080"/>
    <n v="1200"/>
    <n v="5"/>
    <n v="1"/>
    <n v="2"/>
    <n v="5"/>
    <n v="10"/>
    <n v="212.03963267916691"/>
    <n v="3.9370078740157481"/>
    <n v="1"/>
    <n v="80057250"/>
    <n v="2.8271951023888922"/>
    <x v="0"/>
    <n v="5"/>
    <n v="0.5"/>
    <n v="0.60000000000000009"/>
    <n v="1.4000000000000001"/>
    <n v="6"/>
    <n v="8.5"/>
    <n v="2"/>
    <n v="1"/>
    <n v="1"/>
    <n v="0"/>
    <n v="0"/>
    <n v="0"/>
    <n v="1"/>
    <n v="0"/>
    <n v="1"/>
  </r>
  <r>
    <s v="Corrugatted Box 54x12x11 (7 PLY)"/>
    <n v="60"/>
    <n v="60"/>
    <n v="60"/>
    <n v="60"/>
    <n v="2.3217567959756216E-4"/>
    <n v="26"/>
    <n v="3"/>
    <n v="15"/>
    <n v="30.9375"/>
    <n v="45"/>
    <n v="600"/>
    <n v="1"/>
    <n v="1371.6"/>
    <n v="304.8"/>
    <n v="279.39999999999998"/>
    <n v="1500"/>
    <n v="1080"/>
    <n v="1200"/>
    <n v="4"/>
    <n v="1"/>
    <n v="3"/>
    <n v="4"/>
    <n v="12"/>
    <n v="371.25"/>
    <n v="3.9370078740157481"/>
    <n v="1"/>
    <n v="116806992.19199999"/>
    <n v="4.125"/>
    <x v="2"/>
    <n v="10"/>
    <n v="0.5"/>
    <n v="0.60000000000000009"/>
    <n v="1.4000000000000001"/>
    <n v="6"/>
    <n v="8.5"/>
    <n v="2"/>
    <n v="1"/>
    <n v="1"/>
    <n v="0"/>
    <n v="0"/>
    <n v="0"/>
    <n v="1"/>
    <n v="0"/>
    <n v="1"/>
  </r>
  <r>
    <s v="58X21X10 ( 3 KRAFT PAPER 180 GSM 22 BF, 2 SEMI KRAFT PAPER 125 GSM 18 BF) Corrugated Box"/>
    <n v="55"/>
    <n v="55"/>
    <n v="55"/>
    <n v="55"/>
    <n v="2.128277062977653E-4"/>
    <n v="26"/>
    <n v="3"/>
    <n v="15"/>
    <n v="52.864583333333329"/>
    <n v="45"/>
    <n v="600"/>
    <n v="1"/>
    <n v="1473.2"/>
    <n v="533.4"/>
    <n v="254"/>
    <n v="1500"/>
    <n v="1080"/>
    <n v="1200"/>
    <n v="5"/>
    <n v="1"/>
    <n v="2"/>
    <n v="5"/>
    <n v="10"/>
    <n v="528.64583333333326"/>
    <n v="3.9370078740157481"/>
    <n v="1"/>
    <n v="199594439.52000001"/>
    <n v="7.0486111111111107"/>
    <x v="2"/>
    <n v="10"/>
    <n v="0.5"/>
    <n v="0.60000000000000009"/>
    <n v="1.4000000000000001"/>
    <n v="6"/>
    <n v="8.5"/>
    <n v="2"/>
    <n v="1"/>
    <n v="1"/>
    <n v="0"/>
    <n v="0"/>
    <n v="0"/>
    <n v="1"/>
    <n v="0"/>
    <n v="1"/>
  </r>
  <r>
    <s v="COURROGATED BOX 60 x 24 x 10"/>
    <n v="53"/>
    <n v="53"/>
    <n v="53"/>
    <n v="53"/>
    <n v="2.0508851697784657E-4"/>
    <n v="26"/>
    <n v="3"/>
    <n v="15"/>
    <n v="62.500000000000007"/>
    <n v="45"/>
    <n v="600"/>
    <n v="1"/>
    <n v="1524"/>
    <n v="609.6"/>
    <n v="254"/>
    <n v="1500"/>
    <n v="1080"/>
    <n v="1200"/>
    <n v="5"/>
    <n v="1"/>
    <n v="1"/>
    <n v="5"/>
    <n v="5"/>
    <n v="312.50000000000006"/>
    <n v="3.9370078740157481"/>
    <n v="1"/>
    <n v="235973721.59999999"/>
    <n v="8.3333333333333339"/>
    <x v="2"/>
    <n v="10"/>
    <n v="0.5"/>
    <n v="0.60000000000000009"/>
    <n v="1.4000000000000001"/>
    <n v="6"/>
    <n v="8.5"/>
    <n v="2"/>
    <n v="1"/>
    <n v="1"/>
    <n v="0"/>
    <n v="0"/>
    <n v="1"/>
    <n v="1"/>
    <n v="0"/>
    <n v="2"/>
  </r>
  <r>
    <s v="CORRUGRADED BOX  Ø19X53"/>
    <n v="287"/>
    <n v="41"/>
    <n v="41"/>
    <n v="63"/>
    <n v="1.5865338105833414E-4"/>
    <n v="26"/>
    <n v="3"/>
    <n v="15"/>
    <n v="64.527456528871397"/>
    <n v="45"/>
    <n v="600"/>
    <n v="1"/>
    <n v="482.59999999999997"/>
    <n v="1346.2"/>
    <n v="375"/>
    <n v="1200"/>
    <n v="1300"/>
    <n v="1200"/>
    <n v="3"/>
    <n v="2"/>
    <n v="1"/>
    <n v="3"/>
    <n v="6"/>
    <n v="387.16473917322838"/>
    <n v="3.9370078740157481"/>
    <n v="1"/>
    <n v="243628545"/>
    <n v="8.6036608705161868"/>
    <x v="0"/>
    <n v="5"/>
    <n v="0.5"/>
    <n v="0.60000000000000009"/>
    <n v="1.4000000000000001"/>
    <n v="6"/>
    <n v="8.5"/>
    <n v="2"/>
    <n v="1"/>
    <n v="1"/>
    <n v="0"/>
    <n v="0"/>
    <n v="1"/>
    <n v="1"/>
    <n v="0"/>
    <n v="2"/>
  </r>
  <r>
    <s v="Corrugated separator sheet size 1160 x 1020 mm, 5- Ply type -1 (B.S 14Kg/cm2)"/>
    <n v="20"/>
    <n v="20"/>
    <n v="20"/>
    <n v="20"/>
    <n v="7.7391893199187388E-5"/>
    <n v="26"/>
    <n v="1"/>
    <n v="15"/>
    <n v="117.51838218243367"/>
    <n v="15"/>
    <n v="600"/>
    <n v="1"/>
    <n v="1160"/>
    <n v="1020"/>
    <n v="375"/>
    <n v="1200"/>
    <n v="1080"/>
    <n v="1200"/>
    <n v="3"/>
    <n v="1"/>
    <n v="1"/>
    <n v="3"/>
    <n v="3"/>
    <n v="352.55514654730098"/>
    <n v="3.9370078740157481"/>
    <n v="1"/>
    <n v="443700000"/>
    <n v="15.669117624324489"/>
    <x v="0"/>
    <n v="5"/>
    <n v="0.5"/>
    <n v="0.60000000000000009"/>
    <n v="1.4000000000000001"/>
    <n v="6"/>
    <n v="8.5"/>
    <n v="1"/>
    <n v="0"/>
    <n v="0"/>
    <n v="0"/>
    <n v="0"/>
    <n v="0"/>
    <n v="0"/>
    <n v="0"/>
    <n v="0"/>
  </r>
  <r>
    <s v="&quot;5 ply Corrugation partition assembly ,size: 1170x1060x460mm , (B.S-14kg/cm2)&quot;"/>
    <n v="10"/>
    <n v="10"/>
    <n v="10"/>
    <n v="10"/>
    <n v="3.8695946599593694E-5"/>
    <n v="26"/>
    <n v="1"/>
    <n v="15"/>
    <n v="151.10051135456601"/>
    <n v="15"/>
    <n v="600"/>
    <n v="1"/>
    <n v="1170"/>
    <n v="1060"/>
    <n v="460"/>
    <n v="1200"/>
    <n v="1080"/>
    <n v="1200"/>
    <n v="3"/>
    <n v="1"/>
    <n v="1"/>
    <n v="3"/>
    <n v="3"/>
    <n v="453.301534063698"/>
    <n v="3.9370078740157481"/>
    <n v="1"/>
    <n v="570492000"/>
    <n v="20.146734847275468"/>
    <x v="0"/>
    <n v="5"/>
    <n v="0.5"/>
    <n v="0.60000000000000009"/>
    <n v="1.4000000000000001"/>
    <n v="6"/>
    <n v="8.5"/>
    <n v="1"/>
    <n v="0"/>
    <n v="0"/>
    <n v="0"/>
    <n v="0"/>
    <n v="0"/>
    <n v="0"/>
    <n v="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CNH-Noida"/>
    <n v="29733"/>
    <n v="2287.1538461538462"/>
    <n v="2288"/>
    <n v="2433"/>
    <n v="26"/>
    <n v="94"/>
    <n v="18"/>
    <n v="13.984608021709482"/>
    <n v="1692"/>
    <n v="600"/>
    <n v="3"/>
    <n v="0.33300000000000002"/>
    <n v="32"/>
    <n v="600"/>
    <n v="400"/>
    <n v="220"/>
    <n v="1200"/>
    <n v="1080"/>
    <n v="1200"/>
    <n v="5"/>
    <n v="2"/>
    <n v="2"/>
    <n v="5"/>
    <n v="20"/>
    <n v="279.69216043418965"/>
    <n v="3.9370078740157481"/>
    <n v="2"/>
    <n v="52800000"/>
    <n v="1.8646144028945977"/>
    <x v="0"/>
    <n v="20"/>
    <n v="1"/>
    <n v="1.2000000000000002"/>
    <n v="2.8000000000000003"/>
    <n v="12"/>
    <n v="17"/>
    <n v="16"/>
    <n v="6"/>
    <n v="6"/>
    <n v="3"/>
    <n v="1"/>
    <n v="1"/>
    <n v="2"/>
    <n v="9"/>
    <n v="13"/>
  </r>
  <r>
    <m/>
    <m/>
    <m/>
    <m/>
    <m/>
    <m/>
    <m/>
    <m/>
    <n v="26.486000041116444"/>
    <m/>
    <m/>
    <m/>
    <n v="0.33300000000000002"/>
    <n v="32"/>
    <n v="1000"/>
    <n v="400"/>
    <n v="250"/>
    <n v="1200"/>
    <n v="1080"/>
    <n v="1200"/>
    <n v="5"/>
    <n v="1"/>
    <n v="2"/>
    <n v="5"/>
    <n v="10"/>
    <n v="139.84608021709482"/>
    <n v="3.9370078740157481"/>
    <n v="4"/>
    <n v="100000000"/>
    <n v="3.5314666721488592"/>
    <x v="0"/>
    <n v="40"/>
    <n v="2"/>
    <n v="2.4000000000000004"/>
    <n v="5.6000000000000005"/>
    <n v="24"/>
    <n v="34"/>
    <n v="16"/>
    <n v="6"/>
    <n v="6"/>
    <n v="3"/>
    <n v="2"/>
    <n v="2"/>
    <n v="4"/>
    <n v="18"/>
    <n v="26"/>
  </r>
  <r>
    <m/>
    <m/>
    <m/>
    <m/>
    <m/>
    <m/>
    <m/>
    <m/>
    <n v="38.404700059618847"/>
    <m/>
    <m/>
    <m/>
    <n v="0.33300000000000002"/>
    <n v="32"/>
    <n v="1450"/>
    <n v="400"/>
    <n v="250"/>
    <n v="1500"/>
    <n v="1080"/>
    <n v="1200"/>
    <n v="5"/>
    <n v="1"/>
    <n v="2"/>
    <n v="5"/>
    <n v="10"/>
    <n v="139.84608021709482"/>
    <n v="3.9370078740157481"/>
    <n v="4"/>
    <n v="145000000"/>
    <n v="5.1206266746158464"/>
    <x v="1"/>
    <n v="40"/>
    <n v="2"/>
    <n v="2.4000000000000004"/>
    <n v="5.6000000000000005"/>
    <n v="24"/>
    <n v="34"/>
    <n v="16"/>
    <n v="6"/>
    <n v="6"/>
    <n v="3"/>
    <n v="2"/>
    <n v="2"/>
    <n v="4"/>
    <n v="18"/>
    <n v="26"/>
  </r>
  <r>
    <s v="IAI -Sanand (SMG part)"/>
    <n v="26392.75"/>
    <n v="2030.2115384615386"/>
    <n v="2031"/>
    <n v="2258"/>
    <n v="26"/>
    <n v="87"/>
    <n v="18"/>
    <n v="22.883904035524608"/>
    <n v="1566"/>
    <n v="600"/>
    <n v="3"/>
    <n v="1"/>
    <n v="87"/>
    <n v="600"/>
    <n v="400"/>
    <n v="360"/>
    <n v="1200"/>
    <n v="1080"/>
    <n v="1200"/>
    <n v="3"/>
    <n v="2"/>
    <n v="2"/>
    <n v="3"/>
    <n v="12"/>
    <n v="167.81529626051378"/>
    <n v="3.9370078740157481"/>
    <n v="8"/>
    <n v="86400000"/>
    <n v="3.0511872047366144"/>
    <x v="0"/>
    <n v="80"/>
    <n v="4"/>
    <n v="4.8000000000000007"/>
    <n v="11.200000000000001"/>
    <n v="48"/>
    <n v="68"/>
    <n v="44"/>
    <n v="17"/>
    <n v="17"/>
    <n v="9"/>
    <n v="4"/>
    <n v="4"/>
    <n v="10"/>
    <n v="45"/>
    <n v="63"/>
  </r>
  <r>
    <s v="JCB (Jaipur)"/>
    <n v="42"/>
    <n v="14"/>
    <n v="14"/>
    <n v="18"/>
    <n v="26"/>
    <n v="1"/>
    <n v="18"/>
    <n v="22.883904035524608"/>
    <n v="18"/>
    <n v="600"/>
    <n v="1"/>
    <n v="1"/>
    <n v="1"/>
    <n v="600"/>
    <n v="400"/>
    <n v="360"/>
    <n v="1200"/>
    <n v="1080"/>
    <n v="1200"/>
    <n v="3"/>
    <n v="2"/>
    <n v="2"/>
    <n v="3"/>
    <n v="12"/>
    <n v="167.81529626051378"/>
    <n v="3.9370078740157481"/>
    <n v="1"/>
    <n v="86400000"/>
    <n v="3.0511872047366144"/>
    <x v="0"/>
    <n v="10"/>
    <n v="0.5"/>
    <n v="0.60000000000000009"/>
    <n v="1.4000000000000001"/>
    <n v="6"/>
    <n v="8.5"/>
    <n v="1"/>
    <n v="0"/>
    <n v="0"/>
    <n v="0"/>
    <n v="0"/>
    <n v="0"/>
    <n v="0"/>
    <n v="0"/>
    <n v="0"/>
  </r>
  <r>
    <s v="Mahindra (Pune)"/>
    <n v="66677"/>
    <n v="5129"/>
    <n v="5129"/>
    <n v="5839"/>
    <n v="26"/>
    <n v="225"/>
    <n v="18"/>
    <n v="15.255936023683072"/>
    <n v="4050"/>
    <n v="600"/>
    <n v="7"/>
    <n v="0.16600000000000001"/>
    <n v="38"/>
    <n v="600"/>
    <n v="400"/>
    <n v="240"/>
    <n v="1200"/>
    <n v="1080"/>
    <n v="1200"/>
    <n v="5"/>
    <n v="2"/>
    <n v="2"/>
    <n v="5"/>
    <n v="20"/>
    <n v="279.69216043418965"/>
    <n v="3.9370078740157481"/>
    <n v="2"/>
    <n v="57600000"/>
    <n v="2.0341248031577428"/>
    <x v="0"/>
    <n v="20"/>
    <n v="1"/>
    <n v="1.2000000000000002"/>
    <n v="2.8000000000000003"/>
    <n v="12"/>
    <n v="17"/>
    <n v="19"/>
    <n v="8"/>
    <n v="8"/>
    <n v="4"/>
    <n v="1"/>
    <n v="1"/>
    <n v="3"/>
    <n v="12"/>
    <n v="17"/>
  </r>
  <r>
    <m/>
    <m/>
    <m/>
    <m/>
    <m/>
    <m/>
    <m/>
    <m/>
    <n v="7.6279680118415358"/>
    <m/>
    <m/>
    <m/>
    <n v="0.16600000000000001"/>
    <n v="38"/>
    <n v="600"/>
    <n v="300"/>
    <n v="160"/>
    <n v="1200"/>
    <n v="1080"/>
    <n v="1200"/>
    <n v="7"/>
    <n v="2"/>
    <n v="3"/>
    <n v="7"/>
    <n v="42"/>
    <n v="587.35353691179819"/>
    <n v="3.9370078740157481"/>
    <n v="1"/>
    <n v="28800000"/>
    <n v="1.0170624015788714"/>
    <x v="0"/>
    <n v="10"/>
    <n v="0.5"/>
    <n v="0.60000000000000009"/>
    <n v="1.4000000000000001"/>
    <n v="6"/>
    <n v="8.5"/>
    <n v="19"/>
    <n v="8"/>
    <n v="8"/>
    <n v="4"/>
    <n v="0"/>
    <n v="1"/>
    <n v="1"/>
    <n v="6"/>
    <n v="8"/>
  </r>
  <r>
    <m/>
    <m/>
    <m/>
    <m/>
    <m/>
    <m/>
    <m/>
    <m/>
    <n v="30.511872047366143"/>
    <m/>
    <m/>
    <m/>
    <n v="0.16600000000000001"/>
    <n v="38"/>
    <n v="800"/>
    <n v="600"/>
    <n v="240"/>
    <n v="1200"/>
    <n v="1080"/>
    <n v="1200"/>
    <n v="5"/>
    <n v="1"/>
    <n v="1"/>
    <n v="5"/>
    <n v="5"/>
    <n v="69.923040108547411"/>
    <n v="3.9370078740157481"/>
    <n v="8"/>
    <n v="115200000"/>
    <n v="4.0682496063154856"/>
    <x v="0"/>
    <n v="80"/>
    <n v="4"/>
    <n v="4.8000000000000007"/>
    <n v="11.200000000000001"/>
    <n v="48"/>
    <n v="68"/>
    <n v="19"/>
    <n v="8"/>
    <n v="8"/>
    <n v="4"/>
    <n v="4"/>
    <n v="5"/>
    <n v="11"/>
    <n v="48"/>
    <n v="68"/>
  </r>
  <r>
    <m/>
    <m/>
    <m/>
    <m/>
    <m/>
    <m/>
    <m/>
    <m/>
    <n v="10.19711001582983"/>
    <m/>
    <m/>
    <m/>
    <n v="0.16600000000000001"/>
    <n v="38"/>
    <n v="550"/>
    <n v="350"/>
    <n v="200"/>
    <n v="1200"/>
    <n v="1080"/>
    <n v="1200"/>
    <n v="6"/>
    <n v="2"/>
    <n v="3"/>
    <n v="6"/>
    <n v="36"/>
    <n v="503.44588878154133"/>
    <n v="3.9370078740157481"/>
    <n v="2"/>
    <n v="38500000"/>
    <n v="1.3596146687773107"/>
    <x v="0"/>
    <n v="20"/>
    <n v="1"/>
    <n v="1.2000000000000002"/>
    <n v="2.8000000000000003"/>
    <n v="12"/>
    <n v="17"/>
    <n v="19"/>
    <n v="8"/>
    <n v="8"/>
    <n v="4"/>
    <n v="1"/>
    <n v="1"/>
    <n v="2"/>
    <n v="7"/>
    <n v="11"/>
  </r>
  <r>
    <m/>
    <m/>
    <m/>
    <m/>
    <m/>
    <m/>
    <m/>
    <m/>
    <n v="7.6279680118415358"/>
    <m/>
    <m/>
    <m/>
    <n v="0.16600000000000001"/>
    <n v="38"/>
    <n v="400"/>
    <n v="300"/>
    <n v="240"/>
    <n v="1200"/>
    <n v="1080"/>
    <n v="1200"/>
    <n v="4"/>
    <n v="3"/>
    <n v="3"/>
    <n v="4"/>
    <n v="36"/>
    <n v="503.44588878154133"/>
    <n v="3.9370078740157481"/>
    <n v="2"/>
    <n v="28800000"/>
    <n v="1.0170624015788714"/>
    <x v="0"/>
    <n v="20"/>
    <n v="1"/>
    <n v="1.2000000000000002"/>
    <n v="2.8000000000000003"/>
    <n v="12"/>
    <n v="17"/>
    <n v="19"/>
    <n v="8"/>
    <n v="8"/>
    <n v="4"/>
    <n v="1"/>
    <n v="1"/>
    <n v="2"/>
    <n v="7"/>
    <n v="11"/>
  </r>
  <r>
    <m/>
    <m/>
    <m/>
    <m/>
    <m/>
    <m/>
    <m/>
    <m/>
    <n v="22.883904035524608"/>
    <m/>
    <m/>
    <m/>
    <n v="0.16600000000000001"/>
    <n v="38"/>
    <n v="900"/>
    <n v="400"/>
    <n v="240"/>
    <n v="1200"/>
    <n v="1080"/>
    <n v="1200"/>
    <n v="5"/>
    <n v="1"/>
    <n v="2"/>
    <n v="5"/>
    <n v="10"/>
    <n v="139.84608021709482"/>
    <n v="3.9370078740157481"/>
    <n v="4"/>
    <n v="86400000"/>
    <n v="3.0511872047366144"/>
    <x v="0"/>
    <n v="40"/>
    <n v="2"/>
    <n v="2.4000000000000004"/>
    <n v="5.6000000000000005"/>
    <n v="24"/>
    <n v="34"/>
    <n v="19"/>
    <n v="8"/>
    <n v="8"/>
    <n v="4"/>
    <n v="2"/>
    <n v="2"/>
    <n v="6"/>
    <n v="24"/>
    <n v="34"/>
  </r>
  <r>
    <s v="Mohali"/>
    <n v="56531"/>
    <n v="4348.5384615384619"/>
    <n v="4349"/>
    <n v="4835"/>
    <n v="26"/>
    <n v="186"/>
    <n v="18"/>
    <n v="8.3333333333333321"/>
    <n v="3348"/>
    <n v="600"/>
    <n v="6"/>
    <n v="1"/>
    <n v="186"/>
    <n v="508"/>
    <n v="304.8"/>
    <n v="203.2"/>
    <n v="1200"/>
    <n v="1080"/>
    <n v="1200"/>
    <n v="6"/>
    <n v="2"/>
    <n v="3"/>
    <n v="6"/>
    <n v="36"/>
    <n v="503.44588878154133"/>
    <n v="3.9370078740157481"/>
    <n v="6"/>
    <n v="31463162.879999995"/>
    <n v="1.1111111111111109"/>
    <x v="0"/>
    <n v="60"/>
    <n v="3"/>
    <n v="3.6000000000000005"/>
    <n v="8.4000000000000021"/>
    <n v="36.000000000000007"/>
    <n v="51.000000000000014"/>
    <n v="93"/>
    <n v="37"/>
    <n v="37"/>
    <n v="19"/>
    <n v="3"/>
    <n v="3"/>
    <n v="7"/>
    <n v="32"/>
    <n v="45"/>
  </r>
  <r>
    <s v="Nagpur"/>
    <n v="980"/>
    <n v="326.66666666666669"/>
    <n v="327"/>
    <n v="490"/>
    <n v="26"/>
    <n v="19"/>
    <n v="18"/>
    <n v="22.883904035524608"/>
    <n v="342"/>
    <n v="600"/>
    <n v="1"/>
    <n v="1"/>
    <n v="19"/>
    <n v="600"/>
    <n v="400"/>
    <n v="360"/>
    <n v="1200"/>
    <n v="1080"/>
    <n v="1200"/>
    <n v="3"/>
    <n v="2"/>
    <n v="2"/>
    <n v="3"/>
    <n v="12"/>
    <n v="167.81529626051378"/>
    <n v="3.9370078740157481"/>
    <n v="2"/>
    <n v="86400000"/>
    <n v="3.0511872047366144"/>
    <x v="0"/>
    <n v="20"/>
    <n v="1"/>
    <n v="1.2000000000000002"/>
    <n v="2.8000000000000003"/>
    <n v="12"/>
    <n v="17"/>
    <n v="10"/>
    <n v="4"/>
    <n v="4"/>
    <n v="2"/>
    <n v="1"/>
    <n v="1"/>
    <n v="2"/>
    <n v="10"/>
    <n v="14"/>
  </r>
  <r>
    <s v="Nasik"/>
    <n v="86209"/>
    <n v="6631.4615384615381"/>
    <n v="6632"/>
    <n v="7209"/>
    <n v="26"/>
    <n v="278"/>
    <n v="18"/>
    <n v="15.255936023683072"/>
    <n v="5004"/>
    <n v="600"/>
    <n v="9"/>
    <n v="0.33300000000000002"/>
    <n v="93"/>
    <n v="600"/>
    <n v="400"/>
    <n v="240"/>
    <n v="1200"/>
    <n v="1080"/>
    <n v="1200"/>
    <n v="5"/>
    <n v="2"/>
    <n v="2"/>
    <n v="5"/>
    <n v="20"/>
    <n v="279.69216043418965"/>
    <n v="3.9370078740157481"/>
    <n v="5"/>
    <n v="57600000"/>
    <n v="2.0341248031577428"/>
    <x v="0"/>
    <n v="50"/>
    <n v="2.5"/>
    <n v="3"/>
    <n v="7"/>
    <n v="30"/>
    <n v="42.5"/>
    <n v="47"/>
    <n v="19"/>
    <n v="19"/>
    <n v="9"/>
    <n v="2"/>
    <n v="3"/>
    <n v="7"/>
    <n v="27"/>
    <n v="39"/>
  </r>
  <r>
    <m/>
    <m/>
    <m/>
    <m/>
    <m/>
    <m/>
    <m/>
    <m/>
    <n v="22.883904035524608"/>
    <m/>
    <m/>
    <m/>
    <n v="0.33300000000000002"/>
    <n v="93"/>
    <n v="600"/>
    <n v="400"/>
    <n v="360"/>
    <n v="1200"/>
    <n v="1080"/>
    <n v="1200"/>
    <n v="3"/>
    <n v="2"/>
    <n v="2"/>
    <n v="3"/>
    <n v="12"/>
    <n v="167.81529626051378"/>
    <n v="3.9370078740157481"/>
    <n v="9"/>
    <n v="86400000"/>
    <n v="3.0511872047366144"/>
    <x v="0"/>
    <n v="90"/>
    <n v="4.5"/>
    <n v="5.4"/>
    <n v="12.6"/>
    <n v="54"/>
    <n v="76.5"/>
    <n v="47"/>
    <n v="19"/>
    <n v="19"/>
    <n v="9"/>
    <n v="4"/>
    <n v="5"/>
    <n v="11"/>
    <n v="45"/>
    <n v="65"/>
  </r>
  <r>
    <m/>
    <m/>
    <m/>
    <m/>
    <m/>
    <m/>
    <m/>
    <m/>
    <n v="22.883904035524608"/>
    <m/>
    <m/>
    <m/>
    <n v="0.33300000000000002"/>
    <n v="93"/>
    <n v="900"/>
    <n v="400"/>
    <n v="240"/>
    <n v="1200"/>
    <n v="1080"/>
    <n v="1200"/>
    <n v="5"/>
    <n v="1"/>
    <n v="2"/>
    <n v="5"/>
    <n v="10"/>
    <n v="139.84608021709482"/>
    <n v="3.9370078740157481"/>
    <n v="10"/>
    <n v="86400000"/>
    <n v="3.0511872047366144"/>
    <x v="0"/>
    <n v="100"/>
    <n v="5"/>
    <n v="6"/>
    <n v="14"/>
    <n v="60"/>
    <n v="85"/>
    <n v="47"/>
    <n v="19"/>
    <n v="19"/>
    <n v="9"/>
    <n v="5"/>
    <n v="6"/>
    <n v="13"/>
    <n v="54"/>
    <n v="78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6">
  <r>
    <x v="0"/>
    <s v="P81"/>
    <m/>
    <m/>
    <m/>
    <m/>
    <n v="10"/>
    <m/>
    <m/>
    <m/>
    <m/>
    <m/>
    <m/>
    <m/>
    <m/>
    <n v="10"/>
    <n v="0.83333333333333337"/>
  </r>
  <r>
    <x v="1"/>
    <s v="P05"/>
    <n v="400"/>
    <m/>
    <n v="551"/>
    <n v="503"/>
    <n v="437"/>
    <n v="907"/>
    <n v="350"/>
    <n v="757"/>
    <n v="504"/>
    <n v="402"/>
    <n v="744"/>
    <n v="832"/>
    <n v="404"/>
    <n v="6791"/>
    <n v="565.91666666666663"/>
  </r>
  <r>
    <x v="1"/>
    <s v="P41"/>
    <n v="460"/>
    <n v="302"/>
    <m/>
    <m/>
    <m/>
    <n v="681"/>
    <n v="353"/>
    <m/>
    <m/>
    <n v="202"/>
    <n v="917"/>
    <n v="746"/>
    <n v="705"/>
    <n v="4366"/>
    <n v="363.83333333333331"/>
  </r>
  <r>
    <x v="2"/>
    <s v="P01"/>
    <n v="1077"/>
    <n v="1105"/>
    <n v="700"/>
    <n v="685"/>
    <n v="710"/>
    <n v="1590"/>
    <n v="1061"/>
    <n v="1074"/>
    <n v="400"/>
    <n v="952"/>
    <n v="443"/>
    <n v="544"/>
    <n v="1206"/>
    <n v="11547"/>
    <n v="962.25"/>
  </r>
  <r>
    <x v="2"/>
    <s v="P80"/>
    <m/>
    <m/>
    <n v="881"/>
    <n v="200"/>
    <n v="850"/>
    <m/>
    <m/>
    <m/>
    <m/>
    <m/>
    <n v="100"/>
    <n v="470"/>
    <m/>
    <n v="2501"/>
    <n v="208.41666666666666"/>
  </r>
  <r>
    <x v="3"/>
    <s v="P45"/>
    <m/>
    <n v="300"/>
    <m/>
    <m/>
    <m/>
    <m/>
    <m/>
    <m/>
    <m/>
    <m/>
    <m/>
    <m/>
    <m/>
    <n v="300"/>
    <n v="25"/>
  </r>
  <r>
    <x v="4"/>
    <s v="P01"/>
    <n v="100"/>
    <n v="672"/>
    <n v="100"/>
    <n v="420"/>
    <m/>
    <n v="380"/>
    <n v="249"/>
    <n v="300"/>
    <n v="200"/>
    <n v="315"/>
    <n v="100"/>
    <n v="170"/>
    <n v="450"/>
    <n v="3456"/>
    <n v="288"/>
  </r>
  <r>
    <x v="4"/>
    <s v="P80"/>
    <m/>
    <m/>
    <n v="150"/>
    <m/>
    <m/>
    <m/>
    <m/>
    <m/>
    <n v="500"/>
    <m/>
    <n v="200"/>
    <n v="100"/>
    <m/>
    <n v="950"/>
    <n v="79.166666666666671"/>
  </r>
  <r>
    <x v="5"/>
    <s v="P02"/>
    <m/>
    <m/>
    <m/>
    <m/>
    <m/>
    <m/>
    <m/>
    <n v="4752"/>
    <m/>
    <m/>
    <m/>
    <m/>
    <m/>
    <n v="4752"/>
    <n v="396"/>
  </r>
  <r>
    <x v="5"/>
    <s v="P25"/>
    <n v="393"/>
    <m/>
    <m/>
    <m/>
    <m/>
    <m/>
    <m/>
    <n v="5601"/>
    <m/>
    <m/>
    <m/>
    <m/>
    <m/>
    <n v="5994"/>
    <n v="499.5"/>
  </r>
  <r>
    <x v="5"/>
    <s v="P26"/>
    <m/>
    <m/>
    <m/>
    <m/>
    <m/>
    <m/>
    <m/>
    <n v="8800"/>
    <m/>
    <m/>
    <m/>
    <m/>
    <m/>
    <n v="8800"/>
    <n v="733.33333333333337"/>
  </r>
  <r>
    <x v="5"/>
    <s v="P46"/>
    <m/>
    <m/>
    <m/>
    <m/>
    <m/>
    <m/>
    <m/>
    <n v="1270"/>
    <m/>
    <m/>
    <m/>
    <m/>
    <m/>
    <n v="1270"/>
    <n v="105.83333333333333"/>
  </r>
  <r>
    <x v="6"/>
    <s v="P05"/>
    <n v="2108"/>
    <n v="1356"/>
    <m/>
    <m/>
    <m/>
    <n v="1521"/>
    <n v="1278"/>
    <n v="2820"/>
    <n v="450"/>
    <n v="2693"/>
    <n v="1075"/>
    <n v="203"/>
    <n v="734"/>
    <n v="14238"/>
    <n v="1186.5"/>
  </r>
  <r>
    <x v="6"/>
    <s v="P28"/>
    <n v="765"/>
    <n v="840"/>
    <n v="770"/>
    <n v="180"/>
    <n v="370"/>
    <n v="890"/>
    <n v="855"/>
    <n v="830"/>
    <n v="190"/>
    <n v="810"/>
    <n v="100"/>
    <n v="670"/>
    <n v="860"/>
    <n v="8130"/>
    <n v="677.5"/>
  </r>
  <r>
    <x v="6"/>
    <s v="P41"/>
    <n v="100"/>
    <n v="100"/>
    <m/>
    <m/>
    <n v="300"/>
    <n v="410"/>
    <n v="200"/>
    <m/>
    <m/>
    <n v="376"/>
    <n v="100"/>
    <n v="323"/>
    <n v="116"/>
    <n v="2025"/>
    <n v="168.75"/>
  </r>
  <r>
    <x v="6"/>
    <s v="P80"/>
    <m/>
    <n v="2278"/>
    <n v="2395"/>
    <n v="2448"/>
    <n v="4831"/>
    <n v="1650"/>
    <m/>
    <m/>
    <n v="4399"/>
    <m/>
    <n v="5286"/>
    <n v="2940"/>
    <n v="1970"/>
    <n v="28197"/>
    <n v="2349.75"/>
  </r>
  <r>
    <x v="7"/>
    <s v="P02"/>
    <m/>
    <m/>
    <m/>
    <m/>
    <m/>
    <m/>
    <m/>
    <n v="980"/>
    <m/>
    <m/>
    <m/>
    <m/>
    <m/>
    <n v="980"/>
    <n v="81.666666666666671"/>
  </r>
  <r>
    <x v="8"/>
    <s v="P05"/>
    <n v="300"/>
    <m/>
    <m/>
    <m/>
    <m/>
    <m/>
    <m/>
    <m/>
    <m/>
    <m/>
    <m/>
    <m/>
    <m/>
    <n v="300"/>
    <n v="25"/>
  </r>
  <r>
    <x v="9"/>
    <s v="P01"/>
    <n v="200"/>
    <n v="320"/>
    <m/>
    <n v="752"/>
    <m/>
    <n v="748"/>
    <n v="300"/>
    <n v="750"/>
    <n v="300"/>
    <n v="350"/>
    <n v="50"/>
    <n v="200"/>
    <n v="250"/>
    <n v="4220"/>
    <n v="351.66666666666669"/>
  </r>
  <r>
    <x v="9"/>
    <s v="P45"/>
    <m/>
    <m/>
    <m/>
    <m/>
    <m/>
    <m/>
    <m/>
    <m/>
    <m/>
    <m/>
    <m/>
    <m/>
    <n v="310"/>
    <n v="310"/>
    <n v="25.833333333333332"/>
  </r>
  <r>
    <x v="9"/>
    <s v="P80"/>
    <m/>
    <m/>
    <m/>
    <n v="780"/>
    <n v="150"/>
    <m/>
    <m/>
    <m/>
    <m/>
    <m/>
    <n v="192"/>
    <n v="570"/>
    <m/>
    <n v="1692"/>
    <n v="141"/>
  </r>
  <r>
    <x v="10"/>
    <s v="P01"/>
    <n v="1533"/>
    <n v="1789"/>
    <n v="1153"/>
    <n v="150"/>
    <n v="625"/>
    <n v="2209"/>
    <n v="2231"/>
    <n v="1203"/>
    <n v="1330"/>
    <n v="1893"/>
    <n v="985"/>
    <n v="690"/>
    <n v="1369"/>
    <n v="17160"/>
    <n v="1430"/>
  </r>
  <r>
    <x v="10"/>
    <s v="P80"/>
    <m/>
    <m/>
    <n v="840"/>
    <n v="1265"/>
    <n v="920"/>
    <m/>
    <m/>
    <m/>
    <n v="425"/>
    <m/>
    <n v="660"/>
    <n v="400"/>
    <m/>
    <n v="4510"/>
    <n v="375.83333333333331"/>
  </r>
  <r>
    <x v="11"/>
    <s v="P04"/>
    <m/>
    <m/>
    <m/>
    <m/>
    <m/>
    <m/>
    <m/>
    <n v="200"/>
    <m/>
    <m/>
    <m/>
    <m/>
    <m/>
    <n v="200"/>
    <n v="16.666666666666668"/>
  </r>
  <r>
    <x v="11"/>
    <s v="P81"/>
    <n v="548"/>
    <m/>
    <m/>
    <m/>
    <m/>
    <m/>
    <m/>
    <n v="206"/>
    <m/>
    <m/>
    <m/>
    <m/>
    <m/>
    <n v="754"/>
    <n v="62.833333333333336"/>
  </r>
  <r>
    <x v="12"/>
    <s v="P20"/>
    <m/>
    <m/>
    <m/>
    <m/>
    <m/>
    <m/>
    <m/>
    <n v="2116"/>
    <m/>
    <m/>
    <m/>
    <m/>
    <m/>
    <n v="2116"/>
    <n v="176.33333333333334"/>
  </r>
  <r>
    <x v="13"/>
    <s v="P01"/>
    <n v="1890"/>
    <n v="4180"/>
    <n v="6288"/>
    <n v="4840"/>
    <n v="4490"/>
    <n v="4657"/>
    <n v="3833"/>
    <n v="3123"/>
    <n v="3280"/>
    <n v="4026"/>
    <n v="3991"/>
    <n v="4652"/>
    <n v="5200"/>
    <n v="54450"/>
    <n v="4537.5"/>
  </r>
  <r>
    <x v="13"/>
    <s v="P02"/>
    <m/>
    <n v="440"/>
    <n v="650"/>
    <n v="1300"/>
    <n v="770"/>
    <n v="885"/>
    <n v="502"/>
    <m/>
    <n v="1052"/>
    <n v="260"/>
    <n v="685"/>
    <n v="613"/>
    <n v="600"/>
    <n v="7757"/>
    <n v="646.41666666666663"/>
  </r>
  <r>
    <x v="13"/>
    <s v="P04"/>
    <m/>
    <n v="50"/>
    <n v="100"/>
    <m/>
    <n v="100"/>
    <m/>
    <m/>
    <n v="140"/>
    <n v="200"/>
    <n v="221"/>
    <m/>
    <m/>
    <n v="220"/>
    <n v="1031"/>
    <n v="85.916666666666671"/>
  </r>
  <r>
    <x v="13"/>
    <s v="P25"/>
    <m/>
    <m/>
    <m/>
    <m/>
    <m/>
    <m/>
    <m/>
    <m/>
    <n v="50"/>
    <m/>
    <m/>
    <m/>
    <m/>
    <n v="50"/>
    <n v="4.166666666666667"/>
  </r>
  <r>
    <x v="13"/>
    <s v="P80"/>
    <m/>
    <m/>
    <n v="720"/>
    <n v="350"/>
    <n v="120"/>
    <m/>
    <m/>
    <m/>
    <m/>
    <m/>
    <n v="960"/>
    <n v="1280"/>
    <m/>
    <n v="3430"/>
    <n v="285.83333333333331"/>
  </r>
  <r>
    <x v="14"/>
    <s v="P01"/>
    <n v="380"/>
    <n v="650"/>
    <m/>
    <n v="600"/>
    <m/>
    <n v="745"/>
    <n v="267"/>
    <n v="460"/>
    <n v="620"/>
    <n v="250"/>
    <m/>
    <n v="140"/>
    <n v="400"/>
    <n v="4512"/>
    <n v="376"/>
  </r>
  <r>
    <x v="14"/>
    <s v="P25"/>
    <m/>
    <m/>
    <m/>
    <m/>
    <m/>
    <m/>
    <m/>
    <m/>
    <m/>
    <m/>
    <n v="200"/>
    <m/>
    <m/>
    <n v="200"/>
    <n v="16.666666666666668"/>
  </r>
  <r>
    <x v="14"/>
    <s v="P80"/>
    <m/>
    <m/>
    <n v="255"/>
    <n v="170"/>
    <m/>
    <m/>
    <m/>
    <m/>
    <m/>
    <m/>
    <m/>
    <n v="300"/>
    <m/>
    <n v="725"/>
    <n v="60.416666666666664"/>
  </r>
  <r>
    <x v="15"/>
    <s v="P01"/>
    <m/>
    <m/>
    <n v="140"/>
    <m/>
    <m/>
    <m/>
    <m/>
    <n v="50"/>
    <m/>
    <n v="70"/>
    <m/>
    <m/>
    <m/>
    <n v="260"/>
    <n v="21.666666666666668"/>
  </r>
  <r>
    <x v="15"/>
    <s v="P20"/>
    <n v="250"/>
    <n v="669"/>
    <n v="750"/>
    <n v="820"/>
    <n v="795"/>
    <n v="708"/>
    <n v="485"/>
    <n v="150"/>
    <n v="745"/>
    <n v="255"/>
    <n v="214"/>
    <n v="615"/>
    <n v="1200"/>
    <n v="7656"/>
    <n v="638"/>
  </r>
  <r>
    <x v="16"/>
    <s v="P20"/>
    <n v="101"/>
    <n v="180"/>
    <n v="374"/>
    <m/>
    <m/>
    <n v="90"/>
    <n v="100"/>
    <m/>
    <n v="40"/>
    <n v="150"/>
    <n v="93"/>
    <n v="130"/>
    <m/>
    <n v="1258"/>
    <n v="104.83333333333333"/>
  </r>
  <r>
    <x v="16"/>
    <s v="P45"/>
    <m/>
    <m/>
    <m/>
    <m/>
    <m/>
    <m/>
    <m/>
    <m/>
    <m/>
    <m/>
    <m/>
    <m/>
    <n v="379"/>
    <n v="379"/>
    <n v="31.583333333333332"/>
  </r>
  <r>
    <x v="17"/>
    <s v="P03"/>
    <m/>
    <n v="5006"/>
    <m/>
    <m/>
    <m/>
    <m/>
    <m/>
    <m/>
    <m/>
    <m/>
    <m/>
    <m/>
    <m/>
    <n v="5006"/>
    <n v="417.16666666666669"/>
  </r>
  <r>
    <x v="18"/>
    <s v="P03"/>
    <m/>
    <n v="1495"/>
    <m/>
    <m/>
    <m/>
    <m/>
    <m/>
    <m/>
    <m/>
    <m/>
    <m/>
    <m/>
    <m/>
    <n v="1495"/>
    <n v="124.58333333333333"/>
  </r>
  <r>
    <x v="19"/>
    <s v="P03"/>
    <m/>
    <n v="800"/>
    <m/>
    <m/>
    <m/>
    <m/>
    <m/>
    <m/>
    <m/>
    <m/>
    <m/>
    <m/>
    <m/>
    <n v="800"/>
    <n v="66.666666666666671"/>
  </r>
  <r>
    <x v="20"/>
    <s v="P03"/>
    <m/>
    <n v="1482"/>
    <m/>
    <m/>
    <m/>
    <m/>
    <m/>
    <m/>
    <m/>
    <m/>
    <m/>
    <m/>
    <m/>
    <n v="1482"/>
    <n v="123.5"/>
  </r>
  <r>
    <x v="21"/>
    <s v="P01"/>
    <n v="1417"/>
    <n v="1410"/>
    <n v="560"/>
    <n v="956"/>
    <n v="570"/>
    <n v="2029"/>
    <n v="2061"/>
    <n v="1441"/>
    <n v="310"/>
    <n v="2146"/>
    <n v="725"/>
    <n v="1142"/>
    <n v="1494"/>
    <n v="16261"/>
    <n v="1355.0833333333333"/>
  </r>
  <r>
    <x v="21"/>
    <s v="P03"/>
    <n v="100"/>
    <n v="150"/>
    <n v="130"/>
    <n v="150"/>
    <n v="160"/>
    <n v="220"/>
    <n v="100"/>
    <n v="205"/>
    <m/>
    <n v="270"/>
    <n v="200"/>
    <n v="300"/>
    <n v="200"/>
    <n v="2185"/>
    <n v="182.08333333333334"/>
  </r>
  <r>
    <x v="21"/>
    <s v="P20"/>
    <m/>
    <n v="192"/>
    <n v="200"/>
    <n v="130"/>
    <n v="515"/>
    <m/>
    <n v="200"/>
    <m/>
    <n v="230"/>
    <m/>
    <n v="360"/>
    <n v="100"/>
    <m/>
    <n v="1927"/>
    <n v="160.58333333333334"/>
  </r>
  <r>
    <x v="21"/>
    <s v="P80"/>
    <m/>
    <m/>
    <n v="400"/>
    <n v="150"/>
    <n v="475"/>
    <m/>
    <m/>
    <m/>
    <m/>
    <m/>
    <n v="884"/>
    <n v="565"/>
    <m/>
    <n v="2474"/>
    <n v="206.16666666666666"/>
  </r>
  <r>
    <x v="22"/>
    <s v="P41"/>
    <m/>
    <m/>
    <m/>
    <m/>
    <m/>
    <m/>
    <m/>
    <n v="879"/>
    <m/>
    <m/>
    <m/>
    <m/>
    <m/>
    <n v="879"/>
    <n v="73.25"/>
  </r>
  <r>
    <x v="23"/>
    <s v="P02"/>
    <m/>
    <m/>
    <m/>
    <m/>
    <m/>
    <m/>
    <m/>
    <n v="2500"/>
    <m/>
    <m/>
    <m/>
    <m/>
    <m/>
    <n v="2500"/>
    <n v="208.33333333333334"/>
  </r>
  <r>
    <x v="23"/>
    <s v="P46"/>
    <m/>
    <m/>
    <m/>
    <m/>
    <m/>
    <m/>
    <m/>
    <n v="540"/>
    <m/>
    <m/>
    <m/>
    <m/>
    <m/>
    <n v="540"/>
    <n v="45"/>
  </r>
  <r>
    <x v="24"/>
    <s v="P25"/>
    <n v="270"/>
    <m/>
    <m/>
    <m/>
    <m/>
    <m/>
    <m/>
    <m/>
    <m/>
    <n v="598"/>
    <m/>
    <m/>
    <m/>
    <n v="868"/>
    <n v="72.333333333333329"/>
  </r>
  <r>
    <x v="25"/>
    <s v="P25"/>
    <n v="322"/>
    <m/>
    <m/>
    <m/>
    <m/>
    <m/>
    <m/>
    <n v="1205"/>
    <m/>
    <m/>
    <m/>
    <m/>
    <m/>
    <n v="1527"/>
    <n v="127.25"/>
  </r>
  <r>
    <x v="26"/>
    <s v="P01"/>
    <n v="100"/>
    <m/>
    <m/>
    <m/>
    <m/>
    <n v="102"/>
    <n v="166"/>
    <n v="320"/>
    <m/>
    <n v="200"/>
    <m/>
    <m/>
    <m/>
    <n v="888"/>
    <n v="74"/>
  </r>
  <r>
    <x v="26"/>
    <s v="P02"/>
    <m/>
    <m/>
    <m/>
    <m/>
    <m/>
    <m/>
    <m/>
    <n v="1247"/>
    <m/>
    <m/>
    <m/>
    <m/>
    <m/>
    <n v="1247"/>
    <n v="103.91666666666667"/>
  </r>
  <r>
    <x v="26"/>
    <s v="P25"/>
    <n v="1926"/>
    <m/>
    <m/>
    <m/>
    <m/>
    <m/>
    <m/>
    <n v="14113"/>
    <m/>
    <m/>
    <m/>
    <m/>
    <m/>
    <n v="16039"/>
    <n v="1336.5833333333333"/>
  </r>
  <r>
    <x v="26"/>
    <s v="P38"/>
    <m/>
    <m/>
    <m/>
    <m/>
    <m/>
    <m/>
    <m/>
    <n v="200"/>
    <m/>
    <m/>
    <m/>
    <m/>
    <m/>
    <n v="200"/>
    <n v="16.666666666666668"/>
  </r>
  <r>
    <x v="26"/>
    <s v="P46"/>
    <m/>
    <m/>
    <m/>
    <m/>
    <m/>
    <m/>
    <m/>
    <n v="350"/>
    <m/>
    <m/>
    <m/>
    <m/>
    <m/>
    <n v="350"/>
    <n v="29.166666666666668"/>
  </r>
  <r>
    <x v="26"/>
    <s v="P81"/>
    <m/>
    <m/>
    <m/>
    <m/>
    <m/>
    <m/>
    <m/>
    <n v="500"/>
    <m/>
    <m/>
    <m/>
    <m/>
    <m/>
    <n v="500"/>
    <n v="41.666666666666664"/>
  </r>
  <r>
    <x v="27"/>
    <s v="P25"/>
    <n v="498"/>
    <m/>
    <m/>
    <m/>
    <m/>
    <m/>
    <m/>
    <n v="922"/>
    <m/>
    <m/>
    <m/>
    <m/>
    <m/>
    <n v="1420"/>
    <n v="118.33333333333333"/>
  </r>
  <r>
    <x v="28"/>
    <s v="P01"/>
    <n v="40"/>
    <m/>
    <m/>
    <m/>
    <m/>
    <n v="50"/>
    <m/>
    <n v="90"/>
    <m/>
    <n v="110"/>
    <m/>
    <m/>
    <m/>
    <n v="290"/>
    <n v="24.166666666666668"/>
  </r>
  <r>
    <x v="28"/>
    <s v="P02"/>
    <m/>
    <m/>
    <m/>
    <m/>
    <m/>
    <m/>
    <m/>
    <n v="537"/>
    <m/>
    <m/>
    <m/>
    <m/>
    <m/>
    <n v="537"/>
    <n v="44.75"/>
  </r>
  <r>
    <x v="28"/>
    <s v="P25"/>
    <n v="218"/>
    <m/>
    <m/>
    <m/>
    <m/>
    <m/>
    <m/>
    <n v="694"/>
    <m/>
    <m/>
    <m/>
    <m/>
    <m/>
    <n v="912"/>
    <n v="76"/>
  </r>
  <r>
    <x v="28"/>
    <s v="P46"/>
    <m/>
    <m/>
    <m/>
    <m/>
    <m/>
    <m/>
    <m/>
    <n v="521"/>
    <m/>
    <m/>
    <m/>
    <m/>
    <m/>
    <n v="521"/>
    <n v="43.416666666666664"/>
  </r>
  <r>
    <x v="29"/>
    <s v="P20"/>
    <m/>
    <n v="100"/>
    <m/>
    <m/>
    <m/>
    <m/>
    <m/>
    <m/>
    <n v="500"/>
    <m/>
    <m/>
    <m/>
    <m/>
    <n v="600"/>
    <n v="50"/>
  </r>
  <r>
    <x v="30"/>
    <s v="P04"/>
    <m/>
    <n v="350"/>
    <n v="666"/>
    <n v="300"/>
    <n v="350"/>
    <m/>
    <m/>
    <m/>
    <n v="450"/>
    <m/>
    <n v="210"/>
    <n v="397"/>
    <n v="520"/>
    <n v="3243"/>
    <n v="270.25"/>
  </r>
  <r>
    <x v="31"/>
    <s v="P20"/>
    <n v="53"/>
    <n v="100"/>
    <n v="355"/>
    <m/>
    <n v="340"/>
    <n v="185"/>
    <n v="344"/>
    <m/>
    <n v="206"/>
    <n v="301"/>
    <n v="302"/>
    <n v="441"/>
    <m/>
    <n v="2627"/>
    <n v="218.91666666666666"/>
  </r>
  <r>
    <x v="32"/>
    <s v="P05"/>
    <n v="50"/>
    <n v="252"/>
    <m/>
    <m/>
    <m/>
    <n v="415"/>
    <m/>
    <m/>
    <m/>
    <m/>
    <m/>
    <m/>
    <m/>
    <n v="717"/>
    <n v="59.75"/>
  </r>
  <r>
    <x v="32"/>
    <s v="P41"/>
    <n v="250"/>
    <n v="485"/>
    <m/>
    <n v="249"/>
    <n v="347"/>
    <m/>
    <n v="394"/>
    <m/>
    <m/>
    <n v="462"/>
    <n v="338"/>
    <n v="578"/>
    <n v="227"/>
    <n v="3330"/>
    <n v="277.5"/>
  </r>
  <r>
    <x v="32"/>
    <s v="P80"/>
    <m/>
    <m/>
    <n v="605"/>
    <n v="500"/>
    <n v="310"/>
    <m/>
    <m/>
    <m/>
    <n v="769"/>
    <m/>
    <m/>
    <n v="310"/>
    <m/>
    <n v="2494"/>
    <n v="207.83333333333334"/>
  </r>
  <r>
    <x v="33"/>
    <s v="P01"/>
    <m/>
    <n v="110"/>
    <n v="110"/>
    <n v="121"/>
    <n v="100"/>
    <n v="210"/>
    <n v="60"/>
    <m/>
    <n v="160"/>
    <n v="50"/>
    <n v="160"/>
    <n v="102"/>
    <n v="60"/>
    <n v="1243"/>
    <n v="103.58333333333333"/>
  </r>
  <r>
    <x v="33"/>
    <s v="P02"/>
    <n v="265"/>
    <n v="244"/>
    <n v="67"/>
    <n v="81"/>
    <n v="404"/>
    <n v="533"/>
    <n v="288"/>
    <m/>
    <n v="285"/>
    <n v="122"/>
    <n v="183"/>
    <n v="429"/>
    <n v="406"/>
    <n v="3307"/>
    <n v="275.58333333333331"/>
  </r>
  <r>
    <x v="33"/>
    <s v="P25"/>
    <n v="160"/>
    <n v="602"/>
    <m/>
    <m/>
    <n v="287"/>
    <n v="365"/>
    <n v="286"/>
    <m/>
    <n v="358"/>
    <n v="688"/>
    <n v="593"/>
    <m/>
    <n v="715"/>
    <n v="4054"/>
    <n v="337.83333333333331"/>
  </r>
  <r>
    <x v="33"/>
    <s v="P46"/>
    <n v="360"/>
    <n v="1049"/>
    <n v="1330"/>
    <n v="810"/>
    <n v="950"/>
    <n v="1028"/>
    <n v="1104"/>
    <m/>
    <n v="1040"/>
    <n v="206"/>
    <n v="1040"/>
    <n v="1037"/>
    <n v="980"/>
    <n v="10934"/>
    <n v="911.16666666666663"/>
  </r>
  <r>
    <x v="34"/>
    <s v="P20"/>
    <m/>
    <n v="101"/>
    <n v="390"/>
    <n v="144"/>
    <n v="100"/>
    <m/>
    <n v="161"/>
    <m/>
    <n v="258"/>
    <n v="103"/>
    <n v="96"/>
    <m/>
    <m/>
    <n v="1353"/>
    <n v="112.75"/>
  </r>
  <r>
    <x v="35"/>
    <s v="P41"/>
    <n v="65"/>
    <n v="297"/>
    <n v="111"/>
    <n v="220"/>
    <n v="228"/>
    <n v="251"/>
    <n v="474"/>
    <m/>
    <n v="102"/>
    <n v="248"/>
    <n v="126"/>
    <n v="260"/>
    <n v="193"/>
    <n v="2575"/>
    <n v="214.58333333333334"/>
  </r>
  <r>
    <x v="36"/>
    <s v="P01"/>
    <n v="100"/>
    <n v="54"/>
    <n v="72"/>
    <n v="101"/>
    <n v="90"/>
    <m/>
    <n v="102"/>
    <m/>
    <n v="112"/>
    <n v="70"/>
    <n v="102"/>
    <n v="102"/>
    <n v="71"/>
    <n v="976"/>
    <n v="81.333333333333329"/>
  </r>
  <r>
    <x v="37"/>
    <s v="P25"/>
    <m/>
    <n v="105"/>
    <m/>
    <m/>
    <n v="100"/>
    <n v="35"/>
    <n v="12"/>
    <m/>
    <m/>
    <m/>
    <m/>
    <m/>
    <m/>
    <n v="252"/>
    <n v="21"/>
  </r>
  <r>
    <x v="37"/>
    <s v="P41"/>
    <m/>
    <m/>
    <m/>
    <m/>
    <m/>
    <m/>
    <m/>
    <m/>
    <m/>
    <m/>
    <m/>
    <n v="70"/>
    <m/>
    <n v="70"/>
    <n v="5.833333333333333"/>
  </r>
  <r>
    <x v="38"/>
    <s v="P04"/>
    <m/>
    <n v="200"/>
    <n v="100"/>
    <n v="224"/>
    <n v="160"/>
    <m/>
    <m/>
    <m/>
    <m/>
    <m/>
    <n v="100"/>
    <n v="250"/>
    <m/>
    <n v="1034"/>
    <n v="86.166666666666671"/>
  </r>
  <r>
    <x v="38"/>
    <s v="P05"/>
    <m/>
    <n v="260"/>
    <n v="600"/>
    <n v="522"/>
    <n v="300"/>
    <n v="58"/>
    <n v="500"/>
    <m/>
    <n v="400"/>
    <n v="305"/>
    <m/>
    <n v="350"/>
    <n v="441"/>
    <n v="3736"/>
    <n v="311.33333333333331"/>
  </r>
  <r>
    <x v="38"/>
    <s v="P28"/>
    <n v="3677"/>
    <n v="5150"/>
    <n v="3000"/>
    <n v="2740"/>
    <n v="2850"/>
    <n v="5400"/>
    <n v="5080"/>
    <m/>
    <n v="2100"/>
    <n v="4840"/>
    <n v="1763"/>
    <n v="3728"/>
    <n v="4400"/>
    <n v="44728"/>
    <n v="3727.3333333333335"/>
  </r>
  <r>
    <x v="38"/>
    <s v="P41"/>
    <m/>
    <n v="200"/>
    <n v="250"/>
    <m/>
    <n v="100"/>
    <n v="90"/>
    <n v="142"/>
    <m/>
    <n v="200"/>
    <n v="200"/>
    <m/>
    <m/>
    <m/>
    <n v="1182"/>
    <n v="98.5"/>
  </r>
  <r>
    <x v="38"/>
    <s v="P80"/>
    <m/>
    <m/>
    <n v="1200"/>
    <n v="2000"/>
    <n v="1314"/>
    <m/>
    <m/>
    <m/>
    <n v="600"/>
    <m/>
    <n v="500"/>
    <m/>
    <m/>
    <n v="5614"/>
    <n v="467.83333333333331"/>
  </r>
  <r>
    <x v="39"/>
    <s v="P02"/>
    <n v="3730"/>
    <n v="3282"/>
    <n v="4200"/>
    <n v="4400"/>
    <n v="4250"/>
    <n v="4750"/>
    <n v="4904"/>
    <m/>
    <n v="4500"/>
    <n v="5090"/>
    <n v="3100"/>
    <n v="3650"/>
    <n v="4255"/>
    <n v="50111"/>
    <n v="4175.916666666667"/>
  </r>
  <r>
    <x v="39"/>
    <s v="P25"/>
    <n v="3650"/>
    <n v="5383"/>
    <n v="4983"/>
    <n v="6138"/>
    <n v="5574"/>
    <n v="4731"/>
    <n v="5242"/>
    <m/>
    <n v="5005"/>
    <n v="6112"/>
    <n v="5443"/>
    <n v="4519"/>
    <n v="5068"/>
    <n v="61848"/>
    <n v="5154"/>
  </r>
  <r>
    <x v="39"/>
    <s v="P26"/>
    <n v="8000"/>
    <n v="10150"/>
    <n v="10600"/>
    <n v="8100"/>
    <n v="9100"/>
    <n v="9800"/>
    <n v="11500"/>
    <m/>
    <n v="9550"/>
    <n v="10500"/>
    <n v="5950"/>
    <n v="11307"/>
    <n v="9150"/>
    <n v="113707"/>
    <n v="9475.5833333333339"/>
  </r>
  <r>
    <x v="39"/>
    <s v="P46"/>
    <n v="570"/>
    <n v="1340"/>
    <n v="1977"/>
    <n v="2150"/>
    <n v="1955"/>
    <n v="1900"/>
    <n v="2190"/>
    <m/>
    <n v="2650"/>
    <n v="750"/>
    <n v="2760"/>
    <n v="1550"/>
    <n v="1500"/>
    <n v="21292"/>
    <n v="1774.3333333333333"/>
  </r>
  <r>
    <x v="39"/>
    <s v="P81"/>
    <m/>
    <n v="60"/>
    <n v="750"/>
    <m/>
    <n v="500"/>
    <n v="250"/>
    <n v="210"/>
    <m/>
    <n v="650"/>
    <n v="200"/>
    <n v="200"/>
    <n v="350"/>
    <n v="250"/>
    <n v="3420"/>
    <n v="285"/>
  </r>
  <r>
    <x v="40"/>
    <s v="P01"/>
    <n v="100"/>
    <n v="100"/>
    <m/>
    <m/>
    <n v="100"/>
    <m/>
    <n v="150"/>
    <m/>
    <n v="100"/>
    <m/>
    <n v="100"/>
    <m/>
    <m/>
    <n v="650"/>
    <n v="54.166666666666664"/>
  </r>
  <r>
    <x v="40"/>
    <s v="P02"/>
    <n v="576"/>
    <n v="1010"/>
    <n v="1850"/>
    <n v="1900"/>
    <n v="1300"/>
    <n v="880"/>
    <n v="1243"/>
    <m/>
    <n v="1000"/>
    <n v="1400"/>
    <n v="850"/>
    <n v="900"/>
    <n v="1585"/>
    <n v="14494"/>
    <n v="1207.8333333333333"/>
  </r>
  <r>
    <x v="40"/>
    <s v="P05"/>
    <n v="300"/>
    <n v="1180"/>
    <n v="550"/>
    <n v="1310"/>
    <n v="876"/>
    <n v="1478"/>
    <n v="1162"/>
    <m/>
    <n v="890"/>
    <n v="1248"/>
    <n v="647"/>
    <n v="2032"/>
    <n v="750"/>
    <n v="12423"/>
    <n v="1035.25"/>
  </r>
  <r>
    <x v="40"/>
    <s v="P20"/>
    <n v="100"/>
    <n v="200"/>
    <n v="262"/>
    <n v="495"/>
    <m/>
    <n v="200"/>
    <m/>
    <m/>
    <n v="650"/>
    <m/>
    <n v="700"/>
    <n v="140"/>
    <n v="350"/>
    <n v="3097"/>
    <n v="258.08333333333331"/>
  </r>
  <r>
    <x v="40"/>
    <s v="P25"/>
    <n v="700"/>
    <n v="600"/>
    <n v="500"/>
    <n v="1125"/>
    <n v="800"/>
    <n v="1128"/>
    <n v="910"/>
    <m/>
    <n v="1092"/>
    <n v="2095"/>
    <n v="856"/>
    <n v="100"/>
    <n v="600"/>
    <n v="10506"/>
    <n v="875.5"/>
  </r>
  <r>
    <x v="40"/>
    <s v="P26"/>
    <m/>
    <n v="500"/>
    <m/>
    <m/>
    <m/>
    <n v="1003"/>
    <n v="400"/>
    <m/>
    <m/>
    <n v="890"/>
    <m/>
    <m/>
    <n v="100"/>
    <n v="2893"/>
    <n v="241.08333333333334"/>
  </r>
  <r>
    <x v="40"/>
    <s v="P28"/>
    <n v="550"/>
    <n v="1100"/>
    <n v="400"/>
    <n v="500"/>
    <n v="460"/>
    <n v="832"/>
    <n v="790"/>
    <m/>
    <n v="210"/>
    <n v="570"/>
    <n v="350"/>
    <n v="350"/>
    <n v="860"/>
    <n v="6972"/>
    <n v="581"/>
  </r>
  <r>
    <x v="40"/>
    <s v="P46"/>
    <n v="241"/>
    <n v="200"/>
    <n v="250"/>
    <n v="286"/>
    <n v="250"/>
    <n v="350"/>
    <n v="400"/>
    <m/>
    <n v="680"/>
    <n v="250"/>
    <n v="200"/>
    <n v="150"/>
    <n v="300"/>
    <n v="3557"/>
    <n v="296.41666666666669"/>
  </r>
  <r>
    <x v="40"/>
    <s v="P80"/>
    <m/>
    <n v="450"/>
    <n v="1588"/>
    <n v="1540"/>
    <n v="1755"/>
    <m/>
    <m/>
    <m/>
    <n v="2734"/>
    <m/>
    <n v="1870"/>
    <n v="500"/>
    <n v="200"/>
    <n v="10637"/>
    <n v="886.41666666666663"/>
  </r>
  <r>
    <x v="40"/>
    <s v="P81"/>
    <m/>
    <n v="150"/>
    <n v="50"/>
    <n v="50"/>
    <n v="200"/>
    <n v="200"/>
    <n v="100"/>
    <m/>
    <n v="100"/>
    <n v="153"/>
    <n v="150"/>
    <n v="200"/>
    <n v="100"/>
    <n v="1453"/>
    <n v="121.08333333333333"/>
  </r>
  <r>
    <x v="41"/>
    <s v="P02"/>
    <n v="900"/>
    <n v="1000"/>
    <n v="1200"/>
    <n v="1100"/>
    <n v="1053"/>
    <n v="1372"/>
    <n v="950"/>
    <m/>
    <n v="1500"/>
    <n v="1563"/>
    <n v="800"/>
    <n v="750"/>
    <n v="1452"/>
    <n v="13640"/>
    <n v="1136.6666666666667"/>
  </r>
  <r>
    <x v="41"/>
    <s v="P25"/>
    <m/>
    <n v="946"/>
    <n v="468"/>
    <n v="647"/>
    <n v="388"/>
    <n v="368"/>
    <n v="501"/>
    <m/>
    <m/>
    <m/>
    <n v="530"/>
    <n v="100"/>
    <n v="1242"/>
    <n v="5190"/>
    <n v="432.5"/>
  </r>
  <r>
    <x v="41"/>
    <s v="P81"/>
    <m/>
    <m/>
    <n v="200"/>
    <m/>
    <m/>
    <n v="50"/>
    <m/>
    <m/>
    <n v="110"/>
    <n v="50"/>
    <n v="300"/>
    <n v="50"/>
    <n v="50"/>
    <n v="810"/>
    <n v="67.5"/>
  </r>
  <r>
    <x v="42"/>
    <s v="P20"/>
    <m/>
    <m/>
    <m/>
    <m/>
    <m/>
    <m/>
    <m/>
    <m/>
    <n v="1139"/>
    <n v="493"/>
    <m/>
    <m/>
    <m/>
    <n v="1632"/>
    <n v="136"/>
  </r>
  <r>
    <x v="43"/>
    <s v="P20"/>
    <n v="1840"/>
    <n v="2697"/>
    <n v="2285"/>
    <n v="2084"/>
    <n v="1390"/>
    <n v="325"/>
    <n v="1564"/>
    <m/>
    <n v="1587"/>
    <n v="1381"/>
    <n v="1905"/>
    <n v="1926"/>
    <n v="1494"/>
    <n v="20478"/>
    <n v="1706.5"/>
  </r>
  <r>
    <x v="44"/>
    <s v="P04"/>
    <m/>
    <n v="310"/>
    <n v="90"/>
    <n v="250"/>
    <n v="160"/>
    <n v="450"/>
    <n v="263"/>
    <m/>
    <m/>
    <n v="450"/>
    <n v="250"/>
    <n v="235"/>
    <n v="296"/>
    <n v="2754"/>
    <n v="229.5"/>
  </r>
  <r>
    <x v="44"/>
    <s v="P20"/>
    <n v="620"/>
    <n v="1773"/>
    <n v="1710"/>
    <n v="1175"/>
    <n v="1083"/>
    <n v="3198"/>
    <n v="2396"/>
    <m/>
    <n v="748"/>
    <n v="1958"/>
    <n v="1602"/>
    <n v="1261"/>
    <n v="1005"/>
    <n v="18529"/>
    <n v="1544.0833333333333"/>
  </r>
  <r>
    <x v="44"/>
    <s v="P81"/>
    <m/>
    <n v="170"/>
    <n v="53"/>
    <n v="200"/>
    <n v="300"/>
    <n v="100"/>
    <n v="100"/>
    <m/>
    <n v="400"/>
    <n v="280"/>
    <n v="250"/>
    <n v="300"/>
    <n v="100"/>
    <n v="2253"/>
    <n v="187.75"/>
  </r>
  <r>
    <x v="45"/>
    <s v="P03"/>
    <m/>
    <m/>
    <m/>
    <n v="30"/>
    <m/>
    <m/>
    <m/>
    <m/>
    <m/>
    <m/>
    <m/>
    <m/>
    <m/>
    <n v="30"/>
    <n v="2.5"/>
  </r>
  <r>
    <x v="45"/>
    <s v="P04"/>
    <n v="1523"/>
    <n v="2025"/>
    <n v="1988"/>
    <n v="1843"/>
    <n v="2284"/>
    <n v="1521"/>
    <n v="1466"/>
    <m/>
    <n v="2303"/>
    <n v="2547"/>
    <n v="1487"/>
    <n v="1265"/>
    <n v="1995"/>
    <n v="22247"/>
    <n v="1853.9166666666667"/>
  </r>
  <r>
    <x v="46"/>
    <s v="P45"/>
    <n v="4068"/>
    <n v="1300"/>
    <n v="2107"/>
    <n v="1192"/>
    <n v="1090"/>
    <n v="1414"/>
    <n v="2398"/>
    <m/>
    <n v="1440"/>
    <n v="2540"/>
    <n v="1175"/>
    <n v="600"/>
    <n v="1030"/>
    <n v="20354"/>
    <n v="1696.1666666666667"/>
  </r>
  <r>
    <x v="47"/>
    <s v="P41"/>
    <m/>
    <n v="90"/>
    <m/>
    <m/>
    <n v="106"/>
    <m/>
    <m/>
    <m/>
    <m/>
    <m/>
    <n v="200"/>
    <n v="253"/>
    <m/>
    <n v="649"/>
    <n v="54.083333333333336"/>
  </r>
  <r>
    <x v="48"/>
    <s v="P04"/>
    <n v="1308"/>
    <n v="1106"/>
    <n v="2196"/>
    <n v="2636"/>
    <n v="2573"/>
    <n v="1550"/>
    <n v="1810"/>
    <m/>
    <n v="2250"/>
    <n v="2121"/>
    <n v="1568"/>
    <n v="1219"/>
    <n v="1759"/>
    <n v="22096"/>
    <n v="1841.3333333333333"/>
  </r>
  <r>
    <x v="49"/>
    <s v="P04"/>
    <n v="795"/>
    <n v="564"/>
    <n v="870"/>
    <n v="1329"/>
    <n v="1117"/>
    <n v="1380"/>
    <n v="1024"/>
    <m/>
    <n v="922"/>
    <n v="1145"/>
    <n v="868"/>
    <n v="730"/>
    <n v="660"/>
    <n v="11404"/>
    <n v="950.33333333333337"/>
  </r>
  <r>
    <x v="50"/>
    <s v="P03"/>
    <m/>
    <m/>
    <m/>
    <n v="30"/>
    <m/>
    <m/>
    <m/>
    <m/>
    <m/>
    <m/>
    <m/>
    <m/>
    <m/>
    <n v="30"/>
    <n v="2.5"/>
  </r>
  <r>
    <x v="50"/>
    <s v="P05"/>
    <n v="775"/>
    <n v="2124"/>
    <n v="1025"/>
    <n v="2004"/>
    <n v="799"/>
    <n v="2452"/>
    <n v="1058"/>
    <m/>
    <n v="785"/>
    <n v="1935"/>
    <n v="1456"/>
    <n v="2006"/>
    <n v="1739"/>
    <n v="18158"/>
    <n v="1513.1666666666667"/>
  </r>
  <r>
    <x v="50"/>
    <s v="P20"/>
    <n v="200"/>
    <n v="300"/>
    <n v="403"/>
    <n v="300"/>
    <n v="300"/>
    <m/>
    <n v="453"/>
    <m/>
    <n v="400"/>
    <n v="380"/>
    <n v="310"/>
    <n v="390"/>
    <n v="120"/>
    <n v="3556"/>
    <n v="296.33333333333331"/>
  </r>
  <r>
    <x v="50"/>
    <s v="P28"/>
    <n v="100"/>
    <m/>
    <n v="50"/>
    <m/>
    <n v="100"/>
    <m/>
    <n v="100"/>
    <m/>
    <m/>
    <m/>
    <n v="100"/>
    <n v="50"/>
    <n v="50"/>
    <n v="550"/>
    <n v="45.833333333333336"/>
  </r>
  <r>
    <x v="50"/>
    <s v="P41"/>
    <n v="300"/>
    <n v="760"/>
    <n v="300"/>
    <n v="252"/>
    <n v="952"/>
    <n v="1263"/>
    <n v="960"/>
    <m/>
    <n v="360"/>
    <n v="1150"/>
    <n v="400"/>
    <n v="1405"/>
    <n v="400"/>
    <n v="8502"/>
    <n v="708.5"/>
  </r>
  <r>
    <x v="50"/>
    <s v="P45"/>
    <n v="795"/>
    <m/>
    <n v="950"/>
    <m/>
    <m/>
    <m/>
    <m/>
    <m/>
    <n v="550"/>
    <m/>
    <m/>
    <m/>
    <n v="275"/>
    <n v="2570"/>
    <n v="214.16666666666666"/>
  </r>
  <r>
    <x v="50"/>
    <s v="P80"/>
    <m/>
    <n v="1257"/>
    <n v="1250"/>
    <n v="1100"/>
    <n v="3314"/>
    <n v="730"/>
    <m/>
    <m/>
    <n v="2918"/>
    <m/>
    <n v="1160"/>
    <n v="1524"/>
    <n v="644"/>
    <n v="13897"/>
    <n v="1158.0833333333333"/>
  </r>
  <r>
    <x v="51"/>
    <s v="P41"/>
    <n v="968"/>
    <n v="694"/>
    <n v="200"/>
    <n v="348"/>
    <n v="598"/>
    <n v="1399"/>
    <n v="898"/>
    <m/>
    <m/>
    <n v="756"/>
    <n v="545"/>
    <n v="928"/>
    <n v="454"/>
    <n v="7788"/>
    <n v="649"/>
  </r>
  <r>
    <x v="51"/>
    <s v="P80"/>
    <m/>
    <m/>
    <n v="1171"/>
    <n v="895"/>
    <n v="3075"/>
    <m/>
    <m/>
    <m/>
    <n v="1708"/>
    <m/>
    <n v="708"/>
    <n v="419"/>
    <m/>
    <n v="7976"/>
    <n v="664.66666666666663"/>
  </r>
  <r>
    <x v="52"/>
    <s v="P04"/>
    <m/>
    <n v="309"/>
    <n v="181"/>
    <n v="255"/>
    <n v="347"/>
    <n v="35"/>
    <n v="295"/>
    <m/>
    <n v="406"/>
    <m/>
    <n v="51"/>
    <n v="331"/>
    <n v="280"/>
    <n v="2490"/>
    <n v="207.5"/>
  </r>
  <r>
    <x v="53"/>
    <s v="P45"/>
    <n v="4002"/>
    <n v="1900"/>
    <n v="3415"/>
    <n v="1680"/>
    <n v="2300"/>
    <n v="1926"/>
    <n v="4199"/>
    <m/>
    <n v="1400"/>
    <n v="4347"/>
    <n v="2290"/>
    <n v="600"/>
    <n v="2017"/>
    <n v="30076"/>
    <n v="2506.3333333333335"/>
  </r>
  <r>
    <x v="54"/>
    <s v="P05"/>
    <m/>
    <m/>
    <m/>
    <n v="250"/>
    <n v="140"/>
    <m/>
    <m/>
    <m/>
    <m/>
    <m/>
    <m/>
    <m/>
    <m/>
    <n v="390"/>
    <n v="32.5"/>
  </r>
  <r>
    <x v="54"/>
    <s v="P41"/>
    <m/>
    <n v="755"/>
    <n v="150"/>
    <n v="300"/>
    <n v="464"/>
    <n v="718"/>
    <n v="554"/>
    <m/>
    <n v="101"/>
    <n v="810"/>
    <n v="600"/>
    <n v="832"/>
    <n v="615"/>
    <n v="5899"/>
    <n v="491.58333333333331"/>
  </r>
  <r>
    <x v="54"/>
    <s v="P80"/>
    <m/>
    <m/>
    <n v="1226"/>
    <n v="450"/>
    <n v="880"/>
    <m/>
    <m/>
    <m/>
    <n v="277"/>
    <m/>
    <n v="200"/>
    <n v="130"/>
    <m/>
    <n v="3163"/>
    <n v="263.58333333333331"/>
  </r>
  <r>
    <x v="55"/>
    <s v="P20"/>
    <n v="63"/>
    <m/>
    <m/>
    <m/>
    <m/>
    <m/>
    <m/>
    <m/>
    <m/>
    <n v="100"/>
    <m/>
    <m/>
    <m/>
    <n v="163"/>
    <n v="13.583333333333334"/>
  </r>
  <r>
    <x v="56"/>
    <s v="P02"/>
    <n v="2290"/>
    <n v="2850"/>
    <n v="2700"/>
    <n v="2830"/>
    <n v="2750"/>
    <n v="3495"/>
    <n v="3360"/>
    <m/>
    <n v="3363"/>
    <n v="3482"/>
    <n v="1840"/>
    <n v="2667"/>
    <n v="5010"/>
    <n v="36637"/>
    <n v="3053.0833333333335"/>
  </r>
  <r>
    <x v="56"/>
    <s v="P46"/>
    <n v="570"/>
    <n v="1100"/>
    <n v="950"/>
    <n v="1090"/>
    <n v="1400"/>
    <n v="1374"/>
    <n v="1573"/>
    <m/>
    <n v="926"/>
    <n v="890"/>
    <n v="1738"/>
    <n v="328"/>
    <n v="1000"/>
    <n v="12939"/>
    <n v="1078.25"/>
  </r>
  <r>
    <x v="56"/>
    <s v="P81"/>
    <m/>
    <m/>
    <m/>
    <n v="300"/>
    <m/>
    <m/>
    <m/>
    <m/>
    <m/>
    <m/>
    <m/>
    <m/>
    <m/>
    <n v="300"/>
    <n v="25"/>
  </r>
  <r>
    <x v="57"/>
    <s v="P04"/>
    <n v="119"/>
    <n v="345"/>
    <n v="264"/>
    <n v="443"/>
    <n v="646"/>
    <n v="595"/>
    <n v="384"/>
    <m/>
    <n v="419"/>
    <n v="230"/>
    <n v="390"/>
    <n v="390"/>
    <n v="396"/>
    <n v="4621"/>
    <n v="385.08333333333331"/>
  </r>
  <r>
    <x v="57"/>
    <s v="P20"/>
    <m/>
    <m/>
    <n v="239"/>
    <n v="837"/>
    <n v="305"/>
    <m/>
    <m/>
    <m/>
    <m/>
    <m/>
    <n v="204"/>
    <n v="300"/>
    <n v="1196"/>
    <n v="3081"/>
    <n v="256.75"/>
  </r>
  <r>
    <x v="58"/>
    <s v="P25"/>
    <n v="657"/>
    <n v="3154"/>
    <n v="2527"/>
    <n v="3609"/>
    <n v="2214"/>
    <n v="2933"/>
    <n v="3866"/>
    <m/>
    <n v="2687"/>
    <n v="3131"/>
    <n v="1084"/>
    <n v="3344"/>
    <n v="2173"/>
    <n v="31379"/>
    <n v="2614.9166666666665"/>
  </r>
  <r>
    <x v="59"/>
    <s v="P01"/>
    <n v="100"/>
    <n v="330"/>
    <n v="210"/>
    <n v="160"/>
    <n v="300"/>
    <n v="342"/>
    <n v="110"/>
    <m/>
    <n v="220"/>
    <n v="180"/>
    <n v="320"/>
    <n v="247"/>
    <n v="310"/>
    <n v="2829"/>
    <n v="235.75"/>
  </r>
  <r>
    <x v="59"/>
    <s v="P02"/>
    <n v="1393"/>
    <n v="1312"/>
    <n v="1254"/>
    <n v="1100"/>
    <n v="1356"/>
    <n v="2310"/>
    <n v="1080"/>
    <m/>
    <n v="1616"/>
    <n v="1654"/>
    <n v="1134"/>
    <n v="1358"/>
    <n v="1730"/>
    <n v="17297"/>
    <n v="1441.4166666666667"/>
  </r>
  <r>
    <x v="59"/>
    <s v="P25"/>
    <n v="11081"/>
    <n v="15942"/>
    <n v="15773"/>
    <n v="8636"/>
    <n v="11506"/>
    <n v="20459"/>
    <n v="18008"/>
    <m/>
    <n v="9994"/>
    <n v="15378"/>
    <n v="14504"/>
    <n v="11154"/>
    <n v="19257"/>
    <n v="171692"/>
    <n v="14307.666666666666"/>
  </r>
  <r>
    <x v="59"/>
    <s v="P38"/>
    <n v="400"/>
    <n v="300"/>
    <m/>
    <m/>
    <m/>
    <n v="200"/>
    <m/>
    <m/>
    <m/>
    <n v="340"/>
    <m/>
    <m/>
    <m/>
    <n v="1240"/>
    <n v="103.33333333333333"/>
  </r>
  <r>
    <x v="59"/>
    <s v="P46"/>
    <n v="210"/>
    <n v="442"/>
    <n v="420"/>
    <n v="600"/>
    <n v="400"/>
    <n v="570"/>
    <n v="1641"/>
    <m/>
    <n v="745"/>
    <n v="400"/>
    <n v="650"/>
    <n v="190"/>
    <n v="500"/>
    <n v="6768"/>
    <n v="564"/>
  </r>
  <r>
    <x v="59"/>
    <s v="P80"/>
    <m/>
    <m/>
    <n v="745"/>
    <n v="210"/>
    <n v="100"/>
    <m/>
    <m/>
    <m/>
    <m/>
    <m/>
    <n v="943"/>
    <n v="300"/>
    <m/>
    <n v="2298"/>
    <n v="191.5"/>
  </r>
  <r>
    <x v="59"/>
    <s v="P81"/>
    <m/>
    <n v="60"/>
    <n v="700"/>
    <n v="500"/>
    <m/>
    <n v="150"/>
    <n v="100"/>
    <m/>
    <n v="600"/>
    <n v="400"/>
    <n v="340"/>
    <n v="505"/>
    <n v="300"/>
    <n v="3655"/>
    <n v="304.58333333333331"/>
  </r>
  <r>
    <x v="60"/>
    <s v="P25"/>
    <n v="350"/>
    <n v="567"/>
    <n v="1198"/>
    <n v="1633"/>
    <n v="2171"/>
    <m/>
    <n v="1183"/>
    <m/>
    <n v="705"/>
    <n v="678"/>
    <n v="614"/>
    <n v="593"/>
    <n v="580"/>
    <n v="10272"/>
    <n v="856"/>
  </r>
  <r>
    <x v="61"/>
    <s v="P04"/>
    <m/>
    <n v="48"/>
    <m/>
    <n v="50"/>
    <n v="65"/>
    <n v="80"/>
    <m/>
    <m/>
    <n v="100"/>
    <m/>
    <m/>
    <n v="71"/>
    <n v="113"/>
    <n v="527"/>
    <n v="43.916666666666664"/>
  </r>
  <r>
    <x v="62"/>
    <s v="P28"/>
    <n v="160"/>
    <n v="285"/>
    <n v="150"/>
    <n v="100"/>
    <n v="270"/>
    <n v="360"/>
    <n v="360"/>
    <m/>
    <n v="322"/>
    <n v="305"/>
    <n v="320"/>
    <n v="332"/>
    <n v="64"/>
    <n v="3028"/>
    <n v="252.33333333333334"/>
  </r>
  <r>
    <x v="62"/>
    <s v="P41"/>
    <m/>
    <n v="65"/>
    <m/>
    <m/>
    <m/>
    <m/>
    <n v="200"/>
    <m/>
    <m/>
    <m/>
    <m/>
    <m/>
    <m/>
    <n v="265"/>
    <n v="22.083333333333332"/>
  </r>
  <r>
    <x v="62"/>
    <s v="P45"/>
    <n v="1000"/>
    <n v="1006"/>
    <n v="369"/>
    <n v="500"/>
    <n v="843"/>
    <m/>
    <n v="440"/>
    <m/>
    <n v="390"/>
    <n v="515"/>
    <m/>
    <m/>
    <n v="754"/>
    <n v="5817"/>
    <n v="484.75"/>
  </r>
  <r>
    <x v="63"/>
    <s v="P41"/>
    <n v="180"/>
    <n v="709"/>
    <m/>
    <m/>
    <m/>
    <n v="225"/>
    <m/>
    <m/>
    <n v="291"/>
    <n v="247"/>
    <m/>
    <m/>
    <m/>
    <n v="1652"/>
    <n v="137.66666666666666"/>
  </r>
  <r>
    <x v="63"/>
    <s v="P45"/>
    <n v="350"/>
    <m/>
    <m/>
    <m/>
    <m/>
    <m/>
    <m/>
    <m/>
    <m/>
    <m/>
    <m/>
    <m/>
    <n v="100"/>
    <n v="450"/>
    <n v="37.5"/>
  </r>
  <r>
    <x v="64"/>
    <s v="P01"/>
    <m/>
    <m/>
    <m/>
    <m/>
    <m/>
    <m/>
    <m/>
    <n v="50"/>
    <m/>
    <m/>
    <m/>
    <m/>
    <n v="82"/>
    <n v="132"/>
    <n v="11"/>
  </r>
  <r>
    <x v="64"/>
    <s v="P20"/>
    <m/>
    <n v="307"/>
    <m/>
    <m/>
    <m/>
    <m/>
    <m/>
    <n v="130"/>
    <m/>
    <n v="70"/>
    <m/>
    <m/>
    <m/>
    <n v="507"/>
    <n v="42.25"/>
  </r>
  <r>
    <x v="65"/>
    <s v="P45"/>
    <n v="3574"/>
    <n v="2303"/>
    <n v="1259"/>
    <n v="1375"/>
    <n v="984"/>
    <n v="650"/>
    <n v="1267"/>
    <m/>
    <n v="1400"/>
    <n v="1075"/>
    <n v="575"/>
    <m/>
    <m/>
    <n v="14462"/>
    <n v="1205.1666666666667"/>
  </r>
  <r>
    <x v="66"/>
    <s v="P45"/>
    <n v="5415"/>
    <n v="2140"/>
    <n v="2917"/>
    <n v="853"/>
    <n v="2329"/>
    <n v="2150"/>
    <n v="3018"/>
    <m/>
    <n v="1900"/>
    <n v="4890"/>
    <n v="2000"/>
    <n v="602"/>
    <n v="1813"/>
    <n v="30027"/>
    <n v="2502.25"/>
  </r>
  <r>
    <x v="67"/>
    <s v="P45"/>
    <m/>
    <m/>
    <n v="1200"/>
    <m/>
    <m/>
    <m/>
    <m/>
    <n v="1625"/>
    <m/>
    <m/>
    <m/>
    <m/>
    <m/>
    <n v="2825"/>
    <n v="235.41666666666666"/>
  </r>
  <r>
    <x v="68"/>
    <s v="P45"/>
    <m/>
    <m/>
    <n v="887"/>
    <m/>
    <m/>
    <m/>
    <m/>
    <n v="3835"/>
    <m/>
    <m/>
    <m/>
    <m/>
    <m/>
    <n v="4722"/>
    <n v="393.5"/>
  </r>
  <r>
    <x v="69"/>
    <s v="P45"/>
    <m/>
    <m/>
    <n v="645"/>
    <m/>
    <m/>
    <m/>
    <m/>
    <n v="1597"/>
    <m/>
    <m/>
    <m/>
    <m/>
    <m/>
    <n v="2242"/>
    <n v="186.83333333333334"/>
  </r>
  <r>
    <x v="70"/>
    <s v="P28"/>
    <n v="124"/>
    <n v="100"/>
    <n v="100"/>
    <n v="200"/>
    <m/>
    <n v="110"/>
    <n v="150"/>
    <n v="200"/>
    <n v="122"/>
    <n v="295"/>
    <m/>
    <n v="122"/>
    <n v="201"/>
    <n v="1724"/>
    <n v="143.66666666666666"/>
  </r>
  <r>
    <x v="70"/>
    <s v="P45"/>
    <m/>
    <m/>
    <n v="544"/>
    <m/>
    <m/>
    <m/>
    <m/>
    <n v="5451"/>
    <m/>
    <m/>
    <m/>
    <m/>
    <m/>
    <n v="5995"/>
    <n v="499.58333333333331"/>
  </r>
  <r>
    <x v="71"/>
    <s v="P01"/>
    <n v="620"/>
    <n v="1100"/>
    <n v="1880"/>
    <n v="1850"/>
    <n v="1350"/>
    <n v="2038"/>
    <n v="1416"/>
    <n v="1465"/>
    <n v="750"/>
    <n v="1100"/>
    <n v="1560"/>
    <n v="1880"/>
    <n v="1350"/>
    <n v="18359"/>
    <n v="1529.9166666666667"/>
  </r>
  <r>
    <x v="71"/>
    <s v="P04"/>
    <m/>
    <m/>
    <n v="250"/>
    <n v="300"/>
    <n v="293"/>
    <m/>
    <m/>
    <m/>
    <n v="300"/>
    <m/>
    <m/>
    <m/>
    <m/>
    <n v="1143"/>
    <n v="95.25"/>
  </r>
  <r>
    <x v="71"/>
    <s v="P80"/>
    <m/>
    <m/>
    <n v="700"/>
    <n v="200"/>
    <m/>
    <m/>
    <m/>
    <m/>
    <n v="1110"/>
    <m/>
    <m/>
    <m/>
    <m/>
    <n v="2010"/>
    <n v="167.5"/>
  </r>
  <r>
    <x v="72"/>
    <s v="P05"/>
    <n v="809"/>
    <n v="400"/>
    <n v="332"/>
    <n v="608"/>
    <n v="707"/>
    <n v="866"/>
    <n v="689"/>
    <n v="670"/>
    <n v="653"/>
    <n v="640"/>
    <n v="458"/>
    <n v="1004"/>
    <n v="683"/>
    <n v="8519"/>
    <n v="709.91666666666663"/>
  </r>
  <r>
    <x v="72"/>
    <s v="P41"/>
    <n v="398"/>
    <n v="250"/>
    <m/>
    <n v="200"/>
    <n v="200"/>
    <n v="514"/>
    <m/>
    <n v="250"/>
    <n v="150"/>
    <n v="203"/>
    <n v="300"/>
    <n v="453"/>
    <n v="400"/>
    <n v="3318"/>
    <n v="276.5"/>
  </r>
  <r>
    <x v="72"/>
    <s v="P80"/>
    <m/>
    <m/>
    <m/>
    <m/>
    <n v="645"/>
    <m/>
    <m/>
    <m/>
    <n v="150"/>
    <m/>
    <n v="670"/>
    <m/>
    <m/>
    <n v="1465"/>
    <n v="122.08333333333333"/>
  </r>
  <r>
    <x v="73"/>
    <s v="P41"/>
    <n v="91"/>
    <n v="154"/>
    <n v="124"/>
    <m/>
    <m/>
    <n v="339"/>
    <m/>
    <m/>
    <m/>
    <n v="499"/>
    <n v="200"/>
    <n v="108"/>
    <m/>
    <n v="1515"/>
    <n v="126.25"/>
  </r>
  <r>
    <x v="74"/>
    <s v="P05"/>
    <m/>
    <m/>
    <m/>
    <n v="55"/>
    <m/>
    <m/>
    <m/>
    <m/>
    <m/>
    <m/>
    <m/>
    <m/>
    <m/>
    <n v="55"/>
    <n v="4.583333333333333"/>
  </r>
  <r>
    <x v="75"/>
    <s v="P03"/>
    <n v="1700"/>
    <n v="2850"/>
    <n v="1805"/>
    <n v="2680"/>
    <n v="3020"/>
    <n v="2513"/>
    <n v="3200"/>
    <n v="2042"/>
    <n v="3000"/>
    <n v="1710"/>
    <n v="1900"/>
    <n v="3349"/>
    <n v="3325"/>
    <n v="33094"/>
    <n v="2757.8333333333335"/>
  </r>
  <r>
    <x v="76"/>
    <s v="P05"/>
    <m/>
    <m/>
    <m/>
    <n v="501"/>
    <n v="204"/>
    <m/>
    <m/>
    <n v="305"/>
    <n v="505"/>
    <n v="1008"/>
    <n v="1009"/>
    <n v="505"/>
    <m/>
    <n v="4037"/>
    <n v="336.41666666666669"/>
  </r>
  <r>
    <x v="77"/>
    <s v="P05"/>
    <n v="1209"/>
    <m/>
    <m/>
    <m/>
    <m/>
    <m/>
    <m/>
    <n v="1251"/>
    <m/>
    <m/>
    <m/>
    <m/>
    <m/>
    <n v="2460"/>
    <n v="205"/>
  </r>
  <r>
    <x v="77"/>
    <s v="P20"/>
    <m/>
    <m/>
    <m/>
    <m/>
    <m/>
    <m/>
    <m/>
    <n v="167"/>
    <m/>
    <m/>
    <m/>
    <m/>
    <m/>
    <n v="167"/>
    <n v="13.916666666666666"/>
  </r>
  <r>
    <x v="77"/>
    <s v="P41"/>
    <m/>
    <m/>
    <m/>
    <m/>
    <m/>
    <m/>
    <m/>
    <n v="1794"/>
    <m/>
    <m/>
    <m/>
    <m/>
    <m/>
    <n v="1794"/>
    <n v="149.5"/>
  </r>
  <r>
    <x v="77"/>
    <s v="P45"/>
    <m/>
    <m/>
    <m/>
    <m/>
    <m/>
    <m/>
    <m/>
    <n v="1360"/>
    <m/>
    <m/>
    <m/>
    <m/>
    <m/>
    <n v="1360"/>
    <n v="113.33333333333333"/>
  </r>
  <r>
    <x v="78"/>
    <s v="P41"/>
    <m/>
    <m/>
    <m/>
    <m/>
    <m/>
    <m/>
    <m/>
    <n v="1045"/>
    <m/>
    <m/>
    <m/>
    <m/>
    <m/>
    <n v="1045"/>
    <n v="87.083333333333329"/>
  </r>
  <r>
    <x v="78"/>
    <s v="P45"/>
    <m/>
    <m/>
    <m/>
    <m/>
    <m/>
    <m/>
    <m/>
    <n v="200"/>
    <m/>
    <m/>
    <m/>
    <m/>
    <m/>
    <n v="200"/>
    <n v="16.666666666666668"/>
  </r>
  <r>
    <x v="79"/>
    <s v="P20"/>
    <n v="200"/>
    <m/>
    <m/>
    <m/>
    <m/>
    <m/>
    <m/>
    <n v="650"/>
    <m/>
    <m/>
    <m/>
    <m/>
    <m/>
    <n v="850"/>
    <n v="70.833333333333329"/>
  </r>
  <r>
    <x v="80"/>
    <s v="P20"/>
    <m/>
    <m/>
    <m/>
    <m/>
    <m/>
    <m/>
    <m/>
    <n v="60"/>
    <m/>
    <m/>
    <m/>
    <m/>
    <m/>
    <n v="60"/>
    <n v="5"/>
  </r>
  <r>
    <x v="81"/>
    <s v="P02"/>
    <m/>
    <m/>
    <m/>
    <m/>
    <m/>
    <m/>
    <m/>
    <n v="1000"/>
    <m/>
    <m/>
    <m/>
    <m/>
    <m/>
    <n v="1000"/>
    <n v="83.333333333333329"/>
  </r>
  <r>
    <x v="81"/>
    <s v="P05"/>
    <n v="1000"/>
    <m/>
    <m/>
    <m/>
    <m/>
    <m/>
    <m/>
    <n v="1250"/>
    <m/>
    <m/>
    <m/>
    <m/>
    <m/>
    <n v="2250"/>
    <n v="187.5"/>
  </r>
  <r>
    <x v="81"/>
    <s v="P20"/>
    <m/>
    <m/>
    <m/>
    <m/>
    <m/>
    <m/>
    <m/>
    <n v="310"/>
    <m/>
    <m/>
    <m/>
    <m/>
    <m/>
    <n v="310"/>
    <n v="25.833333333333332"/>
  </r>
  <r>
    <x v="81"/>
    <s v="P25"/>
    <m/>
    <m/>
    <m/>
    <m/>
    <m/>
    <m/>
    <m/>
    <n v="700"/>
    <m/>
    <m/>
    <m/>
    <m/>
    <m/>
    <n v="700"/>
    <n v="58.333333333333336"/>
  </r>
  <r>
    <x v="81"/>
    <s v="P26"/>
    <m/>
    <m/>
    <m/>
    <m/>
    <m/>
    <m/>
    <m/>
    <n v="200"/>
    <m/>
    <m/>
    <m/>
    <m/>
    <m/>
    <n v="200"/>
    <n v="16.666666666666668"/>
  </r>
  <r>
    <x v="81"/>
    <s v="P28"/>
    <m/>
    <m/>
    <m/>
    <m/>
    <m/>
    <m/>
    <m/>
    <n v="380"/>
    <m/>
    <m/>
    <m/>
    <m/>
    <m/>
    <n v="380"/>
    <n v="31.666666666666668"/>
  </r>
  <r>
    <x v="81"/>
    <s v="P46"/>
    <m/>
    <m/>
    <m/>
    <m/>
    <m/>
    <m/>
    <m/>
    <n v="200"/>
    <m/>
    <m/>
    <m/>
    <m/>
    <m/>
    <n v="200"/>
    <n v="16.666666666666668"/>
  </r>
  <r>
    <x v="81"/>
    <s v="P81"/>
    <m/>
    <m/>
    <m/>
    <m/>
    <m/>
    <m/>
    <m/>
    <n v="60"/>
    <m/>
    <m/>
    <m/>
    <m/>
    <m/>
    <n v="60"/>
    <n v="5"/>
  </r>
  <r>
    <x v="82"/>
    <s v="P05"/>
    <n v="72"/>
    <m/>
    <m/>
    <m/>
    <m/>
    <m/>
    <m/>
    <m/>
    <m/>
    <m/>
    <m/>
    <m/>
    <n v="235"/>
    <n v="307"/>
    <n v="25.583333333333332"/>
  </r>
  <r>
    <x v="82"/>
    <s v="P28"/>
    <n v="50"/>
    <m/>
    <m/>
    <n v="54"/>
    <m/>
    <m/>
    <m/>
    <m/>
    <m/>
    <m/>
    <n v="58"/>
    <m/>
    <n v="51"/>
    <n v="213"/>
    <n v="17.75"/>
  </r>
  <r>
    <x v="83"/>
    <s v="P29"/>
    <n v="750"/>
    <n v="500"/>
    <n v="1673"/>
    <n v="205"/>
    <n v="200"/>
    <n v="300"/>
    <n v="950"/>
    <m/>
    <n v="107"/>
    <m/>
    <m/>
    <n v="250"/>
    <n v="190"/>
    <n v="5125"/>
    <n v="427.08333333333331"/>
  </r>
  <r>
    <x v="83"/>
    <s v="P45"/>
    <m/>
    <m/>
    <m/>
    <m/>
    <m/>
    <m/>
    <m/>
    <m/>
    <m/>
    <m/>
    <m/>
    <m/>
    <n v="480"/>
    <n v="480"/>
    <n v="40"/>
  </r>
  <r>
    <x v="84"/>
    <s v="P03"/>
    <n v="2900"/>
    <n v="3024"/>
    <n v="2500"/>
    <n v="3950"/>
    <n v="3500"/>
    <n v="4087"/>
    <n v="4300"/>
    <n v="2614"/>
    <n v="3000"/>
    <n v="3608"/>
    <n v="4032"/>
    <n v="4719"/>
    <n v="5145"/>
    <n v="47379"/>
    <n v="3948.25"/>
  </r>
  <r>
    <x v="85"/>
    <s v="P29"/>
    <n v="300"/>
    <n v="809"/>
    <n v="2123"/>
    <n v="850"/>
    <n v="1031"/>
    <n v="1211"/>
    <n v="480"/>
    <n v="1825"/>
    <n v="1407"/>
    <n v="1820"/>
    <m/>
    <n v="417"/>
    <n v="1307"/>
    <n v="13580"/>
    <n v="1131.6666666666667"/>
  </r>
  <r>
    <x v="86"/>
    <s v="P29"/>
    <n v="300"/>
    <n v="3487"/>
    <n v="4907"/>
    <n v="1097"/>
    <n v="2900"/>
    <n v="500"/>
    <n v="3900"/>
    <m/>
    <n v="2097"/>
    <n v="2430"/>
    <n v="1130"/>
    <n v="3066"/>
    <n v="2401"/>
    <n v="28215"/>
    <n v="2351.25"/>
  </r>
  <r>
    <x v="87"/>
    <s v="P41"/>
    <m/>
    <m/>
    <m/>
    <m/>
    <m/>
    <m/>
    <m/>
    <n v="296"/>
    <m/>
    <m/>
    <m/>
    <m/>
    <m/>
    <n v="296"/>
    <n v="24.666666666666668"/>
  </r>
  <r>
    <x v="88"/>
    <s v="P01"/>
    <n v="805"/>
    <n v="600"/>
    <n v="446"/>
    <m/>
    <m/>
    <n v="1464"/>
    <n v="733"/>
    <n v="870"/>
    <m/>
    <n v="1121"/>
    <n v="984"/>
    <n v="650"/>
    <n v="1600"/>
    <n v="9273"/>
    <n v="772.75"/>
  </r>
  <r>
    <x v="88"/>
    <s v="P02"/>
    <n v="450"/>
    <n v="556"/>
    <n v="400"/>
    <n v="550"/>
    <n v="300"/>
    <n v="500"/>
    <n v="500"/>
    <n v="596"/>
    <n v="300"/>
    <n v="200"/>
    <n v="550"/>
    <n v="550"/>
    <n v="500"/>
    <n v="5952"/>
    <n v="496"/>
  </r>
  <r>
    <x v="88"/>
    <s v="P04"/>
    <n v="100"/>
    <n v="1045"/>
    <n v="550"/>
    <n v="1586"/>
    <n v="1176"/>
    <n v="501"/>
    <n v="690"/>
    <n v="628"/>
    <n v="590"/>
    <n v="654"/>
    <n v="592"/>
    <n v="605"/>
    <n v="100"/>
    <n v="8817"/>
    <n v="734.75"/>
  </r>
  <r>
    <x v="88"/>
    <s v="P25"/>
    <m/>
    <m/>
    <m/>
    <n v="100"/>
    <n v="200"/>
    <m/>
    <m/>
    <m/>
    <n v="200"/>
    <m/>
    <m/>
    <m/>
    <m/>
    <n v="500"/>
    <n v="41.666666666666664"/>
  </r>
  <r>
    <x v="88"/>
    <s v="P26"/>
    <n v="350"/>
    <n v="100"/>
    <n v="200"/>
    <n v="200"/>
    <n v="346"/>
    <n v="300"/>
    <n v="100"/>
    <n v="400"/>
    <n v="250"/>
    <n v="300"/>
    <n v="150"/>
    <n v="208"/>
    <n v="100"/>
    <n v="3004"/>
    <n v="250.33333333333334"/>
  </r>
  <r>
    <x v="89"/>
    <s v="P05"/>
    <m/>
    <n v="103"/>
    <m/>
    <m/>
    <n v="151"/>
    <m/>
    <m/>
    <n v="200"/>
    <m/>
    <m/>
    <m/>
    <m/>
    <m/>
    <n v="454"/>
    <n v="37.833333333333336"/>
  </r>
  <r>
    <x v="90"/>
    <s v="P29"/>
    <n v="1577"/>
    <n v="2223"/>
    <m/>
    <n v="1364"/>
    <m/>
    <n v="4319"/>
    <n v="2900"/>
    <n v="2291"/>
    <n v="1821"/>
    <n v="2900"/>
    <n v="760"/>
    <n v="3200"/>
    <n v="1832"/>
    <n v="25187"/>
    <n v="2098.9166666666665"/>
  </r>
  <r>
    <x v="91"/>
    <s v="P03"/>
    <n v="155"/>
    <n v="421"/>
    <n v="252"/>
    <n v="99"/>
    <n v="125"/>
    <n v="103"/>
    <n v="101"/>
    <m/>
    <m/>
    <m/>
    <n v="149"/>
    <m/>
    <m/>
    <n v="1405"/>
    <n v="117.08333333333333"/>
  </r>
  <r>
    <x v="92"/>
    <s v="P20"/>
    <m/>
    <m/>
    <m/>
    <m/>
    <m/>
    <m/>
    <m/>
    <n v="242"/>
    <m/>
    <m/>
    <m/>
    <m/>
    <m/>
    <n v="242"/>
    <n v="20.166666666666668"/>
  </r>
  <r>
    <x v="93"/>
    <s v="P04"/>
    <n v="367"/>
    <n v="603"/>
    <n v="304"/>
    <n v="370"/>
    <n v="512"/>
    <n v="200"/>
    <n v="954"/>
    <n v="636"/>
    <n v="653"/>
    <n v="532"/>
    <n v="108"/>
    <n v="300"/>
    <m/>
    <n v="5539"/>
    <n v="461.58333333333331"/>
  </r>
  <r>
    <x v="94"/>
    <s v="P04"/>
    <m/>
    <m/>
    <m/>
    <m/>
    <m/>
    <m/>
    <m/>
    <n v="241"/>
    <m/>
    <m/>
    <m/>
    <m/>
    <m/>
    <n v="241"/>
    <n v="20.083333333333332"/>
  </r>
  <r>
    <x v="94"/>
    <s v="P28"/>
    <m/>
    <m/>
    <m/>
    <m/>
    <m/>
    <m/>
    <m/>
    <n v="3960"/>
    <m/>
    <m/>
    <m/>
    <m/>
    <m/>
    <n v="3960"/>
    <n v="330"/>
  </r>
  <r>
    <x v="95"/>
    <s v="P04"/>
    <m/>
    <m/>
    <m/>
    <m/>
    <m/>
    <m/>
    <m/>
    <n v="1553"/>
    <m/>
    <m/>
    <m/>
    <m/>
    <m/>
    <n v="1553"/>
    <n v="129.41666666666666"/>
  </r>
  <r>
    <x v="96"/>
    <s v="P04"/>
    <m/>
    <m/>
    <m/>
    <m/>
    <m/>
    <m/>
    <m/>
    <n v="590"/>
    <m/>
    <m/>
    <m/>
    <m/>
    <m/>
    <n v="590"/>
    <n v="49.166666666666664"/>
  </r>
  <r>
    <x v="97"/>
    <s v="P04"/>
    <m/>
    <m/>
    <m/>
    <m/>
    <m/>
    <m/>
    <m/>
    <n v="100"/>
    <m/>
    <m/>
    <m/>
    <m/>
    <m/>
    <n v="100"/>
    <n v="8.3333333333333339"/>
  </r>
  <r>
    <x v="98"/>
    <s v="P20"/>
    <m/>
    <m/>
    <m/>
    <m/>
    <n v="100"/>
    <m/>
    <m/>
    <m/>
    <m/>
    <m/>
    <m/>
    <m/>
    <m/>
    <n v="100"/>
    <n v="8.3333333333333339"/>
  </r>
  <r>
    <x v="99"/>
    <s v="P29"/>
    <m/>
    <m/>
    <n v="299"/>
    <n v="406"/>
    <m/>
    <m/>
    <m/>
    <m/>
    <n v="303"/>
    <m/>
    <m/>
    <m/>
    <m/>
    <n v="1008"/>
    <n v="84"/>
  </r>
  <r>
    <x v="100"/>
    <s v="P02"/>
    <m/>
    <m/>
    <m/>
    <m/>
    <m/>
    <m/>
    <m/>
    <m/>
    <n v="100"/>
    <m/>
    <m/>
    <m/>
    <m/>
    <n v="100"/>
    <n v="8.3333333333333339"/>
  </r>
  <r>
    <x v="100"/>
    <s v="P28"/>
    <m/>
    <m/>
    <m/>
    <m/>
    <m/>
    <m/>
    <m/>
    <m/>
    <m/>
    <m/>
    <m/>
    <m/>
    <n v="75"/>
    <n v="75"/>
    <n v="6.25"/>
  </r>
  <r>
    <x v="100"/>
    <s v="P45"/>
    <m/>
    <m/>
    <m/>
    <m/>
    <m/>
    <m/>
    <m/>
    <m/>
    <m/>
    <m/>
    <m/>
    <m/>
    <n v="75"/>
    <n v="75"/>
    <n v="6.25"/>
  </r>
  <r>
    <x v="101"/>
    <s v="P02"/>
    <m/>
    <m/>
    <m/>
    <m/>
    <m/>
    <m/>
    <m/>
    <m/>
    <m/>
    <m/>
    <m/>
    <m/>
    <n v="152"/>
    <n v="152"/>
    <n v="12.666666666666666"/>
  </r>
  <r>
    <x v="102"/>
    <s v="P05"/>
    <m/>
    <m/>
    <m/>
    <m/>
    <n v="411"/>
    <m/>
    <m/>
    <m/>
    <m/>
    <m/>
    <m/>
    <m/>
    <m/>
    <n v="411"/>
    <n v="34.25"/>
  </r>
  <r>
    <x v="103"/>
    <s v="P28"/>
    <m/>
    <m/>
    <m/>
    <m/>
    <m/>
    <m/>
    <m/>
    <m/>
    <m/>
    <m/>
    <m/>
    <m/>
    <n v="149"/>
    <n v="149"/>
    <n v="12.416666666666666"/>
  </r>
  <r>
    <x v="104"/>
    <s v="P45"/>
    <m/>
    <m/>
    <m/>
    <m/>
    <m/>
    <m/>
    <m/>
    <m/>
    <m/>
    <m/>
    <m/>
    <m/>
    <n v="149"/>
    <n v="149"/>
    <n v="12.416666666666666"/>
  </r>
  <r>
    <x v="105"/>
    <s v="P28"/>
    <m/>
    <m/>
    <m/>
    <m/>
    <m/>
    <m/>
    <m/>
    <m/>
    <m/>
    <m/>
    <m/>
    <m/>
    <n v="150"/>
    <n v="150"/>
    <n v="12.5"/>
  </r>
  <r>
    <x v="106"/>
    <s v="P45"/>
    <m/>
    <m/>
    <m/>
    <m/>
    <m/>
    <m/>
    <m/>
    <m/>
    <m/>
    <m/>
    <m/>
    <m/>
    <n v="150"/>
    <n v="150"/>
    <n v="12.5"/>
  </r>
  <r>
    <x v="107"/>
    <s v="P04"/>
    <m/>
    <m/>
    <m/>
    <m/>
    <m/>
    <m/>
    <m/>
    <n v="2400"/>
    <m/>
    <m/>
    <m/>
    <m/>
    <m/>
    <n v="2400"/>
    <n v="200"/>
  </r>
  <r>
    <x v="108"/>
    <s v="P04"/>
    <m/>
    <m/>
    <m/>
    <m/>
    <m/>
    <m/>
    <m/>
    <n v="2361"/>
    <m/>
    <m/>
    <m/>
    <m/>
    <m/>
    <n v="2361"/>
    <n v="196.75"/>
  </r>
  <r>
    <x v="109"/>
    <s v="P04"/>
    <m/>
    <m/>
    <m/>
    <m/>
    <m/>
    <m/>
    <m/>
    <n v="395"/>
    <m/>
    <m/>
    <m/>
    <m/>
    <m/>
    <n v="395"/>
    <n v="32.916666666666664"/>
  </r>
  <r>
    <x v="110"/>
    <s v="P45"/>
    <m/>
    <m/>
    <n v="300"/>
    <n v="330"/>
    <m/>
    <m/>
    <m/>
    <m/>
    <m/>
    <m/>
    <m/>
    <m/>
    <m/>
    <n v="630"/>
    <n v="52.5"/>
  </r>
  <r>
    <x v="111"/>
    <s v="P03"/>
    <n v="108"/>
    <n v="222"/>
    <n v="198"/>
    <n v="172"/>
    <m/>
    <n v="107"/>
    <m/>
    <m/>
    <m/>
    <m/>
    <n v="104"/>
    <n v="86"/>
    <n v="196"/>
    <n v="1193"/>
    <n v="99.416666666666671"/>
  </r>
  <r>
    <x v="112"/>
    <s v="P03"/>
    <m/>
    <n v="259"/>
    <m/>
    <m/>
    <n v="595"/>
    <m/>
    <m/>
    <m/>
    <m/>
    <m/>
    <m/>
    <m/>
    <m/>
    <n v="854"/>
    <n v="71.166666666666671"/>
  </r>
  <r>
    <x v="113"/>
    <s v="P04"/>
    <m/>
    <m/>
    <m/>
    <m/>
    <n v="150"/>
    <m/>
    <m/>
    <m/>
    <m/>
    <m/>
    <m/>
    <m/>
    <m/>
    <n v="150"/>
    <n v="12.5"/>
  </r>
  <r>
    <x v="114"/>
    <s v="P20"/>
    <n v="220"/>
    <n v="300"/>
    <n v="600"/>
    <m/>
    <m/>
    <n v="584"/>
    <n v="190"/>
    <n v="474"/>
    <n v="422"/>
    <n v="369"/>
    <n v="348"/>
    <n v="290"/>
    <m/>
    <n v="3797"/>
    <n v="316.41666666666669"/>
  </r>
  <r>
    <x v="115"/>
    <s v="P41"/>
    <m/>
    <n v="127"/>
    <n v="115"/>
    <n v="79"/>
    <n v="100"/>
    <m/>
    <m/>
    <n v="122"/>
    <m/>
    <n v="109"/>
    <m/>
    <n v="59"/>
    <m/>
    <n v="711"/>
    <n v="59.25"/>
  </r>
  <r>
    <x v="115"/>
    <s v="P80"/>
    <m/>
    <m/>
    <m/>
    <n v="200"/>
    <n v="20"/>
    <m/>
    <m/>
    <m/>
    <m/>
    <m/>
    <m/>
    <m/>
    <m/>
    <n v="220"/>
    <n v="18.333333333333332"/>
  </r>
  <r>
    <x v="116"/>
    <s v="P28"/>
    <m/>
    <m/>
    <m/>
    <m/>
    <m/>
    <m/>
    <m/>
    <m/>
    <n v="105"/>
    <m/>
    <n v="48"/>
    <m/>
    <m/>
    <n v="153"/>
    <n v="12.75"/>
  </r>
  <r>
    <x v="117"/>
    <s v="P28"/>
    <n v="86"/>
    <n v="100"/>
    <m/>
    <n v="60"/>
    <m/>
    <n v="153"/>
    <n v="101"/>
    <n v="66"/>
    <m/>
    <n v="116"/>
    <n v="48"/>
    <n v="50"/>
    <m/>
    <n v="780"/>
    <n v="65"/>
  </r>
  <r>
    <x v="118"/>
    <s v="P26"/>
    <n v="100"/>
    <n v="559"/>
    <m/>
    <m/>
    <m/>
    <n v="198"/>
    <n v="170"/>
    <m/>
    <n v="203"/>
    <n v="100"/>
    <n v="355"/>
    <n v="330"/>
    <m/>
    <n v="2015"/>
    <n v="167.91666666666666"/>
  </r>
  <r>
    <x v="119"/>
    <s v="P01"/>
    <m/>
    <m/>
    <m/>
    <m/>
    <m/>
    <m/>
    <m/>
    <n v="120"/>
    <m/>
    <m/>
    <m/>
    <m/>
    <m/>
    <n v="120"/>
    <n v="10"/>
  </r>
  <r>
    <x v="120"/>
    <s v="P02"/>
    <n v="256"/>
    <n v="325"/>
    <n v="400"/>
    <n v="200"/>
    <n v="250"/>
    <n v="400"/>
    <n v="200"/>
    <n v="420"/>
    <n v="400"/>
    <n v="350"/>
    <n v="300"/>
    <n v="225"/>
    <n v="300"/>
    <n v="4026"/>
    <n v="335.5"/>
  </r>
  <r>
    <x v="120"/>
    <s v="P26"/>
    <n v="3150"/>
    <n v="6300"/>
    <n v="4650"/>
    <n v="5600"/>
    <n v="4230"/>
    <n v="5350"/>
    <n v="6410"/>
    <n v="2950"/>
    <n v="4550"/>
    <n v="4000"/>
    <n v="4100"/>
    <n v="2300"/>
    <n v="5050"/>
    <n v="58640"/>
    <n v="4886.666666666667"/>
  </r>
  <r>
    <x v="120"/>
    <s v="P46"/>
    <n v="310"/>
    <n v="919"/>
    <n v="1027"/>
    <n v="1465"/>
    <n v="1300"/>
    <n v="1399"/>
    <n v="2256"/>
    <n v="910"/>
    <n v="1560"/>
    <n v="500"/>
    <n v="1750"/>
    <n v="658"/>
    <n v="1148"/>
    <n v="15202"/>
    <n v="1266.8333333333333"/>
  </r>
  <r>
    <x v="121"/>
    <s v="P29"/>
    <m/>
    <n v="308"/>
    <m/>
    <m/>
    <m/>
    <m/>
    <m/>
    <m/>
    <n v="104"/>
    <m/>
    <m/>
    <m/>
    <m/>
    <n v="412"/>
    <n v="34.333333333333336"/>
  </r>
  <r>
    <x v="122"/>
    <s v="P29"/>
    <n v="2310"/>
    <n v="605"/>
    <m/>
    <m/>
    <m/>
    <n v="555"/>
    <n v="452"/>
    <n v="975"/>
    <m/>
    <m/>
    <m/>
    <n v="500"/>
    <m/>
    <n v="5397"/>
    <n v="449.75"/>
  </r>
  <r>
    <x v="123"/>
    <s v="P01"/>
    <m/>
    <m/>
    <m/>
    <m/>
    <m/>
    <n v="3045"/>
    <m/>
    <m/>
    <m/>
    <m/>
    <n v="1838"/>
    <m/>
    <n v="1820"/>
    <n v="6703"/>
    <n v="558.58333333333337"/>
  </r>
  <r>
    <x v="124"/>
    <s v="P41"/>
    <m/>
    <m/>
    <m/>
    <m/>
    <m/>
    <m/>
    <m/>
    <n v="380"/>
    <m/>
    <m/>
    <m/>
    <m/>
    <m/>
    <n v="380"/>
    <n v="31.666666666666668"/>
  </r>
  <r>
    <x v="125"/>
    <s v="P28"/>
    <m/>
    <n v="474"/>
    <m/>
    <m/>
    <m/>
    <n v="509"/>
    <n v="250"/>
    <m/>
    <m/>
    <m/>
    <m/>
    <m/>
    <n v="256"/>
    <n v="1489"/>
    <n v="124.08333333333333"/>
  </r>
  <r>
    <x v="126"/>
    <s v="P02"/>
    <m/>
    <m/>
    <n v="600"/>
    <n v="680"/>
    <n v="600"/>
    <m/>
    <m/>
    <m/>
    <n v="300"/>
    <m/>
    <n v="300"/>
    <n v="241"/>
    <n v="50"/>
    <n v="2771"/>
    <n v="230.91666666666666"/>
  </r>
  <r>
    <x v="126"/>
    <s v="P46"/>
    <m/>
    <n v="413"/>
    <n v="500"/>
    <n v="350"/>
    <n v="100"/>
    <n v="565"/>
    <n v="1163"/>
    <n v="250"/>
    <n v="300"/>
    <m/>
    <n v="472"/>
    <m/>
    <n v="527"/>
    <n v="4640"/>
    <n v="386.66666666666669"/>
  </r>
  <r>
    <x v="127"/>
    <s v="P41"/>
    <m/>
    <m/>
    <m/>
    <m/>
    <m/>
    <m/>
    <m/>
    <n v="428"/>
    <m/>
    <m/>
    <m/>
    <m/>
    <m/>
    <n v="428"/>
    <n v="35.666666666666664"/>
  </r>
  <r>
    <x v="128"/>
    <s v="P45"/>
    <n v="444"/>
    <n v="1436"/>
    <n v="100"/>
    <n v="1626"/>
    <n v="1245"/>
    <n v="1291"/>
    <n v="522"/>
    <n v="1380"/>
    <m/>
    <n v="1023"/>
    <m/>
    <n v="750"/>
    <n v="1876"/>
    <n v="11693"/>
    <n v="974.41666666666663"/>
  </r>
  <r>
    <x v="129"/>
    <s v="P26"/>
    <n v="1500"/>
    <n v="3350"/>
    <n v="2000"/>
    <n v="1500"/>
    <m/>
    <n v="1000"/>
    <n v="850"/>
    <m/>
    <n v="2006"/>
    <n v="1975"/>
    <n v="1470"/>
    <n v="1440"/>
    <n v="2150"/>
    <n v="19241"/>
    <n v="1603.4166666666667"/>
  </r>
  <r>
    <x v="130"/>
    <s v="P45"/>
    <m/>
    <m/>
    <m/>
    <m/>
    <m/>
    <m/>
    <m/>
    <n v="295"/>
    <m/>
    <m/>
    <m/>
    <m/>
    <m/>
    <n v="295"/>
    <n v="24.583333333333332"/>
  </r>
  <r>
    <x v="131"/>
    <s v="P05"/>
    <n v="673"/>
    <n v="966"/>
    <n v="1227"/>
    <n v="506"/>
    <n v="230"/>
    <n v="1387"/>
    <n v="1062"/>
    <n v="1035"/>
    <n v="690"/>
    <n v="1019"/>
    <n v="960"/>
    <n v="1846"/>
    <n v="938"/>
    <n v="12539"/>
    <n v="1044.9166666666667"/>
  </r>
  <r>
    <x v="131"/>
    <s v="P45"/>
    <n v="890"/>
    <n v="622"/>
    <m/>
    <n v="840"/>
    <n v="450"/>
    <n v="1290"/>
    <n v="890"/>
    <n v="687"/>
    <n v="458"/>
    <n v="710"/>
    <n v="200"/>
    <n v="230"/>
    <n v="790"/>
    <n v="8057"/>
    <n v="671.41666666666663"/>
  </r>
  <r>
    <x v="131"/>
    <s v="P80"/>
    <m/>
    <n v="240"/>
    <n v="1298"/>
    <n v="844"/>
    <n v="1585"/>
    <m/>
    <m/>
    <m/>
    <n v="1533"/>
    <m/>
    <n v="713"/>
    <n v="1312"/>
    <n v="661"/>
    <n v="8186"/>
    <n v="682.16666666666663"/>
  </r>
  <r>
    <x v="132"/>
    <s v="P41"/>
    <m/>
    <n v="160"/>
    <m/>
    <n v="100"/>
    <n v="100"/>
    <n v="150"/>
    <m/>
    <m/>
    <n v="150"/>
    <m/>
    <n v="200"/>
    <m/>
    <n v="250"/>
    <n v="1110"/>
    <n v="92.5"/>
  </r>
  <r>
    <x v="132"/>
    <s v="P45"/>
    <n v="1850"/>
    <n v="1000"/>
    <n v="1700"/>
    <n v="1775"/>
    <n v="1900"/>
    <n v="1746"/>
    <n v="1415"/>
    <n v="1964"/>
    <n v="1790"/>
    <n v="1280"/>
    <n v="936"/>
    <n v="1150"/>
    <n v="2585"/>
    <n v="21091"/>
    <n v="1757.5833333333333"/>
  </r>
  <r>
    <x v="133"/>
    <s v="P28"/>
    <m/>
    <m/>
    <m/>
    <m/>
    <m/>
    <m/>
    <m/>
    <n v="255"/>
    <m/>
    <m/>
    <m/>
    <m/>
    <m/>
    <n v="255"/>
    <n v="21.25"/>
  </r>
  <r>
    <x v="133"/>
    <s v="P45"/>
    <m/>
    <m/>
    <m/>
    <m/>
    <m/>
    <m/>
    <m/>
    <n v="898"/>
    <m/>
    <m/>
    <m/>
    <m/>
    <m/>
    <n v="898"/>
    <n v="74.833333333333329"/>
  </r>
  <r>
    <x v="134"/>
    <s v="P28"/>
    <n v="1407"/>
    <n v="1360"/>
    <n v="1466"/>
    <n v="1702"/>
    <n v="1030"/>
    <n v="1896"/>
    <n v="1519"/>
    <n v="1517"/>
    <n v="703"/>
    <n v="1655"/>
    <n v="949"/>
    <n v="1640"/>
    <n v="2018"/>
    <n v="18862"/>
    <n v="1571.8333333333333"/>
  </r>
  <r>
    <x v="135"/>
    <s v="P05"/>
    <n v="300"/>
    <m/>
    <m/>
    <m/>
    <m/>
    <n v="250"/>
    <n v="70"/>
    <n v="690"/>
    <m/>
    <n v="300"/>
    <m/>
    <m/>
    <n v="130"/>
    <n v="1740"/>
    <n v="145"/>
  </r>
  <r>
    <x v="135"/>
    <s v="P28"/>
    <m/>
    <m/>
    <m/>
    <m/>
    <m/>
    <m/>
    <m/>
    <n v="1000"/>
    <m/>
    <m/>
    <m/>
    <m/>
    <m/>
    <n v="1000"/>
    <n v="83.333333333333329"/>
  </r>
  <r>
    <x v="135"/>
    <s v="P45"/>
    <m/>
    <n v="210"/>
    <m/>
    <m/>
    <m/>
    <m/>
    <m/>
    <m/>
    <m/>
    <m/>
    <m/>
    <m/>
    <m/>
    <n v="210"/>
    <n v="17.5"/>
  </r>
  <r>
    <x v="136"/>
    <s v="P28"/>
    <n v="3650"/>
    <n v="4500"/>
    <n v="5155"/>
    <n v="3720"/>
    <n v="3872"/>
    <n v="6044"/>
    <n v="5155"/>
    <n v="4520"/>
    <n v="2500"/>
    <n v="5185"/>
    <n v="2700"/>
    <n v="3660"/>
    <n v="3700"/>
    <n v="54361"/>
    <n v="4530.083333333333"/>
  </r>
  <r>
    <x v="136"/>
    <s v="P80"/>
    <m/>
    <m/>
    <n v="300"/>
    <m/>
    <m/>
    <m/>
    <m/>
    <m/>
    <m/>
    <m/>
    <m/>
    <m/>
    <m/>
    <n v="300"/>
    <n v="25"/>
  </r>
  <r>
    <x v="137"/>
    <s v="P28"/>
    <m/>
    <n v="1100"/>
    <m/>
    <m/>
    <m/>
    <n v="700"/>
    <n v="500"/>
    <m/>
    <m/>
    <m/>
    <m/>
    <m/>
    <n v="500"/>
    <n v="2800"/>
    <n v="233.33333333333334"/>
  </r>
  <r>
    <x v="138"/>
    <s v="P81"/>
    <m/>
    <m/>
    <m/>
    <m/>
    <n v="20"/>
    <m/>
    <m/>
    <m/>
    <m/>
    <m/>
    <m/>
    <m/>
    <m/>
    <n v="20"/>
    <n v="1.6666666666666667"/>
  </r>
  <r>
    <x v="139"/>
    <s v="P20"/>
    <m/>
    <m/>
    <m/>
    <m/>
    <m/>
    <m/>
    <m/>
    <n v="60"/>
    <m/>
    <m/>
    <m/>
    <m/>
    <m/>
    <n v="60"/>
    <n v="5"/>
  </r>
  <r>
    <x v="140"/>
    <s v="P04"/>
    <m/>
    <n v="4"/>
    <m/>
    <m/>
    <m/>
    <n v="73"/>
    <n v="68"/>
    <n v="35"/>
    <n v="30"/>
    <m/>
    <m/>
    <n v="57"/>
    <n v="20"/>
    <n v="287"/>
    <n v="23.916666666666668"/>
  </r>
  <r>
    <x v="141"/>
    <s v="P04"/>
    <n v="196"/>
    <n v="285"/>
    <n v="138"/>
    <n v="35"/>
    <n v="243"/>
    <n v="158"/>
    <n v="166"/>
    <n v="250"/>
    <n v="174"/>
    <n v="225"/>
    <n v="80"/>
    <n v="195"/>
    <n v="230"/>
    <n v="2375"/>
    <n v="197.91666666666666"/>
  </r>
  <r>
    <x v="142"/>
    <s v="P01"/>
    <m/>
    <m/>
    <m/>
    <m/>
    <m/>
    <m/>
    <m/>
    <n v="53"/>
    <m/>
    <m/>
    <m/>
    <m/>
    <m/>
    <n v="53"/>
    <n v="4.416666666666667"/>
  </r>
  <r>
    <x v="143"/>
    <s v="P03"/>
    <m/>
    <m/>
    <m/>
    <m/>
    <n v="1985"/>
    <n v="3085"/>
    <m/>
    <m/>
    <n v="3200"/>
    <m/>
    <m/>
    <m/>
    <m/>
    <n v="8270"/>
    <n v="689.16666666666663"/>
  </r>
  <r>
    <x v="144"/>
    <s v="P03"/>
    <m/>
    <n v="3200"/>
    <m/>
    <m/>
    <m/>
    <m/>
    <m/>
    <m/>
    <n v="3200"/>
    <m/>
    <m/>
    <m/>
    <m/>
    <n v="6400"/>
    <n v="533.33333333333337"/>
  </r>
  <r>
    <x v="145"/>
    <s v="P03"/>
    <m/>
    <n v="3000"/>
    <m/>
    <m/>
    <n v="1800"/>
    <m/>
    <m/>
    <m/>
    <n v="2800"/>
    <m/>
    <m/>
    <m/>
    <m/>
    <n v="7600"/>
    <n v="633.33333333333337"/>
  </r>
  <r>
    <x v="145"/>
    <s v="P04"/>
    <m/>
    <m/>
    <m/>
    <m/>
    <m/>
    <m/>
    <m/>
    <n v="1200"/>
    <n v="2000"/>
    <m/>
    <m/>
    <n v="1787"/>
    <m/>
    <n v="4987"/>
    <n v="415.5833333333333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"/>
    <x v="0"/>
    <s v="P-05, P04, P20,P02,P25,P01,P03"/>
    <s v="600X 400 X 220 _x000a_ 1000X 400 X 250 _x000a_ 1450 X 400 X 250"/>
    <n v="2010"/>
    <n v="1942"/>
    <n v="2154"/>
    <n v="2433"/>
    <n v="2310"/>
    <n v="2204"/>
    <n v="2372"/>
    <n v="2470"/>
    <n v="2823"/>
    <n v="1699"/>
    <n v="2389"/>
    <n v="2619"/>
    <n v="2308"/>
    <n v="29733"/>
    <n v="2477.75"/>
  </r>
  <r>
    <n v="2"/>
    <x v="1"/>
    <s v="P25,P01,P26,P03,P41,P02,P80,P04"/>
    <s v="600 X 400 X 240_x000a_600 X 400 X 360_x000a_900 X 400 X 240"/>
    <n v="6133"/>
    <n v="5071"/>
    <n v="7095"/>
    <n v="8116"/>
    <n v="6215"/>
    <n v="5598"/>
    <n v="6150"/>
    <n v="6908"/>
    <n v="7209"/>
    <n v="7374"/>
    <n v="5746"/>
    <n v="8185"/>
    <n v="6409"/>
    <n v="86209"/>
    <n v="7184.083333333333"/>
  </r>
  <r>
    <n v="3"/>
    <x v="2"/>
    <s v="P-25, P02, P41,P05, P26,P29, P01, P04"/>
    <s v="600x400x240_x000a_600x300x160_x000a_800x600x240_x000a_550X350X200_x000a_400x300x240_x000a_900x400x240_x000a_"/>
    <n v="6000"/>
    <n v="4182"/>
    <n v="5454"/>
    <n v="5907"/>
    <n v="4594"/>
    <n v="4161"/>
    <n v="4394"/>
    <n v="4704"/>
    <n v="4792"/>
    <n v="7377"/>
    <n v="4149"/>
    <n v="5124"/>
    <n v="5839"/>
    <n v="66677"/>
    <n v="5556.416666666667"/>
  </r>
  <r>
    <n v="4"/>
    <x v="3"/>
    <s v="Close"/>
    <m/>
    <n v="27"/>
    <n v="6"/>
    <n v="9"/>
    <m/>
    <m/>
    <m/>
    <m/>
    <m/>
    <m/>
    <m/>
    <m/>
    <m/>
    <m/>
    <n v="42"/>
    <n v="3.5"/>
  </r>
  <r>
    <n v="5"/>
    <x v="4"/>
    <s v="P05, P01, P04, P03, P02, P25, P28, P80"/>
    <s v="20&quot; X 12&quot; X 8&quot;"/>
    <n v="4247"/>
    <n v="3241"/>
    <n v="5213"/>
    <n v="4835"/>
    <n v="4887"/>
    <n v="4671"/>
    <n v="2595"/>
    <n v="3518"/>
    <n v="5813"/>
    <n v="3462"/>
    <n v="4760"/>
    <n v="4584"/>
    <n v="4705"/>
    <n v="56531"/>
    <n v="4710.916666666667"/>
  </r>
  <r>
    <n v="6"/>
    <x v="5"/>
    <s v="P04"/>
    <s v="600 X 400 X 360"/>
    <n v="2476.85"/>
    <n v="2121.65"/>
    <n v="2211.9499999999998"/>
    <n v="2257.75"/>
    <n v="1676"/>
    <n v="1706.3"/>
    <n v="2266.25"/>
    <n v="1780"/>
    <n v="1760"/>
    <n v="2090"/>
    <n v="1843"/>
    <n v="2327"/>
    <n v="1876"/>
    <n v="26392.75"/>
    <n v="2199.3958333333335"/>
  </r>
  <r>
    <n v="7"/>
    <x v="6"/>
    <m/>
    <m/>
    <m/>
    <m/>
    <m/>
    <m/>
    <m/>
    <m/>
    <m/>
    <m/>
    <m/>
    <m/>
    <n v="800"/>
    <n v="180"/>
    <n v="0"/>
    <n v="980"/>
    <n v="326.66666666666669"/>
  </r>
  <r>
    <n v="8"/>
    <x v="7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2387E1-2C1B-41A3-A11B-44228648DAF8}" name="PivotTable3" cacheId="7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U11:AV16" firstHeaderRow="1" firstDataRow="1" firstDataCol="1"/>
  <pivotFields count="36">
    <pivotField showAll="0"/>
    <pivotField showAll="0"/>
    <pivotField numFmtId="2" showAll="0"/>
    <pivotField showAll="0"/>
    <pivotField showAll="0"/>
    <pivotField numFmtId="10"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dataField="1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allets Daily2" fld="26" baseField="0" baseItem="0"/>
  </dataFields>
  <formats count="6">
    <format dxfId="40">
      <pivotArea type="all" dataOnly="0" outline="0" fieldPosition="0"/>
    </format>
    <format dxfId="41">
      <pivotArea outline="0" collapsedLevelsAreSubtotals="1" fieldPosition="0"/>
    </format>
    <format dxfId="42">
      <pivotArea field="29" type="button" dataOnly="0" labelOnly="1" outline="0" axis="axisRow" fieldPosition="0"/>
    </format>
    <format dxfId="43">
      <pivotArea dataOnly="0" labelOnly="1" fieldPosition="0">
        <references count="1">
          <reference field="29" count="0"/>
        </references>
      </pivotArea>
    </format>
    <format dxfId="44">
      <pivotArea dataOnly="0" labelOnly="1" grandRow="1" outline="0" fieldPosition="0"/>
    </format>
    <format dxfId="45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8A1FA1-20C1-479D-9C08-98B42C7B9995}" name="PivotTable6" cacheId="7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X3:AY8" firstHeaderRow="1" firstDataRow="1" firstDataCol="1"/>
  <pivotFields count="41">
    <pivotField showAll="0"/>
    <pivotField showAll="0"/>
    <pivotField numFmtId="2" showAll="0"/>
    <pivotField showAll="0"/>
    <pivotField showAll="0"/>
    <pivotField numFmtId="10"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numFmtId="1" showAll="0"/>
    <pivotField numFmtId="1" showAll="0"/>
    <pivotField numFmtId="1" showAll="0"/>
    <pivotField numFmtId="1" showAll="0"/>
    <pivotField showAll="0"/>
    <pivotField numFmtId="1" showAll="0"/>
    <pivotField numFmtId="1" showAll="0"/>
    <pivotField numFmtId="1" showAll="0"/>
    <pivotField numFmtId="1" showAll="0"/>
    <pivotField dataField="1" numFmtId="1" showAll="0"/>
  </pivotFields>
  <rowFields count="1">
    <field x="2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pallets" fld="40" baseField="0" baseItem="0" numFmtId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94E73-EE74-4D29-ADF6-2AEC058D1519}" name="PivotTable1" cacheId="7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U3:AV8" firstHeaderRow="1" firstDataRow="1" firstDataCol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2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Inventory on Pallet" fld="30" baseField="0" baseItem="0"/>
  </dataFields>
  <formats count="6">
    <format dxfId="34">
      <pivotArea type="all" dataOnly="0" outline="0" fieldPosition="0"/>
    </format>
    <format dxfId="35">
      <pivotArea outline="0" collapsedLevelsAreSubtotals="1" fieldPosition="0"/>
    </format>
    <format dxfId="36">
      <pivotArea field="29" type="button" dataOnly="0" labelOnly="1" outline="0" axis="axisRow" fieldPosition="0"/>
    </format>
    <format dxfId="37">
      <pivotArea dataOnly="0" labelOnly="1" fieldPosition="0">
        <references count="1">
          <reference field="29" count="0"/>
        </references>
      </pivotArea>
    </format>
    <format dxfId="38">
      <pivotArea dataOnly="0" labelOnly="1" grandRow="1" outline="0" fieldPosition="0"/>
    </format>
    <format dxfId="39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5E208-F8AD-4CFD-B30F-74C9BEF8B38D}" name="PivotTable1" cacheId="7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:V148" firstHeaderRow="0" firstDataRow="1" firstDataCol="1"/>
  <pivotFields count="17">
    <pivotField axis="axisRow" showAll="0" sortType="descending">
      <items count="147"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numFmtId="1" showAll="0"/>
  </pivotFields>
  <rowFields count="1">
    <field x="0"/>
  </rowFields>
  <rowItems count="147">
    <i>
      <x v="106"/>
    </i>
    <i>
      <x v="86"/>
    </i>
    <i>
      <x v="25"/>
    </i>
    <i>
      <x v="132"/>
    </i>
    <i>
      <x v="105"/>
    </i>
    <i>
      <x v="107"/>
    </i>
    <i>
      <x v="9"/>
    </i>
    <i>
      <x v="139"/>
    </i>
    <i>
      <x v="89"/>
    </i>
    <i>
      <x v="61"/>
    </i>
    <i>
      <x v="95"/>
    </i>
    <i>
      <x v="70"/>
    </i>
    <i>
      <x v="87"/>
    </i>
    <i>
      <x v="92"/>
    </i>
    <i>
      <x v="79"/>
    </i>
    <i>
      <x v="14"/>
    </i>
    <i>
      <x v="59"/>
    </i>
    <i>
      <x v="57"/>
    </i>
    <i>
      <x v="55"/>
    </i>
    <i>
      <x v="101"/>
    </i>
    <i>
      <x v="124"/>
    </i>
    <i>
      <x v="100"/>
    </i>
    <i>
      <x v="13"/>
    </i>
    <i>
      <x v="97"/>
    </i>
    <i>
      <x v="135"/>
    </i>
    <i>
      <x v="74"/>
    </i>
    <i>
      <x v="140"/>
    </i>
    <i>
      <x v="102"/>
    </i>
    <i>
      <x v="99"/>
    </i>
    <i>
      <x v="104"/>
    </i>
    <i>
      <x v="112"/>
    </i>
    <i>
      <x v="16"/>
    </i>
    <i>
      <x v="119"/>
    </i>
    <i>
      <x v="11"/>
    </i>
    <i>
      <x v="94"/>
    </i>
    <i>
      <x v="80"/>
    </i>
    <i>
      <x v="143"/>
    </i>
    <i>
      <x v="60"/>
    </i>
    <i>
      <x v="73"/>
    </i>
    <i>
      <x/>
    </i>
    <i>
      <x v="17"/>
    </i>
    <i>
      <x v="96"/>
    </i>
    <i>
      <x v="144"/>
    </i>
    <i>
      <x v="85"/>
    </i>
    <i>
      <x v="91"/>
    </i>
    <i>
      <x v="83"/>
    </i>
    <i>
      <x v="2"/>
    </i>
    <i>
      <x v="130"/>
    </i>
    <i>
      <x v="75"/>
    </i>
    <i>
      <x v="88"/>
    </i>
    <i>
      <x v="19"/>
    </i>
    <i>
      <x v="22"/>
    </i>
    <i>
      <x v="113"/>
    </i>
    <i>
      <x v="1"/>
    </i>
    <i>
      <x v="136"/>
    </i>
    <i>
      <x v="68"/>
    </i>
    <i>
      <x v="62"/>
    </i>
    <i>
      <x v="52"/>
    </i>
    <i>
      <x v="131"/>
    </i>
    <i>
      <x v="23"/>
    </i>
    <i>
      <x v="64"/>
    </i>
    <i>
      <x v="128"/>
    </i>
    <i>
      <x v="77"/>
    </i>
    <i>
      <x v="141"/>
    </i>
    <i>
      <x v="51"/>
    </i>
    <i>
      <x v="69"/>
    </i>
    <i>
      <x v="31"/>
    </i>
    <i>
      <x v="115"/>
    </i>
    <i>
      <x v="122"/>
    </i>
    <i>
      <x v="10"/>
    </i>
    <i>
      <x v="78"/>
    </i>
    <i>
      <x v="8"/>
    </i>
    <i>
      <x v="114"/>
    </i>
    <i>
      <x v="110"/>
    </i>
    <i>
      <x v="93"/>
    </i>
    <i>
      <x v="38"/>
    </i>
    <i>
      <x v="4"/>
    </i>
    <i>
      <x v="37"/>
    </i>
    <i>
      <x v="117"/>
    </i>
    <i>
      <x v="76"/>
    </i>
    <i>
      <x v="133"/>
    </i>
    <i>
      <x v="82"/>
    </i>
    <i>
      <x v="27"/>
    </i>
    <i>
      <x v="129"/>
    </i>
    <i>
      <x v="103"/>
    </i>
    <i>
      <x v="50"/>
    </i>
    <i>
      <x v="120"/>
    </i>
    <i>
      <x v="72"/>
    </i>
    <i>
      <x v="127"/>
    </i>
    <i>
      <x v="20"/>
    </i>
    <i>
      <x v="125"/>
    </i>
    <i>
      <x v="118"/>
    </i>
    <i>
      <x v="54"/>
    </i>
    <i>
      <x v="111"/>
    </i>
    <i>
      <x v="67"/>
    </i>
    <i>
      <x v="34"/>
    </i>
    <i>
      <x v="12"/>
    </i>
    <i>
      <x v="46"/>
    </i>
    <i>
      <x v="138"/>
    </i>
    <i>
      <x v="109"/>
    </i>
    <i>
      <x v="134"/>
    </i>
    <i>
      <x v="30"/>
    </i>
    <i>
      <x v="123"/>
    </i>
    <i>
      <x v="121"/>
    </i>
    <i>
      <x v="33"/>
    </i>
    <i>
      <x v="66"/>
    </i>
    <i>
      <x v="126"/>
    </i>
    <i>
      <x v="28"/>
    </i>
    <i>
      <x v="98"/>
    </i>
    <i>
      <x v="81"/>
    </i>
    <i>
      <x v="35"/>
    </i>
    <i>
      <x v="116"/>
    </i>
    <i>
      <x v="49"/>
    </i>
    <i>
      <x v="84"/>
    </i>
    <i>
      <x v="63"/>
    </i>
    <i>
      <x v="56"/>
    </i>
    <i>
      <x v="18"/>
    </i>
    <i>
      <x v="24"/>
    </i>
    <i>
      <x v="43"/>
    </i>
    <i>
      <x v="36"/>
    </i>
    <i>
      <x v="21"/>
    </i>
    <i>
      <x v="108"/>
    </i>
    <i>
      <x v="137"/>
    </i>
    <i>
      <x v="142"/>
    </i>
    <i>
      <x v="58"/>
    </i>
    <i>
      <x v="15"/>
    </i>
    <i>
      <x v="5"/>
    </i>
    <i>
      <x v="45"/>
    </i>
    <i>
      <x v="53"/>
    </i>
    <i>
      <x v="90"/>
    </i>
    <i>
      <x v="29"/>
    </i>
    <i>
      <x v="44"/>
    </i>
    <i>
      <x v="32"/>
    </i>
    <i>
      <x v="39"/>
    </i>
    <i>
      <x v="40"/>
    </i>
    <i>
      <x v="41"/>
    </i>
    <i>
      <x v="42"/>
    </i>
    <i>
      <x v="26"/>
    </i>
    <i>
      <x v="48"/>
    </i>
    <i>
      <x v="47"/>
    </i>
    <i>
      <x v="6"/>
    </i>
    <i>
      <x v="65"/>
    </i>
    <i>
      <x v="71"/>
    </i>
    <i>
      <x v="3"/>
    </i>
    <i>
      <x v="7"/>
    </i>
    <i>
      <x v="14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rand Total" fld="15" baseField="0" baseItem="0"/>
    <dataField name="Sum of Average" fld="16" baseField="0" baseItem="0" numFmtId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1643B8-5F40-4156-986E-A7C5794DDDEE}" name="PivotTable1" cacheId="7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V3:AW8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tored Pallets" fld="44" baseField="0" baseItem="0"/>
  </dataFields>
  <formats count="6">
    <format dxfId="28">
      <pivotArea type="all" dataOnly="0" outline="0" fieldPosition="0"/>
    </format>
    <format dxfId="29">
      <pivotArea outline="0" collapsedLevelsAreSubtotals="1" fieldPosition="0"/>
    </format>
    <format dxfId="30">
      <pivotArea field="29" type="button" dataOnly="0" labelOnly="1" outline="0" axis="axisRow" fieldPosition="0"/>
    </format>
    <format dxfId="31">
      <pivotArea dataOnly="0" labelOnly="1" fieldPosition="0">
        <references count="1">
          <reference field="29" count="0"/>
        </references>
      </pivotArea>
    </format>
    <format dxfId="32">
      <pivotArea dataOnly="0" labelOnly="1" grandRow="1" outline="0" fieldPosition="0"/>
    </format>
    <format dxfId="33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40B87A-F52F-422C-8EDF-BA77157A3FCF}" name="PivotTable3" cacheId="7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V11:AW16" firstHeaderRow="1" firstDataRow="1" firstDataCol="1"/>
  <pivotFields count="36">
    <pivotField showAll="0"/>
    <pivotField showAll="0"/>
    <pivotField numFmtId="2" showAll="0"/>
    <pivotField showAll="0"/>
    <pivotField showAll="0"/>
    <pivotField numFmtId="10"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dataField="1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allets Daily2" fld="26" baseField="0" baseItem="0"/>
  </dataFields>
  <formats count="6">
    <format dxfId="22">
      <pivotArea type="all" dataOnly="0" outline="0" fieldPosition="0"/>
    </format>
    <format dxfId="23">
      <pivotArea outline="0" collapsedLevelsAreSubtotals="1" fieldPosition="0"/>
    </format>
    <format dxfId="24">
      <pivotArea field="29" type="button" dataOnly="0" labelOnly="1" outline="0" axis="axisRow" fieldPosition="0"/>
    </format>
    <format dxfId="25">
      <pivotArea dataOnly="0" labelOnly="1" fieldPosition="0">
        <references count="1">
          <reference field="29" count="0"/>
        </references>
      </pivotArea>
    </format>
    <format dxfId="26">
      <pivotArea dataOnly="0" labelOnly="1" grandRow="1" outline="0" fieldPosition="0"/>
    </format>
    <format dxfId="27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0C1974-3D33-4A70-BE3A-1114A9581F07}" name="PivotTable6" cacheId="7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:W10" firstHeaderRow="0" firstDataRow="1" firstDataCol="1"/>
  <pivotFields count="19">
    <pivotField showAll="0"/>
    <pivotField axis="axisRow" showAll="0">
      <items count="9">
        <item x="0"/>
        <item x="7"/>
        <item x="5"/>
        <item x="3"/>
        <item x="2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17" baseField="0" baseItem="0"/>
    <dataField name="Sum of Average" fld="18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359C20-DBF8-461B-B613-A8C1F8B263A3}" name="PivotTable2" cacheId="7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V2:AW5" firstHeaderRow="1" firstDataRow="1" firstDataCol="1"/>
  <pivotFields count="4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dataField="1" numFmtId="1" showAll="0"/>
  </pivotFields>
  <rowFields count="1">
    <field x="30"/>
  </rowFields>
  <rowItems count="3">
    <i>
      <x/>
    </i>
    <i>
      <x v="1"/>
    </i>
    <i t="grand">
      <x/>
    </i>
  </rowItems>
  <colItems count="1">
    <i/>
  </colItems>
  <dataFields count="1">
    <dataField name="Sum of Total Stored Pallets" fld="45" baseField="0" baseItem="0" numFmtId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B8A778-BD44-4043-BF21-D60D7F92B0CE}" name="PivotTable4" cacheId="7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V8:AW11" firstHeaderRow="1" firstDataRow="1" firstDataCol="1"/>
  <pivotFields count="3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30"/>
  </rowFields>
  <rowItems count="3">
    <i>
      <x/>
    </i>
    <i>
      <x v="1"/>
    </i>
    <i t="grand">
      <x/>
    </i>
  </rowItems>
  <colItems count="1">
    <i/>
  </colItems>
  <dataFields count="1">
    <dataField name="Sum of Pallets Daily2" fld="27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44CFB7-AABB-4712-A1EE-5399321E98FB}" name="PivotTable5" cacheId="7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W3:AX14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6" showAll="0"/>
    <pivotField numFmtId="216" showAll="0"/>
    <pivotField dataField="1" numFmtId="21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axis="axisRow" showAll="0">
      <items count="11">
        <item x="0"/>
        <item x="5"/>
        <item x="3"/>
        <item x="6"/>
        <item x="7"/>
        <item x="1"/>
        <item x="8"/>
        <item x="2"/>
        <item x="9"/>
        <item x="4"/>
        <item t="default"/>
      </items>
    </pivotField>
    <pivotField numFmtId="164" showAll="0"/>
    <pivotField numFmtId="216" showAll="0"/>
    <pivotField numFmtId="216" showAll="0"/>
    <pivotField numFmtId="216" showAll="0"/>
    <pivotField numFmtId="216" showAll="0"/>
    <pivotField numFmtId="216" showAll="0"/>
  </pivotFields>
  <rowFields count="1">
    <field x="3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Daily_x000a_Nos" fld="20" baseField="0" baseItem="0" numFmtId="216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B05EEC-E966-445B-871A-7936025EF09E}" name="PivotTable3" cacheId="7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Q3:AR14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6" showAll="0"/>
    <pivotField numFmtId="216" showAll="0"/>
    <pivotField numFmtId="21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axis="axisRow" showAll="0" sortType="descending">
      <items count="11">
        <item x="4"/>
        <item x="9"/>
        <item x="2"/>
        <item x="8"/>
        <item x="1"/>
        <item x="7"/>
        <item x="6"/>
        <item x="3"/>
        <item x="5"/>
        <item x="0"/>
        <item t="default"/>
      </items>
    </pivotField>
    <pivotField numFmtId="164" showAll="0"/>
    <pivotField numFmtId="216" showAll="0"/>
    <pivotField numFmtId="216" showAll="0"/>
    <pivotField numFmtId="216" showAll="0"/>
    <pivotField numFmtId="216" showAll="0"/>
    <pivotField dataField="1" numFmtId="216" showAll="0"/>
  </pivotFields>
  <rowFields count="1">
    <field x="3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otal Pallets" fld="40" baseField="0" baseItem="0" numFmtId="216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2" dT="2025-06-18T04:04:16.46" personId="{7C2EF1AB-C231-426F-B6BE-66ACE7B4605C}" id="{DC019B18-4BCD-4ADD-B5C4-48815C52545E}">
    <text>Due to weight constrain boxes reduce</text>
  </threadedComment>
  <threadedComment ref="V12" dT="2025-06-18T04:04:38.00" personId="{7C2EF1AB-C231-426F-B6BE-66ACE7B4605C}" id="{63D321A0-D850-43C8-8FEE-143D74B6FC5E}">
    <text>Due to weight constrain boxes reduce</text>
  </threadedComment>
  <threadedComment ref="U21" dT="2025-06-18T04:04:49.40" personId="{7C2EF1AB-C231-426F-B6BE-66ACE7B4605C}" id="{F01E5B35-1E7E-489B-96F4-91D1107FF301}">
    <text>Due to weight constrain boxes reduce</text>
  </threadedComment>
  <threadedComment ref="U24" dT="2025-06-18T04:04:57.37" personId="{7C2EF1AB-C231-426F-B6BE-66ACE7B4605C}" id="{EBE431D7-C213-44EA-9E08-5E22CA5DB38D}">
    <text xml:space="preserve">Due to weight constrain boxes reduce
</text>
  </threadedComment>
  <threadedComment ref="V24" dT="2025-06-18T04:05:10.89" personId="{7C2EF1AB-C231-426F-B6BE-66ACE7B4605C}" id="{911C5348-694A-44EB-B768-20813F3200BE}">
    <text xml:space="preserve">Due to weight constrain boxes reduce
</text>
  </threadedComment>
  <threadedComment ref="U54" dT="2025-06-18T04:05:04.00" personId="{7C2EF1AB-C231-426F-B6BE-66ACE7B4605C}" id="{29E32956-E870-43D8-8605-D86696B4F8E5}">
    <text xml:space="preserve">Due to weight constrain boxes reduce
</text>
  </threadedComment>
  <threadedComment ref="V54" dT="2025-06-18T04:05:16.78" personId="{7C2EF1AB-C231-426F-B6BE-66ACE7B4605C}" id="{5FFB2FA6-3AE0-4F67-AE96-BA23E900EB23}">
    <text xml:space="preserve">Due to weight constrain boxes reduce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T12" dT="2025-06-18T04:04:16.46" personId="{7C2EF1AB-C231-426F-B6BE-66ACE7B4605C}" id="{997C1A47-E88E-4B52-866E-296CD9E1D94D}">
    <text>Due to weight constrain boxes reduce</text>
  </threadedComment>
  <threadedComment ref="U12" dT="2025-06-18T04:04:38.00" personId="{7C2EF1AB-C231-426F-B6BE-66ACE7B4605C}" id="{FDB6E588-639C-40A0-B620-E3E1892D619C}">
    <text>Due to weight constrain boxes reduce</text>
  </threadedComment>
  <threadedComment ref="T21" dT="2025-06-18T04:04:49.40" personId="{7C2EF1AB-C231-426F-B6BE-66ACE7B4605C}" id="{E745CFCE-7205-47D8-B087-D522C10D83D7}">
    <text>Due to weight constrain boxes reduce</text>
  </threadedComment>
  <threadedComment ref="T24" dT="2025-06-18T04:04:57.37" personId="{7C2EF1AB-C231-426F-B6BE-66ACE7B4605C}" id="{AF3B07D0-C1F7-47F3-8F54-2425ECAD6B78}">
    <text xml:space="preserve">Due to weight constrain boxes reduce
</text>
  </threadedComment>
  <threadedComment ref="U24" dT="2025-06-18T04:05:10.89" personId="{7C2EF1AB-C231-426F-B6BE-66ACE7B4605C}" id="{0A03C12B-BBF6-4C74-8B73-7798FCD8948A}">
    <text xml:space="preserve">Due to weight constrain boxes reduce
</text>
  </threadedComment>
  <threadedComment ref="T54" dT="2025-06-18T04:05:04.00" personId="{7C2EF1AB-C231-426F-B6BE-66ACE7B4605C}" id="{A4A6B302-C5F4-4144-895D-DC6D2497494C}">
    <text xml:space="preserve">Due to weight constrain boxes reduce
</text>
  </threadedComment>
  <threadedComment ref="U54" dT="2025-06-18T04:05:16.78" personId="{7C2EF1AB-C231-426F-B6BE-66ACE7B4605C}" id="{7A1B64A9-CCF7-4ED0-AE50-8CB9D042E84C}">
    <text xml:space="preserve">Due to weight constrain boxes reduce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Q17"/>
  <sheetViews>
    <sheetView showGridLines="0" topLeftCell="A2" workbookViewId="0">
      <selection activeCell="M13" sqref="M13:Q13"/>
    </sheetView>
  </sheetViews>
  <sheetFormatPr defaultColWidth="9.125" defaultRowHeight="21"/>
  <cols>
    <col min="1" max="1" width="0.75" style="215" customWidth="1"/>
    <col min="2" max="11" width="9.125" style="215"/>
    <col min="12" max="12" width="20.125" style="215" customWidth="1"/>
    <col min="13" max="13" width="13.25" style="215" customWidth="1"/>
    <col min="14" max="14" width="12.25" style="215" customWidth="1"/>
    <col min="15" max="17" width="4.125" style="215" customWidth="1"/>
    <col min="18" max="16384" width="9.125" style="215"/>
  </cols>
  <sheetData>
    <row r="1" spans="2:17" ht="15" customHeight="1"/>
    <row r="2" spans="2:17" ht="15" customHeight="1">
      <c r="B2" s="318" t="s">
        <v>0</v>
      </c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  <c r="N2" s="318"/>
      <c r="O2" s="318"/>
      <c r="P2" s="318"/>
      <c r="Q2" s="318"/>
    </row>
    <row r="3" spans="2:17" ht="15" customHeight="1">
      <c r="B3" s="318"/>
      <c r="C3" s="318"/>
      <c r="D3" s="318"/>
      <c r="E3" s="318"/>
      <c r="F3" s="318"/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/>
    </row>
    <row r="4" spans="2:17" ht="15" customHeight="1">
      <c r="B4" s="318"/>
      <c r="C4" s="318"/>
      <c r="D4" s="318"/>
      <c r="E4" s="318"/>
      <c r="F4" s="318"/>
      <c r="G4" s="318"/>
      <c r="H4" s="318"/>
      <c r="I4" s="318"/>
      <c r="J4" s="318"/>
      <c r="K4" s="318"/>
      <c r="L4" s="318"/>
      <c r="M4" s="318"/>
      <c r="N4" s="318"/>
      <c r="O4" s="318"/>
      <c r="P4" s="318"/>
      <c r="Q4" s="318"/>
    </row>
    <row r="5" spans="2:17" ht="15" customHeight="1"/>
    <row r="6" spans="2:17" ht="47.25" customHeight="1">
      <c r="L6" s="302" t="s">
        <v>1</v>
      </c>
      <c r="M6" s="303"/>
      <c r="N6" s="303"/>
      <c r="O6" s="303"/>
      <c r="P6" s="303"/>
      <c r="Q6" s="304"/>
    </row>
    <row r="7" spans="2:17">
      <c r="L7" s="218" t="s">
        <v>2</v>
      </c>
      <c r="M7" s="305"/>
      <c r="N7" s="305"/>
      <c r="O7" s="305"/>
      <c r="P7" s="305"/>
      <c r="Q7" s="306"/>
    </row>
    <row r="8" spans="2:17">
      <c r="L8" s="253" t="s">
        <v>3</v>
      </c>
      <c r="M8" s="305"/>
      <c r="N8" s="305"/>
      <c r="O8" s="305"/>
      <c r="P8" s="305"/>
      <c r="Q8" s="306"/>
    </row>
    <row r="9" spans="2:17">
      <c r="L9" s="253" t="s">
        <v>4</v>
      </c>
      <c r="M9" s="319"/>
      <c r="N9" s="319"/>
      <c r="O9" s="319"/>
      <c r="P9" s="319"/>
      <c r="Q9" s="300"/>
    </row>
    <row r="10" spans="2:17">
      <c r="L10" s="253" t="s">
        <v>5</v>
      </c>
      <c r="M10" s="319"/>
      <c r="N10" s="319"/>
      <c r="O10" s="319"/>
      <c r="P10" s="319"/>
      <c r="Q10" s="300"/>
    </row>
    <row r="11" spans="2:17">
      <c r="L11" s="253" t="s">
        <v>6</v>
      </c>
      <c r="M11" s="319" t="s">
        <v>7</v>
      </c>
      <c r="N11" s="319"/>
      <c r="O11" s="319"/>
      <c r="P11" s="319"/>
      <c r="Q11" s="300"/>
    </row>
    <row r="12" spans="2:17">
      <c r="L12" s="254" t="s">
        <v>8</v>
      </c>
      <c r="M12" s="320"/>
      <c r="N12" s="320"/>
      <c r="O12" s="320"/>
      <c r="P12" s="320"/>
      <c r="Q12" s="301"/>
    </row>
    <row r="13" spans="2:17">
      <c r="L13" s="254" t="s">
        <v>9</v>
      </c>
      <c r="M13" s="320"/>
      <c r="N13" s="320"/>
      <c r="O13" s="320"/>
      <c r="P13" s="320"/>
      <c r="Q13" s="301"/>
    </row>
    <row r="14" spans="2:17">
      <c r="L14" s="219"/>
      <c r="M14" s="220"/>
      <c r="N14" s="220"/>
      <c r="O14" s="220"/>
    </row>
    <row r="16" spans="2:17"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</row>
    <row r="17" spans="6:6">
      <c r="F17" s="217" t="s">
        <v>10</v>
      </c>
    </row>
  </sheetData>
  <mergeCells count="9">
    <mergeCell ref="M11:Q11"/>
    <mergeCell ref="M12:Q12"/>
    <mergeCell ref="M13:Q13"/>
    <mergeCell ref="B2:Q4"/>
    <mergeCell ref="L6:Q6"/>
    <mergeCell ref="M7:Q7"/>
    <mergeCell ref="M8:Q8"/>
    <mergeCell ref="M9:Q9"/>
    <mergeCell ref="M10:Q10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9"/>
  <sheetViews>
    <sheetView topLeftCell="A75" zoomScale="71" zoomScaleNormal="71" workbookViewId="0">
      <selection activeCell="D90" sqref="D90"/>
    </sheetView>
  </sheetViews>
  <sheetFormatPr defaultColWidth="9.125" defaultRowHeight="12.75"/>
  <cols>
    <col min="1" max="2" width="9.125" style="194"/>
    <col min="3" max="3" width="35.875" style="194" customWidth="1"/>
    <col min="4" max="4" width="171.375" style="195" customWidth="1"/>
    <col min="5" max="5" width="2.875" style="194" customWidth="1"/>
    <col min="6" max="6" width="4.375" style="194" customWidth="1"/>
    <col min="7" max="16384" width="9.125" style="194"/>
  </cols>
  <sheetData>
    <row r="1" spans="1:23">
      <c r="A1" s="196"/>
      <c r="B1" s="196"/>
      <c r="C1" s="196"/>
      <c r="D1" s="197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</row>
    <row r="2" spans="1:23" ht="21">
      <c r="A2" s="196"/>
      <c r="B2" s="198"/>
      <c r="C2" s="199"/>
      <c r="D2" s="200"/>
      <c r="E2" s="199"/>
      <c r="F2" s="199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</row>
    <row r="3" spans="1:23" ht="15.75">
      <c r="A3" s="196"/>
      <c r="B3" s="199"/>
      <c r="C3" s="199"/>
      <c r="D3" s="201"/>
      <c r="E3" s="199"/>
      <c r="F3" s="199"/>
      <c r="G3" s="202"/>
      <c r="J3" s="202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</row>
    <row r="4" spans="1:23" ht="15.75">
      <c r="A4" s="196"/>
      <c r="B4" s="202" t="s">
        <v>11</v>
      </c>
      <c r="C4" s="203"/>
      <c r="D4" s="321"/>
      <c r="E4" s="204"/>
      <c r="F4" s="204"/>
      <c r="G4" s="202"/>
      <c r="H4" s="202"/>
      <c r="I4" s="202"/>
      <c r="J4" s="202"/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</row>
    <row r="5" spans="1:23" ht="15.75">
      <c r="A5" s="196"/>
      <c r="B5" s="199"/>
      <c r="C5" s="199"/>
      <c r="D5" s="205"/>
      <c r="E5" s="204"/>
      <c r="F5" s="204"/>
      <c r="G5" s="202"/>
      <c r="H5" s="202"/>
      <c r="I5" s="202"/>
      <c r="J5" s="202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</row>
    <row r="6" spans="1:23" ht="15.75" customHeight="1">
      <c r="A6" s="196"/>
      <c r="B6" s="202" t="s">
        <v>12</v>
      </c>
      <c r="C6" s="203"/>
      <c r="D6" s="322"/>
      <c r="E6" s="204"/>
      <c r="F6" s="204"/>
      <c r="G6" s="202"/>
      <c r="H6" s="202"/>
      <c r="I6" s="202"/>
      <c r="J6" s="202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</row>
    <row r="7" spans="1:23" ht="15.75">
      <c r="A7" s="196"/>
      <c r="B7" s="199"/>
      <c r="C7" s="199"/>
      <c r="D7" s="206"/>
      <c r="E7" s="204"/>
      <c r="F7" s="204"/>
      <c r="G7" s="202"/>
      <c r="H7" s="202"/>
      <c r="I7" s="202"/>
      <c r="J7" s="202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</row>
    <row r="8" spans="1:23" ht="15.75" customHeight="1">
      <c r="A8" s="196"/>
      <c r="B8" s="199"/>
      <c r="C8" s="199"/>
      <c r="D8" s="255"/>
      <c r="E8" s="204"/>
      <c r="F8" s="204"/>
      <c r="G8" s="202"/>
      <c r="H8" s="202"/>
      <c r="I8" s="202"/>
      <c r="J8" s="202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</row>
    <row r="9" spans="1:23" ht="15.75">
      <c r="A9" s="196"/>
      <c r="B9" s="199"/>
      <c r="C9" s="199"/>
      <c r="D9" s="205"/>
      <c r="E9" s="204"/>
      <c r="F9" s="204"/>
      <c r="G9" s="202"/>
      <c r="H9" s="202"/>
      <c r="I9" s="202"/>
      <c r="J9" s="202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</row>
    <row r="10" spans="1:23" ht="15.75">
      <c r="A10" s="196"/>
      <c r="B10" s="202" t="s">
        <v>13</v>
      </c>
      <c r="C10" s="203"/>
      <c r="D10" s="323"/>
      <c r="E10" s="204"/>
      <c r="F10" s="204"/>
      <c r="G10" s="202"/>
      <c r="H10" s="202"/>
      <c r="I10" s="202"/>
      <c r="J10" s="202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</row>
    <row r="11" spans="1:23" ht="15.75">
      <c r="A11" s="196"/>
      <c r="B11" s="199"/>
      <c r="C11" s="199"/>
      <c r="D11" s="307"/>
      <c r="E11" s="204"/>
      <c r="F11" s="204"/>
      <c r="G11" s="202"/>
      <c r="H11" s="202"/>
      <c r="I11" s="202"/>
      <c r="J11" s="202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</row>
    <row r="12" spans="1:23" ht="15.75">
      <c r="A12" s="196"/>
      <c r="B12" s="199"/>
      <c r="C12" s="199"/>
      <c r="D12" s="308"/>
      <c r="E12" s="204"/>
      <c r="F12" s="204"/>
      <c r="G12" s="202"/>
      <c r="H12" s="202"/>
      <c r="I12" s="202"/>
      <c r="J12" s="202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</row>
    <row r="13" spans="1:23" ht="15.75">
      <c r="A13" s="196"/>
      <c r="B13" s="199"/>
      <c r="C13" s="199"/>
      <c r="D13" s="205"/>
      <c r="E13" s="204"/>
      <c r="F13" s="204"/>
      <c r="G13" s="202"/>
      <c r="H13" s="202"/>
      <c r="I13" s="202"/>
      <c r="J13" s="202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</row>
    <row r="14" spans="1:23" ht="15.75">
      <c r="A14" s="196"/>
      <c r="B14" s="202" t="s">
        <v>14</v>
      </c>
      <c r="C14" s="203"/>
      <c r="D14" s="321"/>
      <c r="E14" s="204"/>
      <c r="F14" s="204"/>
      <c r="G14" s="202"/>
      <c r="H14" s="202"/>
      <c r="I14" s="202"/>
      <c r="J14" s="202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</row>
    <row r="15" spans="1:23" ht="15.75">
      <c r="A15" s="196"/>
      <c r="B15" s="199"/>
      <c r="C15" s="199"/>
      <c r="D15" s="205"/>
      <c r="E15" s="204"/>
      <c r="F15" s="204"/>
      <c r="G15" s="202"/>
      <c r="H15" s="202"/>
      <c r="I15" s="202"/>
      <c r="J15" s="202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</row>
    <row r="16" spans="1:23" ht="15.75">
      <c r="A16" s="196"/>
      <c r="B16" s="202" t="s">
        <v>15</v>
      </c>
      <c r="C16" s="203"/>
      <c r="D16" s="321"/>
      <c r="E16" s="204"/>
      <c r="F16" s="204"/>
      <c r="G16" s="202"/>
      <c r="H16" s="202"/>
      <c r="I16" s="202"/>
      <c r="J16" s="202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</row>
    <row r="17" spans="1:23" ht="15.75">
      <c r="A17" s="196"/>
      <c r="B17" s="199"/>
      <c r="C17" s="199"/>
      <c r="D17" s="205"/>
      <c r="E17" s="204"/>
      <c r="F17" s="204"/>
      <c r="G17" s="202"/>
      <c r="H17" s="202"/>
      <c r="I17" s="202"/>
      <c r="J17" s="202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96"/>
      <c r="V17" s="196"/>
      <c r="W17" s="196"/>
    </row>
    <row r="18" spans="1:23" ht="15.75" customHeight="1">
      <c r="A18" s="196"/>
      <c r="B18" s="202" t="s">
        <v>16</v>
      </c>
      <c r="C18" s="199"/>
      <c r="D18" s="323"/>
      <c r="E18" s="204"/>
      <c r="F18" s="204"/>
      <c r="G18" s="202"/>
      <c r="H18" s="202"/>
      <c r="I18" s="202"/>
      <c r="J18" s="202"/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96"/>
      <c r="V18" s="196"/>
      <c r="W18" s="196"/>
    </row>
    <row r="19" spans="1:23" ht="15.75" customHeight="1">
      <c r="A19" s="196"/>
      <c r="B19" s="199"/>
      <c r="C19" s="199"/>
      <c r="D19" s="309"/>
      <c r="E19" s="204"/>
      <c r="F19" s="204"/>
      <c r="G19" s="202"/>
      <c r="H19" s="202"/>
      <c r="I19" s="202"/>
      <c r="J19" s="202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96"/>
    </row>
    <row r="20" spans="1:23" ht="15.75" customHeight="1">
      <c r="A20" s="196"/>
      <c r="B20" s="199"/>
      <c r="C20" s="199"/>
      <c r="D20" s="309"/>
      <c r="E20" s="204"/>
      <c r="F20" s="204"/>
      <c r="G20" s="202"/>
      <c r="H20" s="202"/>
      <c r="I20" s="202"/>
      <c r="J20" s="202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</row>
    <row r="21" spans="1:23" ht="15.75" customHeight="1">
      <c r="A21" s="196"/>
      <c r="B21" s="199"/>
      <c r="C21" s="199"/>
      <c r="D21" s="309"/>
      <c r="E21" s="204"/>
      <c r="F21" s="204"/>
      <c r="G21" s="202"/>
      <c r="H21" s="202"/>
      <c r="I21" s="202"/>
      <c r="J21" s="202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</row>
    <row r="22" spans="1:23" ht="15.75" customHeight="1">
      <c r="A22" s="196"/>
      <c r="B22" s="199"/>
      <c r="C22" s="199"/>
      <c r="D22" s="310"/>
      <c r="E22" s="204"/>
      <c r="F22" s="204"/>
      <c r="G22" s="202"/>
      <c r="H22" s="202"/>
      <c r="I22" s="202"/>
      <c r="J22" s="202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</row>
    <row r="23" spans="1:23" ht="15.75">
      <c r="A23" s="196"/>
      <c r="B23" s="199"/>
      <c r="C23" s="199"/>
      <c r="D23" s="205"/>
      <c r="E23" s="204"/>
      <c r="F23" s="204"/>
      <c r="G23" s="202"/>
      <c r="H23" s="202"/>
      <c r="I23" s="202"/>
      <c r="J23" s="202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</row>
    <row r="24" spans="1:23" ht="15.75">
      <c r="A24" s="196"/>
      <c r="B24" s="202" t="s">
        <v>17</v>
      </c>
      <c r="C24" s="203"/>
      <c r="D24" s="321"/>
      <c r="E24" s="204"/>
      <c r="F24" s="204"/>
      <c r="G24" s="202"/>
      <c r="H24" s="202"/>
      <c r="I24" s="202"/>
      <c r="J24" s="202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</row>
    <row r="25" spans="1:23" ht="15.75">
      <c r="A25" s="196"/>
      <c r="B25" s="199"/>
      <c r="C25" s="199"/>
      <c r="D25" s="205"/>
      <c r="E25" s="204"/>
      <c r="F25" s="204"/>
      <c r="G25" s="202"/>
      <c r="H25" s="202"/>
      <c r="I25" s="202"/>
      <c r="J25" s="202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</row>
    <row r="26" spans="1:23" ht="15.75">
      <c r="A26" s="196"/>
      <c r="B26" s="202" t="s">
        <v>18</v>
      </c>
      <c r="C26" s="203"/>
      <c r="D26" s="321"/>
      <c r="E26" s="204"/>
      <c r="F26" s="204"/>
      <c r="G26" s="202"/>
      <c r="H26" s="202"/>
      <c r="I26" s="202"/>
      <c r="J26" s="202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</row>
    <row r="27" spans="1:23" ht="15.75">
      <c r="A27" s="196"/>
      <c r="B27" s="199"/>
      <c r="C27" s="199"/>
      <c r="D27" s="205"/>
      <c r="E27" s="204"/>
      <c r="F27" s="204"/>
      <c r="G27" s="202"/>
      <c r="H27" s="202"/>
      <c r="I27" s="202"/>
      <c r="J27" s="202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</row>
    <row r="28" spans="1:23" ht="15.75">
      <c r="A28" s="196"/>
      <c r="B28" s="202" t="s">
        <v>19</v>
      </c>
      <c r="C28" s="199"/>
      <c r="D28" s="322" t="s">
        <v>20</v>
      </c>
      <c r="E28" s="204"/>
      <c r="F28" s="204"/>
      <c r="G28" s="202"/>
      <c r="H28" s="202"/>
      <c r="I28" s="202"/>
      <c r="J28" s="202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</row>
    <row r="29" spans="1:23" ht="15.75">
      <c r="A29" s="196"/>
      <c r="B29" s="202"/>
      <c r="C29" s="199"/>
      <c r="D29" s="206" t="s">
        <v>21</v>
      </c>
      <c r="E29" s="204"/>
      <c r="F29" s="204"/>
      <c r="G29" s="202"/>
      <c r="H29" s="202"/>
      <c r="I29" s="202"/>
      <c r="J29" s="202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</row>
    <row r="30" spans="1:23" ht="15.75">
      <c r="A30" s="196"/>
      <c r="B30" s="202"/>
      <c r="C30" s="199"/>
      <c r="D30" s="206" t="s">
        <v>22</v>
      </c>
      <c r="E30" s="204"/>
      <c r="F30" s="204"/>
      <c r="G30" s="202"/>
      <c r="H30" s="202"/>
      <c r="I30" s="202"/>
      <c r="J30" s="202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</row>
    <row r="31" spans="1:23" ht="15.75">
      <c r="A31" s="196"/>
      <c r="B31" s="202"/>
      <c r="C31" s="199"/>
      <c r="D31" s="206" t="s">
        <v>23</v>
      </c>
      <c r="E31" s="204"/>
      <c r="F31" s="204"/>
      <c r="G31" s="202"/>
      <c r="H31" s="202"/>
      <c r="I31" s="202"/>
      <c r="J31" s="202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</row>
    <row r="32" spans="1:23" ht="15.75">
      <c r="A32" s="196"/>
      <c r="B32" s="202"/>
      <c r="C32" s="199"/>
      <c r="D32" s="206" t="s">
        <v>24</v>
      </c>
      <c r="E32" s="204"/>
      <c r="F32" s="204"/>
      <c r="G32" s="202"/>
      <c r="H32" s="202"/>
      <c r="I32" s="202"/>
      <c r="J32" s="202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</row>
    <row r="33" spans="1:23" ht="15.75">
      <c r="A33" s="196"/>
      <c r="B33" s="199"/>
      <c r="C33" s="199"/>
      <c r="D33" s="255"/>
      <c r="E33" s="204"/>
      <c r="F33" s="204"/>
      <c r="G33" s="202"/>
      <c r="H33" s="202"/>
      <c r="I33" s="202"/>
      <c r="J33" s="202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</row>
    <row r="34" spans="1:23" ht="15.75">
      <c r="A34" s="196"/>
      <c r="B34" s="199"/>
      <c r="C34" s="199"/>
      <c r="D34" s="205"/>
      <c r="E34" s="204"/>
      <c r="F34" s="204"/>
      <c r="G34" s="202"/>
      <c r="H34" s="202"/>
      <c r="I34" s="202"/>
      <c r="J34" s="202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</row>
    <row r="35" spans="1:23" ht="15.75">
      <c r="A35" s="196"/>
      <c r="B35" s="202" t="s">
        <v>25</v>
      </c>
      <c r="C35" s="199"/>
      <c r="D35" s="324" t="s">
        <v>26</v>
      </c>
      <c r="E35" s="204"/>
      <c r="F35" s="204"/>
      <c r="G35" s="202"/>
      <c r="H35" s="202"/>
      <c r="I35" s="202"/>
      <c r="J35" s="202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</row>
    <row r="36" spans="1:23" ht="15.75">
      <c r="A36" s="196"/>
      <c r="B36" s="202"/>
      <c r="C36" s="199"/>
      <c r="D36" s="207" t="s">
        <v>27</v>
      </c>
      <c r="E36" s="204"/>
      <c r="F36" s="204"/>
      <c r="G36" s="202"/>
      <c r="H36" s="202"/>
      <c r="I36" s="202"/>
      <c r="J36" s="202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</row>
    <row r="37" spans="1:23" ht="15.75">
      <c r="A37" s="196"/>
      <c r="B37" s="202"/>
      <c r="C37" s="199"/>
      <c r="D37" s="256" t="s">
        <v>28</v>
      </c>
      <c r="E37" s="204"/>
      <c r="F37" s="204"/>
      <c r="G37" s="202"/>
      <c r="H37" s="202"/>
      <c r="I37" s="202"/>
      <c r="J37" s="202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</row>
    <row r="38" spans="1:23" ht="15.75">
      <c r="A38" s="196"/>
      <c r="B38" s="208"/>
      <c r="C38" s="208"/>
      <c r="D38" s="209"/>
      <c r="E38" s="204"/>
      <c r="F38" s="204"/>
      <c r="G38" s="202"/>
      <c r="H38" s="202"/>
      <c r="I38" s="202"/>
      <c r="J38" s="202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</row>
    <row r="39" spans="1:23" ht="15.75">
      <c r="A39" s="196"/>
      <c r="B39" s="210" t="s">
        <v>29</v>
      </c>
      <c r="C39" s="199"/>
      <c r="D39" s="209"/>
      <c r="E39" s="204"/>
      <c r="F39" s="204"/>
      <c r="G39" s="202"/>
      <c r="H39" s="202"/>
      <c r="I39" s="202"/>
      <c r="J39" s="202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</row>
    <row r="40" spans="1:23" ht="15.75">
      <c r="A40" s="196"/>
      <c r="B40" s="202" t="s">
        <v>30</v>
      </c>
      <c r="C40" s="199"/>
      <c r="D40" s="321" t="s">
        <v>31</v>
      </c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</row>
    <row r="41" spans="1:23" ht="15.75">
      <c r="A41" s="196"/>
      <c r="B41" s="202" t="s">
        <v>32</v>
      </c>
      <c r="C41" s="199"/>
      <c r="D41" s="325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</row>
    <row r="42" spans="1:23" ht="15.75">
      <c r="A42" s="196"/>
      <c r="B42" s="202" t="s">
        <v>33</v>
      </c>
      <c r="C42" s="199"/>
      <c r="D42" s="321" t="s">
        <v>34</v>
      </c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</row>
    <row r="43" spans="1:23" ht="15.75">
      <c r="A43" s="196"/>
      <c r="B43" s="202" t="s">
        <v>35</v>
      </c>
      <c r="C43" s="199"/>
      <c r="D43" s="321" t="s">
        <v>36</v>
      </c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</row>
    <row r="44" spans="1:23" ht="15.75">
      <c r="A44" s="196"/>
      <c r="B44" s="202" t="s">
        <v>37</v>
      </c>
      <c r="C44" s="199"/>
      <c r="D44" s="321" t="s">
        <v>38</v>
      </c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</row>
    <row r="45" spans="1:23" ht="15.75">
      <c r="A45" s="196"/>
      <c r="B45" s="202" t="s">
        <v>39</v>
      </c>
      <c r="C45" s="199"/>
      <c r="D45" s="321" t="s">
        <v>40</v>
      </c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96"/>
      <c r="W45" s="196"/>
    </row>
    <row r="46" spans="1:23" ht="15.75">
      <c r="A46" s="196"/>
      <c r="B46" s="202" t="s">
        <v>41</v>
      </c>
      <c r="C46" s="199"/>
      <c r="D46" s="321" t="s">
        <v>42</v>
      </c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</row>
    <row r="47" spans="1:23" ht="15.75">
      <c r="A47" s="196"/>
      <c r="B47" s="202" t="s">
        <v>43</v>
      </c>
      <c r="C47" s="199"/>
      <c r="D47" s="321" t="s">
        <v>44</v>
      </c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</row>
    <row r="48" spans="1:23">
      <c r="A48" s="196"/>
      <c r="B48" s="196"/>
      <c r="C48" s="196"/>
      <c r="D48" s="197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96"/>
      <c r="V48" s="196"/>
      <c r="W48" s="196"/>
    </row>
    <row r="49" spans="1:23" ht="15.75">
      <c r="A49" s="196"/>
      <c r="B49" s="199"/>
      <c r="C49" s="199"/>
      <c r="D49" s="205"/>
      <c r="E49" s="204"/>
      <c r="F49" s="204"/>
      <c r="G49" s="202"/>
      <c r="H49" s="202"/>
      <c r="I49" s="202"/>
      <c r="J49" s="202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</row>
    <row r="50" spans="1:23" ht="15.75">
      <c r="A50" s="196"/>
      <c r="B50" s="202" t="s">
        <v>45</v>
      </c>
      <c r="C50" s="203"/>
      <c r="D50" s="321"/>
      <c r="E50" s="204"/>
      <c r="F50" s="204"/>
      <c r="G50" s="202"/>
      <c r="H50" s="202"/>
      <c r="I50" s="202"/>
      <c r="J50" s="202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</row>
    <row r="51" spans="1:23" ht="15.75">
      <c r="A51" s="196"/>
      <c r="B51" s="199"/>
      <c r="C51" s="199"/>
      <c r="D51" s="205"/>
      <c r="E51" s="204"/>
      <c r="F51" s="204"/>
      <c r="G51" s="202"/>
      <c r="H51" s="202"/>
      <c r="I51" s="202"/>
      <c r="J51" s="202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</row>
    <row r="52" spans="1:23" ht="15.75">
      <c r="A52" s="196"/>
      <c r="B52" s="202" t="s">
        <v>46</v>
      </c>
      <c r="C52" s="203"/>
      <c r="D52" s="326"/>
      <c r="E52" s="204"/>
      <c r="F52" s="204"/>
      <c r="G52" s="202"/>
      <c r="H52" s="202"/>
      <c r="I52" s="202"/>
      <c r="J52" s="202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</row>
    <row r="53" spans="1:23" ht="15.75">
      <c r="A53" s="196"/>
      <c r="B53" s="199"/>
      <c r="C53" s="199"/>
      <c r="D53" s="205"/>
      <c r="E53" s="204"/>
      <c r="F53" s="204"/>
      <c r="G53" s="202"/>
      <c r="H53" s="202"/>
      <c r="I53" s="202"/>
      <c r="J53" s="202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</row>
    <row r="54" spans="1:23" ht="15.75" customHeight="1">
      <c r="A54" s="196"/>
      <c r="B54" s="202" t="s">
        <v>47</v>
      </c>
      <c r="C54" s="199"/>
      <c r="D54" s="327"/>
      <c r="E54" s="204"/>
      <c r="F54" s="204"/>
      <c r="G54" s="202"/>
      <c r="H54" s="202"/>
      <c r="I54" s="202"/>
      <c r="J54" s="202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</row>
    <row r="55" spans="1:23" ht="12.75" customHeight="1">
      <c r="A55" s="196"/>
      <c r="B55" s="196"/>
      <c r="C55" s="196"/>
      <c r="D55" s="311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96"/>
      <c r="V55" s="196"/>
      <c r="W55" s="196"/>
    </row>
    <row r="56" spans="1:23" ht="15.75" customHeight="1">
      <c r="A56" s="196"/>
      <c r="B56" s="196"/>
      <c r="C56" s="196"/>
      <c r="D56" s="311"/>
      <c r="E56" s="196"/>
      <c r="F56" s="204"/>
      <c r="G56" s="202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</row>
    <row r="57" spans="1:23" ht="15.75" customHeight="1">
      <c r="A57" s="196"/>
      <c r="B57" s="196"/>
      <c r="C57" s="196"/>
      <c r="D57" s="311"/>
      <c r="E57" s="196"/>
      <c r="F57" s="196"/>
      <c r="G57" s="202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</row>
    <row r="58" spans="1:23" ht="12.75" customHeight="1">
      <c r="A58" s="196"/>
      <c r="B58" s="196"/>
      <c r="C58" s="196"/>
      <c r="D58" s="311"/>
      <c r="E58" s="196"/>
      <c r="F58" s="204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6"/>
      <c r="V58" s="196"/>
      <c r="W58" s="196"/>
    </row>
    <row r="59" spans="1:23" ht="15.75" customHeight="1">
      <c r="A59" s="196"/>
      <c r="B59" s="196"/>
      <c r="C59" s="196"/>
      <c r="D59" s="311"/>
      <c r="E59" s="196"/>
      <c r="F59" s="196"/>
      <c r="G59" s="202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</row>
    <row r="60" spans="1:23" ht="15.75" customHeight="1">
      <c r="A60" s="196"/>
      <c r="B60" s="196"/>
      <c r="C60" s="196"/>
      <c r="D60" s="311"/>
      <c r="E60" s="196"/>
      <c r="F60" s="211"/>
      <c r="G60" s="202" t="s">
        <v>48</v>
      </c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</row>
    <row r="61" spans="1:23" ht="12.75" customHeight="1">
      <c r="A61" s="196"/>
      <c r="B61" s="196"/>
      <c r="C61" s="196"/>
      <c r="D61" s="311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</row>
    <row r="62" spans="1:23" ht="15.75" customHeight="1">
      <c r="A62" s="196"/>
      <c r="B62" s="196"/>
      <c r="C62" s="196"/>
      <c r="D62" s="311"/>
      <c r="E62" s="196"/>
      <c r="F62" s="212"/>
      <c r="G62" s="202" t="s">
        <v>49</v>
      </c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6"/>
      <c r="V62" s="196"/>
      <c r="W62" s="196"/>
    </row>
    <row r="63" spans="1:23" ht="15.75" customHeight="1">
      <c r="A63" s="196"/>
      <c r="B63" s="196"/>
      <c r="C63" s="196"/>
      <c r="D63" s="311"/>
      <c r="E63" s="196"/>
      <c r="F63" s="196"/>
      <c r="G63" s="202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</row>
    <row r="64" spans="1:23" ht="15.75" customHeight="1">
      <c r="A64" s="196"/>
      <c r="B64" s="196"/>
      <c r="C64" s="196"/>
      <c r="D64" s="311"/>
      <c r="E64" s="196"/>
      <c r="F64" s="213"/>
      <c r="G64" s="202" t="s">
        <v>50</v>
      </c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</row>
    <row r="65" spans="1:23" ht="15.75" customHeight="1">
      <c r="A65" s="196"/>
      <c r="B65" s="196"/>
      <c r="C65" s="196"/>
      <c r="D65" s="311"/>
      <c r="E65" s="196"/>
      <c r="F65" s="196"/>
      <c r="G65" s="202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96"/>
      <c r="V65" s="196"/>
      <c r="W65" s="196"/>
    </row>
    <row r="66" spans="1:23" ht="15.75" customHeight="1">
      <c r="A66" s="196"/>
      <c r="B66" s="196"/>
      <c r="C66" s="196"/>
      <c r="D66" s="311"/>
      <c r="E66" s="196"/>
      <c r="F66" s="214"/>
      <c r="G66" s="202" t="s">
        <v>51</v>
      </c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96"/>
      <c r="V66" s="196"/>
      <c r="W66" s="196"/>
    </row>
    <row r="67" spans="1:23" ht="12.75" customHeight="1">
      <c r="A67" s="196"/>
      <c r="B67" s="196"/>
      <c r="C67" s="196"/>
      <c r="D67" s="311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96"/>
      <c r="V67" s="196"/>
      <c r="W67" s="196"/>
    </row>
    <row r="68" spans="1:23" ht="12.75" customHeight="1">
      <c r="A68" s="196"/>
      <c r="B68" s="196"/>
      <c r="C68" s="196"/>
      <c r="D68" s="311"/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96"/>
      <c r="V68" s="196"/>
      <c r="W68" s="196"/>
    </row>
    <row r="69" spans="1:23" ht="12.75" customHeight="1">
      <c r="A69" s="196"/>
      <c r="B69" s="196"/>
      <c r="C69" s="196"/>
      <c r="D69" s="311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</row>
    <row r="70" spans="1:23" ht="12.75" customHeight="1">
      <c r="A70" s="196"/>
      <c r="B70" s="196"/>
      <c r="C70" s="196"/>
      <c r="D70" s="311"/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96"/>
      <c r="V70" s="196"/>
      <c r="W70" s="196"/>
    </row>
    <row r="71" spans="1:23" ht="12.75" customHeight="1">
      <c r="A71" s="196"/>
      <c r="B71" s="196"/>
      <c r="C71" s="196"/>
      <c r="D71" s="311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96"/>
      <c r="V71" s="196"/>
      <c r="W71" s="196"/>
    </row>
    <row r="72" spans="1:23" ht="12.75" customHeight="1">
      <c r="A72" s="196"/>
      <c r="B72" s="196"/>
      <c r="C72" s="196"/>
      <c r="D72" s="311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6"/>
      <c r="V72" s="196"/>
      <c r="W72" s="196"/>
    </row>
    <row r="73" spans="1:23" ht="12.75" customHeight="1">
      <c r="A73" s="196"/>
      <c r="B73" s="196"/>
      <c r="C73" s="196"/>
      <c r="D73" s="311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</row>
    <row r="74" spans="1:23" ht="12.75" customHeight="1">
      <c r="A74" s="196"/>
      <c r="B74" s="196"/>
      <c r="C74" s="196"/>
      <c r="D74" s="312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96"/>
    </row>
    <row r="75" spans="1:23">
      <c r="A75" s="196"/>
      <c r="B75" s="196"/>
      <c r="C75" s="196"/>
      <c r="D75" s="197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96"/>
      <c r="V75" s="196"/>
      <c r="W75" s="196"/>
    </row>
    <row r="76" spans="1:23">
      <c r="A76" s="196"/>
      <c r="B76" s="196"/>
      <c r="C76" s="196"/>
      <c r="D76" s="197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96"/>
    </row>
    <row r="77" spans="1:23" ht="15.75">
      <c r="A77" s="196"/>
      <c r="B77" s="210" t="s">
        <v>52</v>
      </c>
      <c r="C77" s="199"/>
      <c r="D77" s="209"/>
      <c r="E77" s="204"/>
      <c r="F77" s="204"/>
      <c r="G77" s="202"/>
      <c r="H77" s="202"/>
      <c r="I77" s="202"/>
      <c r="J77" s="202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96"/>
      <c r="V77" s="196"/>
      <c r="W77" s="196"/>
    </row>
    <row r="78" spans="1:23" ht="15.75">
      <c r="A78" s="196"/>
      <c r="B78" s="202" t="s">
        <v>53</v>
      </c>
      <c r="C78" s="199"/>
      <c r="D78" s="321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96"/>
      <c r="V78" s="196"/>
      <c r="W78" s="196"/>
    </row>
    <row r="79" spans="1:23" ht="15.75">
      <c r="A79" s="196"/>
      <c r="B79" s="202" t="s">
        <v>54</v>
      </c>
      <c r="C79" s="199"/>
      <c r="D79" s="321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96"/>
      <c r="V79" s="196"/>
      <c r="W79" s="196"/>
    </row>
    <row r="80" spans="1:23" ht="15.75">
      <c r="A80" s="196"/>
      <c r="B80" s="202" t="s">
        <v>55</v>
      </c>
      <c r="C80" s="199"/>
      <c r="D80" s="321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96"/>
      <c r="V80" s="196"/>
      <c r="W80" s="196"/>
    </row>
    <row r="81" spans="1:23" ht="15.75">
      <c r="A81" s="196"/>
      <c r="B81" s="202" t="s">
        <v>56</v>
      </c>
      <c r="C81" s="199"/>
      <c r="D81" s="321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6"/>
      <c r="V81" s="196"/>
      <c r="W81" s="196"/>
    </row>
    <row r="82" spans="1:23" ht="15.75">
      <c r="A82" s="196"/>
      <c r="B82" s="202"/>
      <c r="C82" s="196"/>
      <c r="D82" s="197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6"/>
      <c r="W82" s="196"/>
    </row>
    <row r="83" spans="1:23">
      <c r="A83" s="196"/>
      <c r="B83" s="196"/>
      <c r="C83" s="196"/>
      <c r="D83" s="197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196"/>
      <c r="W83" s="196"/>
    </row>
    <row r="84" spans="1:23">
      <c r="A84" s="196"/>
      <c r="B84" s="196"/>
      <c r="C84" s="196"/>
      <c r="D84" s="197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</row>
    <row r="85" spans="1:23">
      <c r="A85" s="196"/>
      <c r="B85" s="196"/>
      <c r="C85" s="196"/>
      <c r="D85" s="197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</row>
    <row r="86" spans="1:23">
      <c r="A86" s="196"/>
      <c r="B86" s="196"/>
      <c r="C86" s="196"/>
      <c r="D86" s="197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</row>
    <row r="87" spans="1:23">
      <c r="A87" s="196"/>
      <c r="B87" s="196"/>
      <c r="C87" s="196"/>
      <c r="D87" s="197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96"/>
      <c r="V87" s="196"/>
      <c r="W87" s="196"/>
    </row>
    <row r="88" spans="1:23">
      <c r="A88" s="196"/>
      <c r="B88" s="196"/>
      <c r="C88" s="196"/>
      <c r="D88" s="197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96"/>
    </row>
    <row r="89" spans="1:23">
      <c r="A89" s="196"/>
      <c r="B89" s="196"/>
      <c r="C89" s="196"/>
      <c r="D89" s="197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96"/>
      <c r="V89" s="196"/>
      <c r="W89" s="196"/>
    </row>
    <row r="90" spans="1:23">
      <c r="A90" s="196"/>
      <c r="B90" s="196"/>
      <c r="C90" s="196"/>
      <c r="D90" s="197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96"/>
    </row>
    <row r="91" spans="1:23">
      <c r="A91" s="196"/>
      <c r="B91" s="196"/>
      <c r="C91" s="196"/>
      <c r="D91" s="197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96"/>
    </row>
    <row r="92" spans="1:23">
      <c r="A92" s="196"/>
      <c r="B92" s="196"/>
      <c r="C92" s="196"/>
      <c r="D92" s="197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96"/>
      <c r="V92" s="196"/>
      <c r="W92" s="196"/>
    </row>
    <row r="93" spans="1:23">
      <c r="A93" s="196"/>
      <c r="B93" s="196"/>
      <c r="C93" s="196"/>
      <c r="D93" s="197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96"/>
    </row>
    <row r="94" spans="1:23">
      <c r="A94" s="196"/>
      <c r="B94" s="196"/>
      <c r="C94" s="196"/>
      <c r="D94" s="197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</row>
    <row r="95" spans="1:23">
      <c r="A95" s="196"/>
      <c r="B95" s="196"/>
      <c r="C95" s="196"/>
      <c r="D95" s="197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</row>
    <row r="96" spans="1:23">
      <c r="A96" s="196"/>
      <c r="B96" s="196"/>
      <c r="C96" s="196"/>
      <c r="D96" s="197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96"/>
      <c r="V96" s="196"/>
      <c r="W96" s="196"/>
    </row>
    <row r="97" spans="1:23">
      <c r="A97" s="196"/>
      <c r="B97" s="196"/>
      <c r="C97" s="196"/>
      <c r="D97" s="197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96"/>
      <c r="V97" s="196"/>
      <c r="W97" s="196"/>
    </row>
    <row r="98" spans="1:23">
      <c r="A98" s="196"/>
      <c r="B98" s="196"/>
      <c r="C98" s="196"/>
      <c r="D98" s="197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96"/>
      <c r="V98" s="196"/>
      <c r="W98" s="196"/>
    </row>
    <row r="99" spans="1:23">
      <c r="A99" s="196"/>
      <c r="B99" s="196"/>
      <c r="C99" s="196"/>
      <c r="D99" s="197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6"/>
      <c r="V99" s="196"/>
      <c r="W99" s="196"/>
    </row>
    <row r="100" spans="1:23">
      <c r="A100" s="196"/>
      <c r="B100" s="196"/>
      <c r="C100" s="196"/>
      <c r="D100" s="197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96"/>
      <c r="V100" s="196"/>
      <c r="W100" s="196"/>
    </row>
    <row r="101" spans="1:23">
      <c r="A101" s="196"/>
      <c r="B101" s="196"/>
      <c r="C101" s="196"/>
      <c r="D101" s="197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6"/>
      <c r="V101" s="196"/>
      <c r="W101" s="196"/>
    </row>
    <row r="102" spans="1:23">
      <c r="A102" s="196"/>
      <c r="B102" s="196"/>
      <c r="C102" s="196"/>
      <c r="D102" s="197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96"/>
      <c r="V102" s="196"/>
      <c r="W102" s="196"/>
    </row>
    <row r="103" spans="1:23">
      <c r="A103" s="196"/>
      <c r="B103" s="196"/>
      <c r="C103" s="196"/>
      <c r="D103" s="197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</row>
    <row r="104" spans="1:23">
      <c r="A104" s="196"/>
      <c r="B104" s="196"/>
      <c r="C104" s="196"/>
      <c r="D104" s="197"/>
      <c r="E104" s="196"/>
      <c r="F104" s="196"/>
      <c r="G104" s="196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96"/>
      <c r="V104" s="196"/>
      <c r="W104" s="196"/>
    </row>
    <row r="105" spans="1:23">
      <c r="A105" s="196"/>
      <c r="B105" s="196"/>
      <c r="C105" s="196"/>
      <c r="D105" s="197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96"/>
      <c r="V105" s="196"/>
      <c r="W105" s="196"/>
    </row>
    <row r="106" spans="1:23">
      <c r="A106" s="196"/>
      <c r="B106" s="196"/>
      <c r="C106" s="196"/>
      <c r="D106" s="197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96"/>
      <c r="V106" s="196"/>
      <c r="W106" s="196"/>
    </row>
    <row r="107" spans="1:23">
      <c r="A107" s="196"/>
      <c r="B107" s="196"/>
      <c r="C107" s="196"/>
      <c r="D107" s="197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96"/>
      <c r="V107" s="196"/>
      <c r="W107" s="196"/>
    </row>
    <row r="108" spans="1:23">
      <c r="A108" s="196"/>
      <c r="B108" s="196"/>
      <c r="C108" s="196"/>
      <c r="D108" s="197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96"/>
      <c r="V108" s="196"/>
      <c r="W108" s="196"/>
    </row>
    <row r="109" spans="1:23">
      <c r="A109" s="196"/>
      <c r="B109" s="196"/>
      <c r="C109" s="196"/>
      <c r="D109" s="197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96"/>
      <c r="V109" s="196"/>
      <c r="W109" s="196"/>
    </row>
    <row r="110" spans="1:23">
      <c r="A110" s="196"/>
      <c r="B110" s="196"/>
      <c r="C110" s="196"/>
      <c r="D110" s="197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  <c r="U110" s="196"/>
      <c r="V110" s="196"/>
      <c r="W110" s="196"/>
    </row>
    <row r="111" spans="1:23">
      <c r="A111" s="196"/>
      <c r="B111" s="196"/>
      <c r="C111" s="196"/>
      <c r="D111" s="197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96"/>
      <c r="V111" s="196"/>
      <c r="W111" s="196"/>
    </row>
    <row r="112" spans="1:23">
      <c r="A112" s="196"/>
      <c r="B112" s="196"/>
      <c r="C112" s="196"/>
      <c r="D112" s="197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96"/>
      <c r="V112" s="196"/>
      <c r="W112" s="196"/>
    </row>
    <row r="113" spans="1:23">
      <c r="A113" s="196"/>
      <c r="B113" s="196"/>
      <c r="C113" s="196"/>
      <c r="D113" s="197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6"/>
      <c r="V113" s="196"/>
      <c r="W113" s="196"/>
    </row>
    <row r="114" spans="1:23">
      <c r="A114" s="196"/>
      <c r="B114" s="196"/>
      <c r="C114" s="196"/>
      <c r="D114" s="197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96"/>
      <c r="V114" s="196"/>
      <c r="W114" s="196"/>
    </row>
    <row r="115" spans="1:23">
      <c r="A115" s="196"/>
      <c r="B115" s="196"/>
      <c r="C115" s="196"/>
      <c r="D115" s="197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96"/>
      <c r="V115" s="196"/>
      <c r="W115" s="196"/>
    </row>
    <row r="116" spans="1:23">
      <c r="A116" s="196"/>
      <c r="B116" s="196"/>
      <c r="C116" s="196"/>
      <c r="D116" s="197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  <c r="U116" s="196"/>
      <c r="V116" s="196"/>
      <c r="W116" s="196"/>
    </row>
    <row r="117" spans="1:23">
      <c r="A117" s="196"/>
      <c r="B117" s="196"/>
      <c r="C117" s="196"/>
      <c r="D117" s="197"/>
      <c r="E117" s="196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  <c r="U117" s="196"/>
      <c r="V117" s="196"/>
      <c r="W117" s="196"/>
    </row>
    <row r="118" spans="1:23">
      <c r="A118" s="196"/>
      <c r="B118" s="196"/>
      <c r="C118" s="196"/>
      <c r="D118" s="197"/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96"/>
      <c r="V118" s="196"/>
      <c r="W118" s="196"/>
    </row>
    <row r="119" spans="1:23">
      <c r="A119" s="196"/>
      <c r="B119" s="196"/>
      <c r="C119" s="196"/>
      <c r="D119" s="197"/>
      <c r="E119" s="196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96"/>
      <c r="V119" s="196"/>
      <c r="W119" s="196"/>
    </row>
    <row r="120" spans="1:23">
      <c r="A120" s="196"/>
      <c r="B120" s="196"/>
      <c r="C120" s="196"/>
      <c r="D120" s="197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96"/>
      <c r="V120" s="196"/>
      <c r="W120" s="196"/>
    </row>
    <row r="121" spans="1:23">
      <c r="A121" s="196"/>
      <c r="B121" s="196"/>
      <c r="C121" s="196"/>
      <c r="D121" s="197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96"/>
      <c r="V121" s="196"/>
      <c r="W121" s="196"/>
    </row>
    <row r="122" spans="1:23">
      <c r="A122" s="196"/>
      <c r="B122" s="196"/>
      <c r="C122" s="196"/>
      <c r="D122" s="197"/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96"/>
      <c r="V122" s="196"/>
      <c r="W122" s="196"/>
    </row>
    <row r="123" spans="1:23">
      <c r="A123" s="196"/>
      <c r="B123" s="196"/>
      <c r="C123" s="196"/>
      <c r="D123" s="197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</row>
    <row r="124" spans="1:23">
      <c r="A124" s="196"/>
      <c r="B124" s="196"/>
      <c r="C124" s="196"/>
      <c r="D124" s="197"/>
      <c r="E124" s="196"/>
      <c r="F124" s="196"/>
      <c r="G124" s="196"/>
      <c r="H124" s="196"/>
      <c r="I124" s="196"/>
      <c r="J124" s="196"/>
      <c r="K124" s="196"/>
      <c r="L124" s="196"/>
      <c r="M124" s="196"/>
      <c r="N124" s="196"/>
      <c r="O124" s="196"/>
      <c r="P124" s="196"/>
      <c r="Q124" s="196"/>
      <c r="R124" s="196"/>
      <c r="S124" s="196"/>
      <c r="T124" s="196"/>
      <c r="U124" s="196"/>
      <c r="V124" s="196"/>
      <c r="W124" s="196"/>
    </row>
    <row r="125" spans="1:23">
      <c r="A125" s="196"/>
      <c r="B125" s="196"/>
      <c r="C125" s="196"/>
      <c r="D125" s="197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96"/>
      <c r="V125" s="196"/>
      <c r="W125" s="196"/>
    </row>
    <row r="126" spans="1:23">
      <c r="A126" s="196"/>
      <c r="B126" s="196"/>
      <c r="C126" s="196"/>
      <c r="D126" s="197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96"/>
      <c r="V126" s="196"/>
      <c r="W126" s="196"/>
    </row>
    <row r="127" spans="1:23">
      <c r="A127" s="196"/>
      <c r="B127" s="196"/>
      <c r="C127" s="196"/>
      <c r="D127" s="197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6"/>
      <c r="V127" s="196"/>
      <c r="W127" s="196"/>
    </row>
    <row r="128" spans="1:23">
      <c r="A128" s="196"/>
      <c r="B128" s="196"/>
      <c r="C128" s="196"/>
      <c r="D128" s="197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96"/>
      <c r="V128" s="196"/>
      <c r="W128" s="196"/>
    </row>
    <row r="129" spans="1:23">
      <c r="A129" s="196"/>
      <c r="B129" s="196"/>
      <c r="C129" s="196"/>
      <c r="D129" s="197"/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96"/>
      <c r="V129" s="196"/>
      <c r="W129" s="196"/>
    </row>
    <row r="130" spans="1:23">
      <c r="A130" s="196"/>
      <c r="B130" s="196"/>
      <c r="C130" s="196"/>
      <c r="D130" s="197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96"/>
      <c r="V130" s="196"/>
      <c r="W130" s="196"/>
    </row>
    <row r="131" spans="1:23">
      <c r="A131" s="196"/>
      <c r="B131" s="196"/>
      <c r="C131" s="196"/>
      <c r="D131" s="197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96"/>
      <c r="V131" s="196"/>
      <c r="W131" s="196"/>
    </row>
    <row r="132" spans="1:23">
      <c r="A132" s="196"/>
      <c r="B132" s="196"/>
      <c r="C132" s="196"/>
      <c r="D132" s="197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96"/>
      <c r="V132" s="196"/>
      <c r="W132" s="196"/>
    </row>
    <row r="133" spans="1:23">
      <c r="A133" s="196"/>
      <c r="B133" s="196"/>
      <c r="C133" s="196"/>
      <c r="D133" s="197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96"/>
      <c r="V133" s="196"/>
      <c r="W133" s="196"/>
    </row>
    <row r="134" spans="1:23">
      <c r="A134" s="196"/>
      <c r="B134" s="196"/>
      <c r="C134" s="196"/>
      <c r="D134" s="197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96"/>
      <c r="V134" s="196"/>
      <c r="W134" s="196"/>
    </row>
    <row r="135" spans="1:23">
      <c r="A135" s="196"/>
      <c r="B135" s="196"/>
      <c r="C135" s="196"/>
      <c r="D135" s="197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96"/>
      <c r="V135" s="196"/>
      <c r="W135" s="196"/>
    </row>
    <row r="136" spans="1:23">
      <c r="A136" s="196"/>
      <c r="B136" s="196"/>
      <c r="C136" s="196"/>
      <c r="D136" s="197"/>
      <c r="E136" s="196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96"/>
      <c r="Q136" s="196"/>
      <c r="R136" s="196"/>
      <c r="S136" s="196"/>
      <c r="T136" s="196"/>
      <c r="U136" s="196"/>
      <c r="V136" s="196"/>
      <c r="W136" s="196"/>
    </row>
    <row r="137" spans="1:23">
      <c r="A137" s="196"/>
      <c r="B137" s="196"/>
      <c r="C137" s="196"/>
      <c r="D137" s="197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96"/>
      <c r="V137" s="196"/>
      <c r="W137" s="196"/>
    </row>
    <row r="138" spans="1:23">
      <c r="A138" s="196"/>
      <c r="B138" s="196"/>
      <c r="C138" s="196"/>
      <c r="D138" s="197"/>
      <c r="E138" s="196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96"/>
      <c r="Q138" s="196"/>
      <c r="R138" s="196"/>
      <c r="S138" s="196"/>
      <c r="T138" s="196"/>
      <c r="U138" s="196"/>
      <c r="V138" s="196"/>
      <c r="W138" s="196"/>
    </row>
    <row r="139" spans="1:23">
      <c r="A139" s="196"/>
      <c r="B139" s="196"/>
      <c r="C139" s="196"/>
      <c r="D139" s="197"/>
      <c r="E139" s="196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96"/>
      <c r="Q139" s="196"/>
      <c r="R139" s="196"/>
      <c r="S139" s="196"/>
      <c r="T139" s="196"/>
      <c r="U139" s="196"/>
      <c r="V139" s="196"/>
      <c r="W139" s="196"/>
    </row>
    <row r="140" spans="1:23">
      <c r="A140" s="196"/>
      <c r="B140" s="196"/>
      <c r="C140" s="196"/>
      <c r="D140" s="197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96"/>
      <c r="V140" s="196"/>
      <c r="W140" s="196"/>
    </row>
    <row r="141" spans="1:23">
      <c r="A141" s="196"/>
      <c r="B141" s="196"/>
      <c r="C141" s="196"/>
      <c r="D141" s="197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96"/>
      <c r="V141" s="196"/>
      <c r="W141" s="196"/>
    </row>
    <row r="142" spans="1:23">
      <c r="A142" s="196"/>
      <c r="B142" s="196"/>
      <c r="C142" s="196"/>
      <c r="D142" s="197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96"/>
      <c r="V142" s="196"/>
      <c r="W142" s="196"/>
    </row>
    <row r="143" spans="1:23">
      <c r="A143" s="196"/>
      <c r="B143" s="196"/>
      <c r="C143" s="196"/>
      <c r="D143" s="197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96"/>
      <c r="V143" s="196"/>
      <c r="W143" s="196"/>
    </row>
    <row r="144" spans="1:23">
      <c r="A144" s="196"/>
      <c r="B144" s="196"/>
      <c r="C144" s="196"/>
      <c r="D144" s="197"/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96"/>
      <c r="V144" s="196"/>
      <c r="W144" s="196"/>
    </row>
    <row r="145" spans="1:23">
      <c r="A145" s="196"/>
      <c r="B145" s="196"/>
      <c r="C145" s="196"/>
      <c r="D145" s="197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96"/>
      <c r="V145" s="196"/>
      <c r="W145" s="196"/>
    </row>
    <row r="146" spans="1:23">
      <c r="A146" s="196"/>
      <c r="B146" s="196"/>
      <c r="C146" s="196"/>
      <c r="D146" s="197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96"/>
      <c r="V146" s="196"/>
      <c r="W146" s="196"/>
    </row>
    <row r="147" spans="1:23">
      <c r="A147" s="196"/>
      <c r="B147" s="196"/>
      <c r="C147" s="196"/>
      <c r="D147" s="197"/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96"/>
      <c r="V147" s="196"/>
      <c r="W147" s="196"/>
    </row>
    <row r="148" spans="1:23">
      <c r="A148" s="196"/>
      <c r="B148" s="196"/>
      <c r="C148" s="196"/>
      <c r="D148" s="197"/>
      <c r="E148" s="196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  <c r="U148" s="196"/>
      <c r="V148" s="196"/>
      <c r="W148" s="196"/>
    </row>
    <row r="149" spans="1:23">
      <c r="A149" s="196"/>
      <c r="B149" s="196"/>
      <c r="C149" s="196"/>
      <c r="D149" s="197"/>
      <c r="E149" s="196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96"/>
      <c r="V149" s="196"/>
      <c r="W149" s="196"/>
    </row>
    <row r="150" spans="1:23">
      <c r="A150" s="196"/>
      <c r="B150" s="196"/>
      <c r="C150" s="196"/>
      <c r="D150" s="197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96"/>
      <c r="V150" s="196"/>
      <c r="W150" s="196"/>
    </row>
    <row r="151" spans="1:23">
      <c r="A151" s="196"/>
      <c r="B151" s="196"/>
      <c r="C151" s="196"/>
      <c r="D151" s="197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96"/>
      <c r="V151" s="196"/>
      <c r="W151" s="196"/>
    </row>
    <row r="152" spans="1:23">
      <c r="A152" s="196"/>
      <c r="B152" s="196"/>
      <c r="C152" s="196"/>
      <c r="D152" s="197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  <c r="U152" s="196"/>
      <c r="V152" s="196"/>
      <c r="W152" s="196"/>
    </row>
    <row r="153" spans="1:23">
      <c r="A153" s="196"/>
      <c r="B153" s="196"/>
      <c r="C153" s="196"/>
      <c r="D153" s="197"/>
      <c r="E153" s="196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  <c r="U153" s="196"/>
      <c r="V153" s="196"/>
      <c r="W153" s="196"/>
    </row>
    <row r="154" spans="1:23">
      <c r="A154" s="196"/>
      <c r="B154" s="196"/>
      <c r="C154" s="196"/>
      <c r="D154" s="197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196"/>
      <c r="V154" s="196"/>
      <c r="W154" s="196"/>
    </row>
    <row r="155" spans="1:23">
      <c r="A155" s="196"/>
      <c r="B155" s="196"/>
      <c r="C155" s="196"/>
      <c r="D155" s="197"/>
      <c r="E155" s="196"/>
      <c r="F155" s="196"/>
      <c r="G155" s="196"/>
      <c r="H155" s="196"/>
      <c r="I155" s="196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  <c r="U155" s="196"/>
      <c r="V155" s="196"/>
      <c r="W155" s="196"/>
    </row>
    <row r="156" spans="1:23">
      <c r="A156" s="196"/>
      <c r="B156" s="196"/>
      <c r="C156" s="196"/>
      <c r="D156" s="197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  <c r="U156" s="196"/>
      <c r="V156" s="196"/>
      <c r="W156" s="196"/>
    </row>
    <row r="157" spans="1:23">
      <c r="A157" s="196"/>
      <c r="B157" s="196"/>
      <c r="C157" s="196"/>
      <c r="D157" s="197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96"/>
      <c r="V157" s="196"/>
      <c r="W157" s="196"/>
    </row>
    <row r="158" spans="1:23">
      <c r="A158" s="196"/>
      <c r="B158" s="196"/>
      <c r="C158" s="196"/>
      <c r="D158" s="197"/>
      <c r="E158" s="196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  <c r="U158" s="196"/>
      <c r="V158" s="196"/>
      <c r="W158" s="196"/>
    </row>
    <row r="159" spans="1:23">
      <c r="A159" s="196"/>
      <c r="B159" s="196"/>
      <c r="C159" s="196"/>
      <c r="D159" s="197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96"/>
      <c r="V159" s="196"/>
      <c r="W159" s="196"/>
    </row>
    <row r="160" spans="1:23">
      <c r="A160" s="196"/>
      <c r="B160" s="196"/>
      <c r="C160" s="196"/>
      <c r="D160" s="197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96"/>
      <c r="V160" s="196"/>
      <c r="W160" s="196"/>
    </row>
    <row r="161" spans="1:23">
      <c r="A161" s="196"/>
      <c r="B161" s="196"/>
      <c r="C161" s="196"/>
      <c r="D161" s="197"/>
      <c r="E161" s="196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  <c r="U161" s="196"/>
      <c r="V161" s="196"/>
      <c r="W161" s="196"/>
    </row>
    <row r="162" spans="1:23">
      <c r="A162" s="196"/>
      <c r="B162" s="196"/>
      <c r="C162" s="196"/>
      <c r="D162" s="197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96"/>
      <c r="V162" s="196"/>
      <c r="W162" s="196"/>
    </row>
    <row r="163" spans="1:23">
      <c r="A163" s="196"/>
      <c r="B163" s="196"/>
      <c r="C163" s="196"/>
      <c r="D163" s="197"/>
      <c r="E163" s="196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  <c r="U163" s="196"/>
      <c r="V163" s="196"/>
      <c r="W163" s="196"/>
    </row>
    <row r="164" spans="1:23">
      <c r="A164" s="196"/>
      <c r="B164" s="196"/>
      <c r="C164" s="196"/>
      <c r="D164" s="197"/>
      <c r="E164" s="196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96"/>
      <c r="Q164" s="196"/>
      <c r="R164" s="196"/>
      <c r="S164" s="196"/>
      <c r="T164" s="196"/>
      <c r="U164" s="196"/>
      <c r="V164" s="196"/>
      <c r="W164" s="196"/>
    </row>
    <row r="165" spans="1:23">
      <c r="A165" s="196"/>
      <c r="B165" s="196"/>
      <c r="C165" s="196"/>
      <c r="D165" s="197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96"/>
      <c r="V165" s="196"/>
      <c r="W165" s="196"/>
    </row>
    <row r="166" spans="1:23">
      <c r="A166" s="196"/>
      <c r="B166" s="196"/>
      <c r="C166" s="196"/>
      <c r="D166" s="197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  <c r="R166" s="196"/>
      <c r="S166" s="196"/>
      <c r="T166" s="196"/>
      <c r="U166" s="196"/>
      <c r="V166" s="196"/>
      <c r="W166" s="196"/>
    </row>
    <row r="167" spans="1:23">
      <c r="A167" s="196"/>
      <c r="B167" s="196"/>
      <c r="C167" s="196"/>
      <c r="D167" s="197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96"/>
      <c r="U167" s="196"/>
      <c r="V167" s="196"/>
      <c r="W167" s="196"/>
    </row>
    <row r="168" spans="1:23">
      <c r="A168" s="196"/>
      <c r="B168" s="196"/>
      <c r="C168" s="196"/>
      <c r="D168" s="197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  <c r="U168" s="196"/>
      <c r="V168" s="196"/>
      <c r="W168" s="196"/>
    </row>
    <row r="169" spans="1:23">
      <c r="A169" s="196"/>
      <c r="B169" s="196"/>
      <c r="C169" s="196"/>
      <c r="D169" s="197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96"/>
      <c r="U169" s="196"/>
      <c r="V169" s="196"/>
      <c r="W169" s="196"/>
    </row>
  </sheetData>
  <mergeCells count="3">
    <mergeCell ref="D10:D12"/>
    <mergeCell ref="D18:D22"/>
    <mergeCell ref="D54:D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2:G25"/>
  <sheetViews>
    <sheetView showGridLines="0" topLeftCell="A4" zoomScale="90" zoomScaleNormal="90" workbookViewId="0">
      <selection activeCell="E18" sqref="E18"/>
    </sheetView>
  </sheetViews>
  <sheetFormatPr defaultColWidth="9.125" defaultRowHeight="15"/>
  <cols>
    <col min="1" max="1" width="9.125" style="5"/>
    <col min="2" max="2" width="10.25" style="5" customWidth="1"/>
    <col min="3" max="3" width="13.875" style="5" customWidth="1"/>
    <col min="4" max="4" width="30" style="5" bestFit="1" customWidth="1"/>
    <col min="5" max="5" width="83.25" style="193" customWidth="1"/>
    <col min="6" max="6" width="15" style="5" customWidth="1"/>
    <col min="7" max="7" width="29.375" style="5" customWidth="1"/>
    <col min="8" max="16384" width="9.125" style="5"/>
  </cols>
  <sheetData>
    <row r="2" spans="2:7" ht="15.75">
      <c r="B2" s="221" t="s">
        <v>57</v>
      </c>
      <c r="C2" s="222" t="s">
        <v>58</v>
      </c>
      <c r="D2" s="222" t="s">
        <v>59</v>
      </c>
      <c r="E2" s="222" t="s">
        <v>60</v>
      </c>
      <c r="F2" s="222" t="s">
        <v>61</v>
      </c>
      <c r="G2" s="223" t="s">
        <v>62</v>
      </c>
    </row>
    <row r="3" spans="2:7">
      <c r="B3" s="257">
        <v>1</v>
      </c>
      <c r="C3" s="258" t="s">
        <v>63</v>
      </c>
      <c r="D3" s="259" t="s">
        <v>64</v>
      </c>
      <c r="E3" s="259" t="s">
        <v>65</v>
      </c>
      <c r="F3" s="258" t="s">
        <v>66</v>
      </c>
      <c r="G3" s="260"/>
    </row>
    <row r="4" spans="2:7">
      <c r="B4" s="224">
        <v>2</v>
      </c>
      <c r="C4" s="225" t="s">
        <v>63</v>
      </c>
      <c r="D4" s="226" t="s">
        <v>67</v>
      </c>
      <c r="E4" s="226" t="s">
        <v>68</v>
      </c>
      <c r="F4" s="225" t="s">
        <v>66</v>
      </c>
      <c r="G4" s="227"/>
    </row>
    <row r="5" spans="2:7">
      <c r="B5" s="224">
        <v>3</v>
      </c>
      <c r="C5" s="225" t="s">
        <v>63</v>
      </c>
      <c r="D5" s="226" t="s">
        <v>69</v>
      </c>
      <c r="E5" s="228" t="s">
        <v>70</v>
      </c>
      <c r="F5" s="225" t="s">
        <v>66</v>
      </c>
      <c r="G5" s="227"/>
    </row>
    <row r="6" spans="2:7">
      <c r="B6" s="224">
        <v>4</v>
      </c>
      <c r="C6" s="225" t="s">
        <v>63</v>
      </c>
      <c r="D6" s="226" t="s">
        <v>71</v>
      </c>
      <c r="E6" s="228" t="s">
        <v>72</v>
      </c>
      <c r="F6" s="225" t="s">
        <v>66</v>
      </c>
      <c r="G6" s="227"/>
    </row>
    <row r="7" spans="2:7">
      <c r="B7" s="224">
        <v>5</v>
      </c>
      <c r="C7" s="225" t="s">
        <v>63</v>
      </c>
      <c r="D7" s="226" t="s">
        <v>73</v>
      </c>
      <c r="E7" s="228" t="s">
        <v>74</v>
      </c>
      <c r="F7" s="225" t="s">
        <v>66</v>
      </c>
      <c r="G7" s="227"/>
    </row>
    <row r="8" spans="2:7">
      <c r="B8" s="224">
        <v>6</v>
      </c>
      <c r="C8" s="225" t="s">
        <v>63</v>
      </c>
      <c r="D8" s="226" t="s">
        <v>75</v>
      </c>
      <c r="E8" s="228" t="s">
        <v>76</v>
      </c>
      <c r="F8" s="225" t="s">
        <v>66</v>
      </c>
      <c r="G8" s="227"/>
    </row>
    <row r="9" spans="2:7">
      <c r="B9" s="224">
        <v>7</v>
      </c>
      <c r="C9" s="225" t="s">
        <v>63</v>
      </c>
      <c r="D9" s="226" t="s">
        <v>77</v>
      </c>
      <c r="E9" s="228" t="s">
        <v>78</v>
      </c>
      <c r="F9" s="225" t="s">
        <v>66</v>
      </c>
      <c r="G9" s="227"/>
    </row>
    <row r="10" spans="2:7">
      <c r="B10" s="224">
        <v>8</v>
      </c>
      <c r="C10" s="225" t="s">
        <v>63</v>
      </c>
      <c r="D10" s="226" t="s">
        <v>79</v>
      </c>
      <c r="E10" s="228" t="s">
        <v>80</v>
      </c>
      <c r="F10" s="225" t="s">
        <v>66</v>
      </c>
      <c r="G10" s="227"/>
    </row>
    <row r="11" spans="2:7" ht="15.75" thickBot="1">
      <c r="B11" s="224">
        <v>9</v>
      </c>
      <c r="C11" s="225" t="s">
        <v>63</v>
      </c>
      <c r="D11" s="226" t="s">
        <v>81</v>
      </c>
      <c r="E11" s="228" t="s">
        <v>82</v>
      </c>
      <c r="F11" s="225" t="s">
        <v>66</v>
      </c>
      <c r="G11" s="227"/>
    </row>
    <row r="12" spans="2:7">
      <c r="B12" s="257">
        <v>10</v>
      </c>
      <c r="C12" s="258" t="s">
        <v>83</v>
      </c>
      <c r="D12" s="259" t="s">
        <v>84</v>
      </c>
      <c r="E12" s="266" t="s">
        <v>85</v>
      </c>
      <c r="F12" s="258" t="s">
        <v>86</v>
      </c>
      <c r="G12" s="260"/>
    </row>
    <row r="13" spans="2:7">
      <c r="B13" s="267">
        <v>11</v>
      </c>
      <c r="C13" s="225" t="s">
        <v>83</v>
      </c>
      <c r="D13" s="268" t="s">
        <v>87</v>
      </c>
      <c r="E13" s="269" t="s">
        <v>88</v>
      </c>
      <c r="F13" s="270" t="s">
        <v>66</v>
      </c>
      <c r="G13" s="271"/>
    </row>
    <row r="14" spans="2:7">
      <c r="B14" s="267">
        <v>12</v>
      </c>
      <c r="C14" s="225" t="s">
        <v>83</v>
      </c>
      <c r="D14" s="268" t="s">
        <v>89</v>
      </c>
      <c r="E14" s="269" t="s">
        <v>90</v>
      </c>
      <c r="F14" s="270" t="s">
        <v>66</v>
      </c>
      <c r="G14" s="271"/>
    </row>
    <row r="15" spans="2:7">
      <c r="B15" s="267">
        <v>13</v>
      </c>
      <c r="C15" s="225" t="s">
        <v>83</v>
      </c>
      <c r="D15" s="268" t="s">
        <v>91</v>
      </c>
      <c r="E15" s="269" t="s">
        <v>92</v>
      </c>
      <c r="F15" s="270" t="s">
        <v>66</v>
      </c>
      <c r="G15" s="271"/>
    </row>
    <row r="16" spans="2:7">
      <c r="B16" s="267">
        <v>14</v>
      </c>
      <c r="C16" s="225" t="s">
        <v>83</v>
      </c>
      <c r="D16" s="268" t="s">
        <v>93</v>
      </c>
      <c r="E16" s="269" t="s">
        <v>94</v>
      </c>
      <c r="F16" s="270" t="s">
        <v>66</v>
      </c>
      <c r="G16" s="271"/>
    </row>
    <row r="17" spans="2:7">
      <c r="B17" s="267">
        <v>15</v>
      </c>
      <c r="C17" s="225" t="s">
        <v>83</v>
      </c>
      <c r="D17" s="226" t="s">
        <v>75</v>
      </c>
      <c r="E17" s="269" t="s">
        <v>76</v>
      </c>
      <c r="F17" s="270" t="s">
        <v>66</v>
      </c>
      <c r="G17" s="271"/>
    </row>
    <row r="18" spans="2:7" ht="15.75" thickBot="1">
      <c r="B18" s="272">
        <v>16</v>
      </c>
      <c r="C18" s="273" t="s">
        <v>83</v>
      </c>
      <c r="D18" s="274" t="s">
        <v>95</v>
      </c>
      <c r="E18" s="275" t="s">
        <v>96</v>
      </c>
      <c r="F18" s="276" t="s">
        <v>66</v>
      </c>
      <c r="G18" s="277"/>
    </row>
    <row r="19" spans="2:7">
      <c r="B19" s="257">
        <v>17</v>
      </c>
      <c r="C19" s="258" t="s">
        <v>97</v>
      </c>
      <c r="D19" s="259" t="s">
        <v>98</v>
      </c>
      <c r="E19" s="259" t="s">
        <v>99</v>
      </c>
      <c r="F19" s="258" t="s">
        <v>66</v>
      </c>
      <c r="G19" s="260"/>
    </row>
    <row r="20" spans="2:7">
      <c r="B20" s="267">
        <v>18</v>
      </c>
      <c r="C20" s="270" t="s">
        <v>97</v>
      </c>
      <c r="D20" s="268" t="s">
        <v>100</v>
      </c>
      <c r="E20" s="269" t="s">
        <v>101</v>
      </c>
      <c r="F20" s="270" t="s">
        <v>66</v>
      </c>
      <c r="G20" s="271"/>
    </row>
    <row r="21" spans="2:7" ht="15.75" thickBot="1">
      <c r="B21" s="278">
        <v>19</v>
      </c>
      <c r="C21" s="279" t="s">
        <v>97</v>
      </c>
      <c r="D21" s="280" t="s">
        <v>73</v>
      </c>
      <c r="E21" s="281" t="s">
        <v>102</v>
      </c>
      <c r="F21" s="279" t="s">
        <v>66</v>
      </c>
      <c r="G21" s="282"/>
    </row>
    <row r="22" spans="2:7">
      <c r="B22" s="257">
        <v>20</v>
      </c>
      <c r="C22" s="258" t="s">
        <v>103</v>
      </c>
      <c r="D22" s="259" t="s">
        <v>104</v>
      </c>
      <c r="E22" s="266" t="s">
        <v>105</v>
      </c>
      <c r="F22" s="258" t="s">
        <v>66</v>
      </c>
      <c r="G22" s="260"/>
    </row>
    <row r="23" spans="2:7">
      <c r="B23" s="224">
        <v>21</v>
      </c>
      <c r="C23" s="270" t="s">
        <v>103</v>
      </c>
      <c r="D23" s="226" t="s">
        <v>106</v>
      </c>
      <c r="E23" s="228" t="s">
        <v>107</v>
      </c>
      <c r="F23" s="225" t="s">
        <v>66</v>
      </c>
      <c r="G23" s="227"/>
    </row>
    <row r="24" spans="2:7">
      <c r="B24" s="224">
        <v>22</v>
      </c>
      <c r="C24" s="270" t="s">
        <v>103</v>
      </c>
      <c r="D24" s="226" t="s">
        <v>108</v>
      </c>
      <c r="E24" s="228" t="s">
        <v>109</v>
      </c>
      <c r="F24" s="225" t="s">
        <v>66</v>
      </c>
      <c r="G24" s="227"/>
    </row>
    <row r="25" spans="2:7">
      <c r="B25" s="283">
        <v>23</v>
      </c>
      <c r="C25" s="284" t="s">
        <v>103</v>
      </c>
      <c r="D25" s="284" t="s">
        <v>110</v>
      </c>
      <c r="E25" s="285" t="s">
        <v>111</v>
      </c>
      <c r="F25" s="286" t="s">
        <v>66</v>
      </c>
      <c r="G25" s="28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J90"/>
  <sheetViews>
    <sheetView showGridLines="0" topLeftCell="A27" zoomScale="125" zoomScaleNormal="125" workbookViewId="0">
      <selection activeCell="F18" sqref="F18"/>
    </sheetView>
  </sheetViews>
  <sheetFormatPr defaultColWidth="9" defaultRowHeight="12"/>
  <cols>
    <col min="1" max="1" width="47" style="126" customWidth="1"/>
    <col min="2" max="2" width="14.875" style="126" customWidth="1"/>
    <col min="3" max="3" width="12.25" style="127" customWidth="1"/>
    <col min="4" max="4" width="19.375" style="127" customWidth="1"/>
    <col min="5" max="5" width="22" style="126" customWidth="1"/>
    <col min="6" max="6" width="34.625" style="127" bestFit="1" customWidth="1"/>
    <col min="7" max="7" width="13.75" style="127" bestFit="1" customWidth="1"/>
    <col min="8" max="8" width="12.875" style="127"/>
    <col min="9" max="16384" width="9" style="127"/>
  </cols>
  <sheetData>
    <row r="1" spans="1:7">
      <c r="D1" s="328" t="s">
        <v>112</v>
      </c>
    </row>
    <row r="2" spans="1:7">
      <c r="D2" s="128" t="s">
        <v>113</v>
      </c>
    </row>
    <row r="3" spans="1:7">
      <c r="A3" s="129" t="s">
        <v>114</v>
      </c>
      <c r="B3" s="329" t="s">
        <v>115</v>
      </c>
      <c r="C3" s="130" t="s">
        <v>116</v>
      </c>
      <c r="D3" s="131" t="s">
        <v>117</v>
      </c>
      <c r="E3" s="329" t="s">
        <v>62</v>
      </c>
      <c r="F3" s="132"/>
    </row>
    <row r="4" spans="1:7">
      <c r="A4" s="133" t="s">
        <v>118</v>
      </c>
      <c r="B4" s="134"/>
      <c r="C4" s="135"/>
      <c r="E4" s="134"/>
      <c r="F4" s="136"/>
    </row>
    <row r="5" spans="1:7">
      <c r="A5" s="137" t="s">
        <v>119</v>
      </c>
      <c r="B5" s="138" t="s">
        <v>120</v>
      </c>
      <c r="C5" s="139" t="s">
        <v>121</v>
      </c>
      <c r="D5" s="140">
        <v>26</v>
      </c>
      <c r="E5" s="141"/>
      <c r="F5" s="142"/>
    </row>
    <row r="6" spans="1:7">
      <c r="A6" s="137" t="s">
        <v>122</v>
      </c>
      <c r="B6" s="138" t="s">
        <v>120</v>
      </c>
      <c r="C6" s="139" t="s">
        <v>123</v>
      </c>
      <c r="D6" s="140">
        <v>2</v>
      </c>
      <c r="E6" s="143" t="s">
        <v>124</v>
      </c>
      <c r="F6" s="142" t="s">
        <v>125</v>
      </c>
    </row>
    <row r="7" spans="1:7">
      <c r="A7" s="137" t="s">
        <v>126</v>
      </c>
      <c r="B7" s="138" t="s">
        <v>120</v>
      </c>
      <c r="C7" s="139" t="s">
        <v>127</v>
      </c>
      <c r="D7" s="297">
        <v>8</v>
      </c>
      <c r="E7" s="261"/>
      <c r="F7" s="142"/>
    </row>
    <row r="8" spans="1:7">
      <c r="A8" s="137" t="s">
        <v>128</v>
      </c>
      <c r="B8" s="138" t="s">
        <v>129</v>
      </c>
      <c r="C8" s="144" t="s">
        <v>130</v>
      </c>
      <c r="D8" s="140">
        <v>40000</v>
      </c>
      <c r="E8" s="143"/>
      <c r="F8" s="145" t="s">
        <v>131</v>
      </c>
    </row>
    <row r="9" spans="1:7">
      <c r="A9" s="137" t="s">
        <v>132</v>
      </c>
      <c r="B9" s="138"/>
      <c r="C9" s="139" t="s">
        <v>133</v>
      </c>
      <c r="D9" s="146">
        <v>0</v>
      </c>
      <c r="E9" s="147"/>
      <c r="F9" s="142" t="s">
        <v>134</v>
      </c>
    </row>
    <row r="10" spans="1:7">
      <c r="A10" s="137" t="s">
        <v>135</v>
      </c>
      <c r="B10" s="138"/>
      <c r="C10" s="139" t="s">
        <v>133</v>
      </c>
      <c r="D10" s="148">
        <v>0</v>
      </c>
      <c r="E10" s="143"/>
      <c r="F10" s="142" t="s">
        <v>136</v>
      </c>
    </row>
    <row r="11" spans="1:7">
      <c r="A11" s="137" t="s">
        <v>137</v>
      </c>
      <c r="B11" s="138"/>
      <c r="C11" s="139" t="s">
        <v>133</v>
      </c>
      <c r="D11" s="148">
        <v>0</v>
      </c>
      <c r="E11" s="143"/>
      <c r="F11" s="142" t="s">
        <v>138</v>
      </c>
    </row>
    <row r="12" spans="1:7">
      <c r="A12" s="137" t="s">
        <v>139</v>
      </c>
      <c r="B12" s="138" t="s">
        <v>129</v>
      </c>
      <c r="C12" s="139"/>
      <c r="D12" s="330" t="s">
        <v>140</v>
      </c>
      <c r="E12" s="143"/>
      <c r="F12" s="142"/>
    </row>
    <row r="13" spans="1:7">
      <c r="A13" s="137" t="s">
        <v>141</v>
      </c>
      <c r="B13" s="138" t="s">
        <v>129</v>
      </c>
      <c r="C13" s="139" t="s">
        <v>130</v>
      </c>
      <c r="D13" s="149">
        <v>8000</v>
      </c>
      <c r="E13" s="143"/>
      <c r="F13" s="142" t="s">
        <v>142</v>
      </c>
      <c r="G13" s="127" t="s">
        <v>143</v>
      </c>
    </row>
    <row r="14" spans="1:7">
      <c r="A14" s="137" t="s">
        <v>144</v>
      </c>
      <c r="B14" s="138" t="s">
        <v>120</v>
      </c>
      <c r="C14" s="139" t="s">
        <v>130</v>
      </c>
      <c r="D14" s="149">
        <v>100</v>
      </c>
      <c r="E14" s="150"/>
      <c r="F14" s="142" t="s">
        <v>145</v>
      </c>
    </row>
    <row r="15" spans="1:7" hidden="1">
      <c r="A15" s="137" t="s">
        <v>146</v>
      </c>
      <c r="B15" s="138" t="s">
        <v>120</v>
      </c>
      <c r="C15" s="139" t="s">
        <v>121</v>
      </c>
      <c r="D15" s="149" t="s">
        <v>147</v>
      </c>
      <c r="E15" s="150"/>
      <c r="F15" s="142"/>
    </row>
    <row r="16" spans="1:7" hidden="1">
      <c r="A16" s="137" t="s">
        <v>148</v>
      </c>
      <c r="B16" s="138" t="s">
        <v>129</v>
      </c>
      <c r="C16" s="139" t="s">
        <v>149</v>
      </c>
      <c r="D16" s="239" t="s">
        <v>147</v>
      </c>
      <c r="E16" s="150"/>
      <c r="F16" s="142"/>
    </row>
    <row r="17" spans="1:6">
      <c r="A17" s="137" t="s">
        <v>150</v>
      </c>
      <c r="B17" s="138" t="s">
        <v>120</v>
      </c>
      <c r="C17" s="139" t="s">
        <v>151</v>
      </c>
      <c r="D17" s="140">
        <v>600</v>
      </c>
      <c r="E17" s="150"/>
      <c r="F17" s="142" t="s">
        <v>152</v>
      </c>
    </row>
    <row r="18" spans="1:6">
      <c r="A18" s="137" t="s">
        <v>153</v>
      </c>
      <c r="B18" s="138" t="s">
        <v>129</v>
      </c>
      <c r="C18" s="139"/>
      <c r="D18" s="140" t="s">
        <v>154</v>
      </c>
      <c r="E18" s="150"/>
      <c r="F18" s="142" t="s">
        <v>155</v>
      </c>
    </row>
    <row r="19" spans="1:6">
      <c r="A19" s="137" t="s">
        <v>153</v>
      </c>
      <c r="B19" s="138" t="s">
        <v>129</v>
      </c>
      <c r="C19" s="139"/>
      <c r="D19" s="140" t="s">
        <v>156</v>
      </c>
      <c r="E19" s="150"/>
      <c r="F19" s="142" t="s">
        <v>157</v>
      </c>
    </row>
    <row r="20" spans="1:6">
      <c r="A20" s="137" t="s">
        <v>158</v>
      </c>
      <c r="B20" s="138" t="s">
        <v>120</v>
      </c>
      <c r="C20" s="139" t="s">
        <v>130</v>
      </c>
      <c r="D20" s="140" t="s">
        <v>147</v>
      </c>
      <c r="E20" s="143"/>
      <c r="F20" s="142" t="s">
        <v>159</v>
      </c>
    </row>
    <row r="21" spans="1:6">
      <c r="A21" s="137" t="s">
        <v>160</v>
      </c>
      <c r="B21" s="138" t="s">
        <v>120</v>
      </c>
      <c r="C21" s="139" t="s">
        <v>161</v>
      </c>
      <c r="D21" s="140">
        <v>2</v>
      </c>
      <c r="E21" s="143"/>
      <c r="F21" s="142"/>
    </row>
    <row r="22" spans="1:6">
      <c r="A22" s="137" t="s">
        <v>162</v>
      </c>
      <c r="B22" s="138" t="s">
        <v>120</v>
      </c>
      <c r="C22" s="139" t="s">
        <v>151</v>
      </c>
      <c r="D22" s="140">
        <v>7.5</v>
      </c>
      <c r="E22" s="143"/>
      <c r="F22" s="142"/>
    </row>
    <row r="23" spans="1:6">
      <c r="A23" s="137" t="s">
        <v>163</v>
      </c>
      <c r="B23" s="138" t="s">
        <v>120</v>
      </c>
      <c r="C23" s="139" t="s">
        <v>151</v>
      </c>
      <c r="D23" s="140">
        <f>D21*D22</f>
        <v>15</v>
      </c>
      <c r="E23" s="143"/>
      <c r="F23" s="142"/>
    </row>
    <row r="24" spans="1:6">
      <c r="A24" s="137" t="s">
        <v>164</v>
      </c>
      <c r="B24" s="138" t="s">
        <v>120</v>
      </c>
      <c r="C24" s="139" t="s">
        <v>165</v>
      </c>
      <c r="D24" s="149">
        <f>Sheet1!C5+Sheet1!C8+Sheet1!C11</f>
        <v>185900</v>
      </c>
      <c r="E24" s="143"/>
      <c r="F24" s="142"/>
    </row>
    <row r="25" spans="1:6">
      <c r="A25" s="137" t="s">
        <v>166</v>
      </c>
      <c r="B25" s="138" t="s">
        <v>120</v>
      </c>
      <c r="C25" s="139" t="s">
        <v>165</v>
      </c>
      <c r="D25" s="149">
        <f>D24</f>
        <v>185900</v>
      </c>
      <c r="E25" s="143"/>
      <c r="F25" s="142"/>
    </row>
    <row r="26" spans="1:6">
      <c r="A26" s="137" t="s">
        <v>167</v>
      </c>
      <c r="B26" s="143" t="s">
        <v>120</v>
      </c>
      <c r="C26" s="139" t="s">
        <v>168</v>
      </c>
      <c r="D26" s="152" t="s">
        <v>169</v>
      </c>
      <c r="E26" s="147"/>
      <c r="F26" s="142"/>
    </row>
    <row r="27" spans="1:6">
      <c r="A27" s="153"/>
      <c r="B27" s="143"/>
      <c r="C27" s="139"/>
      <c r="D27" s="147"/>
      <c r="E27" s="150"/>
      <c r="F27" s="142"/>
    </row>
    <row r="28" spans="1:6">
      <c r="A28" s="154" t="s">
        <v>63</v>
      </c>
      <c r="B28" s="138"/>
      <c r="C28" s="155"/>
      <c r="D28" s="148"/>
      <c r="E28" s="150"/>
      <c r="F28" s="142"/>
    </row>
    <row r="29" spans="1:6">
      <c r="A29" s="137" t="s">
        <v>170</v>
      </c>
      <c r="B29" s="138" t="s">
        <v>120</v>
      </c>
      <c r="C29" s="155" t="s">
        <v>121</v>
      </c>
      <c r="D29" s="140">
        <f>D5</f>
        <v>26</v>
      </c>
      <c r="E29" s="150"/>
      <c r="F29" s="156"/>
    </row>
    <row r="30" spans="1:6">
      <c r="A30" s="137" t="s">
        <v>171</v>
      </c>
      <c r="B30" s="138" t="s">
        <v>129</v>
      </c>
      <c r="C30" s="139" t="s">
        <v>172</v>
      </c>
      <c r="D30" s="244">
        <f>Sheet1!C5</f>
        <v>156000</v>
      </c>
      <c r="E30" s="150"/>
      <c r="F30" s="155"/>
    </row>
    <row r="31" spans="1:6">
      <c r="A31" s="137" t="s">
        <v>173</v>
      </c>
      <c r="B31" s="138" t="s">
        <v>129</v>
      </c>
      <c r="C31" s="139" t="s">
        <v>172</v>
      </c>
      <c r="D31" s="157">
        <f>Sheet1!C6</f>
        <v>6000</v>
      </c>
      <c r="E31" s="150"/>
      <c r="F31" s="158"/>
    </row>
    <row r="32" spans="1:6">
      <c r="A32" s="291" t="s">
        <v>174</v>
      </c>
      <c r="B32" s="288" t="s">
        <v>129</v>
      </c>
      <c r="C32" s="289" t="s">
        <v>175</v>
      </c>
      <c r="D32" s="292">
        <f>Sheet1!C7</f>
        <v>171.42857142857142</v>
      </c>
      <c r="E32" s="150"/>
      <c r="F32" s="136"/>
    </row>
    <row r="33" spans="1:10">
      <c r="A33" s="137" t="s">
        <v>176</v>
      </c>
      <c r="B33" s="138" t="s">
        <v>129</v>
      </c>
      <c r="C33" s="139" t="s">
        <v>172</v>
      </c>
      <c r="D33" s="159">
        <f>Sheet1!C8</f>
        <v>26000</v>
      </c>
      <c r="E33" s="150"/>
      <c r="F33" s="136"/>
    </row>
    <row r="34" spans="1:10">
      <c r="A34" s="137" t="s">
        <v>177</v>
      </c>
      <c r="B34" s="138" t="s">
        <v>129</v>
      </c>
      <c r="C34" s="139" t="s">
        <v>172</v>
      </c>
      <c r="D34" s="159">
        <f>Sheet1!C9</f>
        <v>1000</v>
      </c>
      <c r="E34" s="150"/>
      <c r="F34" s="136"/>
    </row>
    <row r="35" spans="1:10">
      <c r="A35" s="291" t="s">
        <v>178</v>
      </c>
      <c r="B35" s="288" t="s">
        <v>129</v>
      </c>
      <c r="C35" s="289" t="s">
        <v>175</v>
      </c>
      <c r="D35" s="290">
        <f>Sheet1!C10</f>
        <v>28.571428571428569</v>
      </c>
      <c r="E35" s="150"/>
      <c r="F35" s="136"/>
    </row>
    <row r="36" spans="1:10">
      <c r="A36" s="137" t="s">
        <v>179</v>
      </c>
      <c r="B36" s="138" t="s">
        <v>129</v>
      </c>
      <c r="C36" s="139" t="s">
        <v>175</v>
      </c>
      <c r="D36" s="159">
        <f>Sheet1!C11</f>
        <v>3900</v>
      </c>
      <c r="E36" s="150"/>
      <c r="F36" s="136"/>
    </row>
    <row r="37" spans="1:10">
      <c r="A37" s="137" t="s">
        <v>180</v>
      </c>
      <c r="B37" s="138" t="s">
        <v>129</v>
      </c>
      <c r="C37" s="139" t="s">
        <v>175</v>
      </c>
      <c r="D37" s="159">
        <f>Sheet1!C12</f>
        <v>150</v>
      </c>
      <c r="E37" s="150"/>
      <c r="F37" s="136"/>
    </row>
    <row r="38" spans="1:10">
      <c r="A38" s="161" t="s">
        <v>181</v>
      </c>
      <c r="B38" s="288" t="s">
        <v>129</v>
      </c>
      <c r="C38" s="289" t="s">
        <v>175</v>
      </c>
      <c r="D38" s="290">
        <f>D32+D35+D37</f>
        <v>350</v>
      </c>
      <c r="E38" s="150"/>
      <c r="F38" s="247"/>
      <c r="H38" s="127" t="s">
        <v>182</v>
      </c>
    </row>
    <row r="39" spans="1:10">
      <c r="A39" s="162" t="s">
        <v>183</v>
      </c>
      <c r="B39" s="138" t="s">
        <v>120</v>
      </c>
      <c r="C39" s="139" t="s">
        <v>172</v>
      </c>
      <c r="D39" s="159">
        <v>350</v>
      </c>
      <c r="E39" s="150"/>
      <c r="F39" s="142"/>
    </row>
    <row r="40" spans="1:10">
      <c r="A40" s="161" t="s">
        <v>184</v>
      </c>
      <c r="B40" s="138" t="s">
        <v>120</v>
      </c>
      <c r="C40" s="139" t="s">
        <v>130</v>
      </c>
      <c r="D40" s="160">
        <f>ROUNDUP((D31+D34+D37)/D39,0)</f>
        <v>21</v>
      </c>
      <c r="E40" s="150" t="s">
        <v>185</v>
      </c>
      <c r="F40" s="142"/>
      <c r="G40" s="127" t="s">
        <v>186</v>
      </c>
      <c r="H40" s="127">
        <v>12</v>
      </c>
      <c r="I40" s="127">
        <v>2.35</v>
      </c>
      <c r="J40" s="127">
        <v>2.39</v>
      </c>
    </row>
    <row r="41" spans="1:10">
      <c r="A41" s="162" t="s">
        <v>187</v>
      </c>
      <c r="B41" s="138" t="s">
        <v>120</v>
      </c>
      <c r="C41" s="139" t="s">
        <v>130</v>
      </c>
      <c r="D41" s="159">
        <v>40</v>
      </c>
      <c r="E41" s="150"/>
      <c r="F41" s="142" t="s">
        <v>188</v>
      </c>
      <c r="G41" s="127" t="s">
        <v>189</v>
      </c>
      <c r="H41" s="127">
        <f>CONVERT(H40,"m","mm")</f>
        <v>12000</v>
      </c>
      <c r="I41" s="127">
        <f t="shared" ref="I41:J41" si="0">CONVERT(I40,"m","mm")</f>
        <v>2350</v>
      </c>
      <c r="J41" s="127">
        <f t="shared" si="0"/>
        <v>2390</v>
      </c>
    </row>
    <row r="42" spans="1:10">
      <c r="A42" s="162" t="s">
        <v>190</v>
      </c>
      <c r="B42" s="138" t="s">
        <v>120</v>
      </c>
      <c r="C42" s="139" t="s">
        <v>191</v>
      </c>
      <c r="D42" s="160">
        <v>1.5</v>
      </c>
      <c r="E42" s="150"/>
      <c r="F42" s="142" t="s">
        <v>192</v>
      </c>
      <c r="G42" s="127" t="s">
        <v>193</v>
      </c>
      <c r="H42" s="127">
        <v>1200</v>
      </c>
      <c r="I42" s="127">
        <v>1000</v>
      </c>
      <c r="J42" s="127">
        <v>1100</v>
      </c>
    </row>
    <row r="43" spans="1:10">
      <c r="A43" s="162" t="s">
        <v>194</v>
      </c>
      <c r="B43" s="138" t="s">
        <v>120</v>
      </c>
      <c r="C43" s="155" t="s">
        <v>130</v>
      </c>
      <c r="D43" s="160">
        <f>ROUNDUP(D42*(D40)/D7,0)</f>
        <v>4</v>
      </c>
      <c r="E43" s="150"/>
      <c r="F43" s="142"/>
      <c r="H43" s="127">
        <f>H41/H42</f>
        <v>10</v>
      </c>
      <c r="I43" s="229">
        <f>ROUND(I41/I42,0)</f>
        <v>2</v>
      </c>
      <c r="J43" s="229">
        <f>ROUND(J41/J42,0)</f>
        <v>2</v>
      </c>
    </row>
    <row r="44" spans="1:10">
      <c r="A44" s="161" t="s">
        <v>195</v>
      </c>
      <c r="B44" s="138"/>
      <c r="C44" s="165" t="s">
        <v>196</v>
      </c>
      <c r="D44" s="159">
        <f>D38*SPACEWORK!C28</f>
        <v>4880.7359999999999</v>
      </c>
      <c r="E44" s="150"/>
      <c r="F44" s="142" t="s">
        <v>175</v>
      </c>
      <c r="G44" s="127" t="s">
        <v>197</v>
      </c>
      <c r="H44" s="127">
        <f>H43*I43*J43</f>
        <v>40</v>
      </c>
      <c r="I44" s="127">
        <f>H44*D17</f>
        <v>24000</v>
      </c>
    </row>
    <row r="45" spans="1:10">
      <c r="A45" s="165"/>
      <c r="B45" s="138"/>
      <c r="C45" s="165"/>
      <c r="D45" s="159"/>
      <c r="E45" s="151"/>
      <c r="F45" s="142"/>
    </row>
    <row r="46" spans="1:10">
      <c r="A46" s="154" t="s">
        <v>198</v>
      </c>
      <c r="B46" s="138"/>
      <c r="C46" s="165"/>
      <c r="D46" s="159"/>
      <c r="E46" s="151"/>
      <c r="F46" s="142"/>
    </row>
    <row r="47" spans="1:10">
      <c r="A47" s="162" t="s">
        <v>199</v>
      </c>
      <c r="B47" s="138" t="s">
        <v>129</v>
      </c>
      <c r="C47" s="165" t="s">
        <v>175</v>
      </c>
      <c r="D47" s="166">
        <v>8000</v>
      </c>
      <c r="E47" s="151"/>
      <c r="F47" s="142"/>
    </row>
    <row r="48" spans="1:10">
      <c r="A48" s="162" t="s">
        <v>200</v>
      </c>
      <c r="B48" s="138"/>
      <c r="C48" s="165" t="s">
        <v>121</v>
      </c>
      <c r="D48" s="167">
        <v>0</v>
      </c>
      <c r="E48" s="163"/>
      <c r="F48" s="142"/>
    </row>
    <row r="49" spans="1:6">
      <c r="A49" s="162" t="s">
        <v>201</v>
      </c>
      <c r="B49" s="138" t="s">
        <v>129</v>
      </c>
      <c r="C49" s="165" t="s">
        <v>175</v>
      </c>
      <c r="D49" s="159">
        <f>D47</f>
        <v>8000</v>
      </c>
      <c r="E49" s="151"/>
      <c r="F49" s="142"/>
    </row>
    <row r="50" spans="1:6">
      <c r="A50" s="162" t="s">
        <v>202</v>
      </c>
      <c r="B50" s="138"/>
      <c r="C50" s="165" t="s">
        <v>130</v>
      </c>
      <c r="D50" s="168" t="e">
        <f>ROUNDUP(D47/#REF!,0)</f>
        <v>#REF!</v>
      </c>
      <c r="E50" s="169"/>
      <c r="F50" s="170"/>
    </row>
    <row r="51" spans="1:6">
      <c r="A51" s="162" t="s">
        <v>203</v>
      </c>
      <c r="B51" s="138"/>
      <c r="C51" s="165" t="s">
        <v>130</v>
      </c>
      <c r="D51" s="168" t="e">
        <f>ROUNDUP(#REF!/#REF!,0)</f>
        <v>#REF!</v>
      </c>
      <c r="E51" s="171"/>
      <c r="F51" s="172"/>
    </row>
    <row r="52" spans="1:6">
      <c r="A52" s="162" t="s">
        <v>204</v>
      </c>
      <c r="B52" s="138"/>
      <c r="C52" s="165" t="s">
        <v>196</v>
      </c>
      <c r="D52" s="173"/>
      <c r="E52" s="163"/>
      <c r="F52" s="142"/>
    </row>
    <row r="53" spans="1:6">
      <c r="A53" s="162" t="s">
        <v>205</v>
      </c>
      <c r="B53" s="174"/>
      <c r="C53" s="165" t="s">
        <v>196</v>
      </c>
      <c r="D53" s="175"/>
      <c r="E53" s="163"/>
      <c r="F53" s="142"/>
    </row>
    <row r="54" spans="1:6">
      <c r="A54" s="162" t="s">
        <v>206</v>
      </c>
      <c r="B54" s="174"/>
      <c r="C54" s="165" t="s">
        <v>130</v>
      </c>
      <c r="D54" s="178"/>
      <c r="E54" s="163"/>
      <c r="F54" s="142"/>
    </row>
    <row r="55" spans="1:6">
      <c r="A55" s="177"/>
      <c r="B55" s="174"/>
      <c r="C55" s="165"/>
      <c r="D55" s="178"/>
      <c r="E55" s="163"/>
      <c r="F55" s="142"/>
    </row>
    <row r="56" spans="1:6">
      <c r="A56" s="154" t="s">
        <v>97</v>
      </c>
      <c r="B56" s="174"/>
      <c r="C56" s="155"/>
      <c r="D56" s="140"/>
      <c r="E56" s="163"/>
      <c r="F56" s="142"/>
    </row>
    <row r="57" spans="1:6">
      <c r="A57" s="137" t="s">
        <v>207</v>
      </c>
      <c r="B57" s="138" t="s">
        <v>129</v>
      </c>
      <c r="C57" s="139" t="s">
        <v>121</v>
      </c>
      <c r="D57" s="179">
        <f>D5</f>
        <v>26</v>
      </c>
      <c r="E57" s="163"/>
      <c r="F57" s="142"/>
    </row>
    <row r="58" spans="1:6">
      <c r="A58" s="137" t="s">
        <v>207</v>
      </c>
      <c r="B58" s="138" t="s">
        <v>129</v>
      </c>
      <c r="C58" s="139" t="s">
        <v>149</v>
      </c>
      <c r="D58" s="179">
        <v>60</v>
      </c>
      <c r="E58" s="163"/>
      <c r="F58" s="142"/>
    </row>
    <row r="59" spans="1:6">
      <c r="A59" s="137" t="s">
        <v>171</v>
      </c>
      <c r="B59" s="138" t="s">
        <v>129</v>
      </c>
      <c r="C59" s="139" t="s">
        <v>172</v>
      </c>
      <c r="D59" s="149">
        <f>Sheet1!C20</f>
        <v>85800</v>
      </c>
      <c r="E59" s="163"/>
      <c r="F59" s="142"/>
    </row>
    <row r="60" spans="1:6">
      <c r="A60" s="137" t="s">
        <v>173</v>
      </c>
      <c r="B60" s="138" t="s">
        <v>129</v>
      </c>
      <c r="C60" s="139" t="s">
        <v>172</v>
      </c>
      <c r="D60" s="149">
        <f>Sheet1!C21</f>
        <v>3300</v>
      </c>
      <c r="E60" s="163"/>
      <c r="F60" s="142"/>
    </row>
    <row r="61" spans="1:6">
      <c r="A61" s="137" t="s">
        <v>208</v>
      </c>
      <c r="B61" s="138" t="s">
        <v>120</v>
      </c>
      <c r="C61" s="139" t="s">
        <v>175</v>
      </c>
      <c r="D61" s="149">
        <f>Sheet1!C22</f>
        <v>171.42857142857142</v>
      </c>
      <c r="E61" s="163"/>
      <c r="F61" s="142"/>
    </row>
    <row r="62" spans="1:6">
      <c r="A62" s="137" t="s">
        <v>176</v>
      </c>
      <c r="B62" s="138" t="s">
        <v>120</v>
      </c>
      <c r="C62" s="139" t="s">
        <v>172</v>
      </c>
      <c r="D62" s="149">
        <f>Sheet1!C23</f>
        <v>14300</v>
      </c>
      <c r="E62" s="163"/>
      <c r="F62" s="142"/>
    </row>
    <row r="63" spans="1:6">
      <c r="A63" s="137" t="s">
        <v>177</v>
      </c>
      <c r="B63" s="138" t="s">
        <v>120</v>
      </c>
      <c r="C63" s="139" t="s">
        <v>172</v>
      </c>
      <c r="D63" s="149">
        <f>Sheet1!C24</f>
        <v>550</v>
      </c>
      <c r="E63" s="163"/>
      <c r="F63" s="142"/>
    </row>
    <row r="64" spans="1:6">
      <c r="A64" s="137" t="s">
        <v>209</v>
      </c>
      <c r="B64" s="138" t="s">
        <v>120</v>
      </c>
      <c r="C64" s="139" t="s">
        <v>175</v>
      </c>
      <c r="D64" s="157">
        <f>Sheet1!C25</f>
        <v>28.571428571428569</v>
      </c>
      <c r="E64" s="163"/>
      <c r="F64" s="142"/>
    </row>
    <row r="65" spans="1:6">
      <c r="A65" s="137" t="s">
        <v>179</v>
      </c>
      <c r="B65" s="138" t="s">
        <v>120</v>
      </c>
      <c r="C65" s="139" t="s">
        <v>175</v>
      </c>
      <c r="D65" s="181">
        <f>Sheet1!C26</f>
        <v>3900</v>
      </c>
      <c r="E65" s="163"/>
      <c r="F65" s="142"/>
    </row>
    <row r="66" spans="1:6">
      <c r="A66" s="137" t="s">
        <v>180</v>
      </c>
      <c r="B66" s="138" t="s">
        <v>120</v>
      </c>
      <c r="C66" s="139" t="s">
        <v>175</v>
      </c>
      <c r="D66" s="181">
        <f>Sheet1!C27</f>
        <v>150</v>
      </c>
      <c r="E66" s="163"/>
      <c r="F66" s="142"/>
    </row>
    <row r="67" spans="1:6">
      <c r="A67" s="161" t="s">
        <v>181</v>
      </c>
      <c r="B67" s="138" t="s">
        <v>120</v>
      </c>
      <c r="C67" s="139" t="s">
        <v>175</v>
      </c>
      <c r="D67" s="181">
        <f>D61+D64+D66</f>
        <v>350</v>
      </c>
      <c r="E67" s="163"/>
      <c r="F67" s="142"/>
    </row>
    <row r="68" spans="1:6">
      <c r="A68" s="162" t="s">
        <v>210</v>
      </c>
      <c r="B68" s="138" t="s">
        <v>120</v>
      </c>
      <c r="C68" s="139" t="s">
        <v>130</v>
      </c>
      <c r="D68" s="181">
        <v>40</v>
      </c>
      <c r="E68" s="182" t="s">
        <v>211</v>
      </c>
      <c r="F68" s="142"/>
    </row>
    <row r="69" spans="1:6">
      <c r="A69" s="162" t="s">
        <v>212</v>
      </c>
      <c r="B69" s="138" t="s">
        <v>120</v>
      </c>
      <c r="C69" s="139" t="s">
        <v>130</v>
      </c>
      <c r="D69" s="181">
        <f>D68*1.5</f>
        <v>60</v>
      </c>
      <c r="E69" s="182"/>
      <c r="F69" s="142"/>
    </row>
    <row r="70" spans="1:6">
      <c r="A70" s="162" t="s">
        <v>183</v>
      </c>
      <c r="B70" s="138" t="s">
        <v>120</v>
      </c>
      <c r="C70" s="139" t="s">
        <v>172</v>
      </c>
      <c r="D70" s="181">
        <v>350</v>
      </c>
      <c r="E70" s="182"/>
      <c r="F70" s="142"/>
    </row>
    <row r="71" spans="1:6">
      <c r="A71" s="161" t="s">
        <v>213</v>
      </c>
      <c r="B71" s="138" t="s">
        <v>120</v>
      </c>
      <c r="C71" s="139" t="s">
        <v>214</v>
      </c>
      <c r="D71" s="160">
        <f>ROUNDUP((D60+D63+D66)/D70,0)</f>
        <v>12</v>
      </c>
      <c r="E71" s="182"/>
      <c r="F71" s="142"/>
    </row>
    <row r="72" spans="1:6">
      <c r="A72" s="162" t="s">
        <v>215</v>
      </c>
      <c r="B72" s="138" t="s">
        <v>120</v>
      </c>
      <c r="C72" s="139" t="s">
        <v>191</v>
      </c>
      <c r="D72" s="183">
        <v>1.5</v>
      </c>
      <c r="E72" s="180"/>
      <c r="F72" s="142"/>
    </row>
    <row r="73" spans="1:6" s="125" customFormat="1">
      <c r="A73" s="162" t="s">
        <v>216</v>
      </c>
      <c r="B73" s="138" t="s">
        <v>120</v>
      </c>
      <c r="C73" s="155" t="s">
        <v>130</v>
      </c>
      <c r="D73" s="184">
        <f>ROUNDUP(D71*D72/D7,0)</f>
        <v>3</v>
      </c>
      <c r="E73" s="151"/>
      <c r="F73" s="142"/>
    </row>
    <row r="74" spans="1:6" s="125" customFormat="1">
      <c r="A74" s="161" t="s">
        <v>217</v>
      </c>
      <c r="B74" s="138"/>
      <c r="C74" s="165" t="s">
        <v>196</v>
      </c>
      <c r="D74" s="331">
        <f>D67*SPACEWORK!C28</f>
        <v>4880.7359999999999</v>
      </c>
      <c r="E74" s="151"/>
      <c r="F74" s="142"/>
    </row>
    <row r="75" spans="1:6">
      <c r="A75" s="164"/>
      <c r="B75" s="174"/>
      <c r="C75" s="139"/>
      <c r="D75" s="185"/>
      <c r="E75" s="186"/>
      <c r="F75" s="142"/>
    </row>
    <row r="76" spans="1:6">
      <c r="A76" s="187" t="s">
        <v>218</v>
      </c>
      <c r="B76" s="138" t="s">
        <v>120</v>
      </c>
      <c r="C76" s="139" t="s">
        <v>130</v>
      </c>
      <c r="D76" s="185">
        <f>ROUNDUP(SUM(D73,D43),0)</f>
        <v>7</v>
      </c>
      <c r="E76" s="176"/>
      <c r="F76" s="142"/>
    </row>
    <row r="77" spans="1:6">
      <c r="A77" s="187" t="s">
        <v>219</v>
      </c>
      <c r="B77" s="138" t="s">
        <v>120</v>
      </c>
      <c r="C77" s="139" t="s">
        <v>130</v>
      </c>
      <c r="D77" s="188">
        <f>D49</f>
        <v>8000</v>
      </c>
      <c r="E77" s="176"/>
      <c r="F77" s="142"/>
    </row>
    <row r="78" spans="1:6" s="125" customFormat="1">
      <c r="A78" s="189" t="s">
        <v>220</v>
      </c>
      <c r="B78" s="138" t="s">
        <v>120</v>
      </c>
      <c r="C78" s="190" t="s">
        <v>133</v>
      </c>
      <c r="D78" s="191">
        <v>0.01</v>
      </c>
    </row>
    <row r="79" spans="1:6">
      <c r="A79" s="189" t="s">
        <v>220</v>
      </c>
      <c r="B79" s="138" t="s">
        <v>120</v>
      </c>
      <c r="C79" s="190" t="s">
        <v>175</v>
      </c>
      <c r="D79" s="179">
        <f>ROUNDUP(D67*D78,0)</f>
        <v>4</v>
      </c>
      <c r="E79" s="127"/>
      <c r="F79" s="192"/>
    </row>
    <row r="80" spans="1:6">
      <c r="A80" s="127"/>
      <c r="B80" s="127"/>
      <c r="E80" s="127"/>
    </row>
    <row r="81" s="127" customFormat="1"/>
    <row r="82" s="127" customFormat="1"/>
    <row r="83" s="127" customFormat="1"/>
    <row r="84" s="127" customFormat="1"/>
    <row r="85" s="127" customFormat="1"/>
    <row r="86" s="127" customFormat="1"/>
    <row r="87" s="127" customFormat="1"/>
    <row r="88" s="127" customFormat="1"/>
    <row r="89" s="127" customFormat="1"/>
    <row r="90" s="127" customFormat="1"/>
  </sheetData>
  <dataValidations count="1">
    <dataValidation type="list" allowBlank="1" showInputMessage="1" showErrorMessage="1" sqref="D26" xr:uid="{00000000-0002-0000-0600-000000000000}">
      <formula1>"MUF, Dedicated"</formula1>
    </dataValidation>
  </dataValidations>
  <pageMargins left="0.7" right="0.7" top="0.75" bottom="0.75" header="0.3" footer="0.3"/>
  <ignoredErrors>
    <ignoredError sqref="D50:D51" evalErro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39997558519241921"/>
  </sheetPr>
  <dimension ref="A1:I19"/>
  <sheetViews>
    <sheetView workbookViewId="0">
      <selection activeCell="E11" sqref="E11"/>
    </sheetView>
  </sheetViews>
  <sheetFormatPr defaultColWidth="9.125" defaultRowHeight="15"/>
  <cols>
    <col min="1" max="1" width="14.625" style="8" customWidth="1"/>
    <col min="2" max="2" width="19.125" style="3" customWidth="1"/>
    <col min="3" max="3" width="8.875" style="3" bestFit="1" customWidth="1"/>
    <col min="4" max="4" width="8.875" style="3" customWidth="1"/>
    <col min="5" max="5" width="11.875" style="3" bestFit="1" customWidth="1"/>
    <col min="6" max="6" width="6.875" style="3" bestFit="1" customWidth="1"/>
    <col min="7" max="7" width="8.125" style="3" bestFit="1" customWidth="1"/>
    <col min="8" max="8" width="10.75" style="3" bestFit="1" customWidth="1"/>
    <col min="9" max="16384" width="9.125" style="3"/>
  </cols>
  <sheetData>
    <row r="1" spans="1:9">
      <c r="A1" s="94"/>
      <c r="B1" s="313" t="s">
        <v>221</v>
      </c>
      <c r="C1" s="313"/>
      <c r="D1" s="313"/>
      <c r="E1" s="313"/>
      <c r="F1" s="313"/>
      <c r="G1" s="313"/>
      <c r="H1" s="313"/>
    </row>
    <row r="2" spans="1:9">
      <c r="A2" s="94"/>
      <c r="B2" s="293"/>
      <c r="C2" s="293" t="s">
        <v>222</v>
      </c>
      <c r="D2" s="293" t="s">
        <v>223</v>
      </c>
      <c r="E2" s="293"/>
      <c r="F2" s="293"/>
      <c r="G2" s="293" t="s">
        <v>224</v>
      </c>
      <c r="H2" s="293" t="s">
        <v>225</v>
      </c>
    </row>
    <row r="3" spans="1:9">
      <c r="A3" s="94"/>
      <c r="B3" s="332" t="s">
        <v>226</v>
      </c>
      <c r="C3" s="333" t="s">
        <v>227</v>
      </c>
      <c r="D3" s="333" t="s">
        <v>227</v>
      </c>
      <c r="E3" s="333" t="s">
        <v>228</v>
      </c>
      <c r="F3" s="333" t="s">
        <v>229</v>
      </c>
      <c r="G3" s="334" t="s">
        <v>230</v>
      </c>
      <c r="H3" s="294" t="s">
        <v>231</v>
      </c>
    </row>
    <row r="4" spans="1:9">
      <c r="A4" s="94"/>
      <c r="B4" s="335" t="s">
        <v>232</v>
      </c>
      <c r="C4" s="336">
        <f>_xlfn.XLOOKUP(B4,ARM!$B$45:$B$58,ARM!$C$45:$C$58)</f>
        <v>1</v>
      </c>
      <c r="D4" s="336">
        <f>_xlfn.XLOOKUP(B4,ARM!$B$45:$B$58,ARM!$D$45:$D$58)</f>
        <v>0</v>
      </c>
      <c r="E4" s="336">
        <v>0</v>
      </c>
      <c r="F4" s="336">
        <f>ROUNDUP(SUM(C4:E4),0)</f>
        <v>1</v>
      </c>
      <c r="G4" s="337">
        <v>50000</v>
      </c>
      <c r="H4" s="295">
        <f>F4*G4</f>
        <v>50000</v>
      </c>
      <c r="I4" s="296">
        <v>1</v>
      </c>
    </row>
    <row r="5" spans="1:9">
      <c r="A5" s="94" t="s">
        <v>233</v>
      </c>
      <c r="B5" s="338" t="s">
        <v>234</v>
      </c>
      <c r="C5" s="336">
        <f>_xlfn.XLOOKUP(B5,ARM!$B$45:$B$58,ARM!$C$45:$C$58)</f>
        <v>0</v>
      </c>
      <c r="D5" s="336">
        <f>_xlfn.XLOOKUP(B5,ARM!$B$45:$B$58,ARM!$D$45:$D$58)</f>
        <v>1</v>
      </c>
      <c r="E5" s="336">
        <v>0</v>
      </c>
      <c r="F5" s="336">
        <f>ROUNDUP(SUM(C5:E5),0)</f>
        <v>1</v>
      </c>
      <c r="G5" s="337">
        <v>40000</v>
      </c>
      <c r="H5" s="295">
        <f t="shared" ref="H5:H15" si="0">F5*G5</f>
        <v>40000</v>
      </c>
      <c r="I5" s="296"/>
    </row>
    <row r="6" spans="1:9">
      <c r="A6" s="94"/>
      <c r="B6" s="335" t="s">
        <v>235</v>
      </c>
      <c r="C6" s="336">
        <f>_xlfn.XLOOKUP(B6,ARM!$B$45:$B$58,ARM!$C$45:$C$58)</f>
        <v>0</v>
      </c>
      <c r="D6" s="336">
        <f>_xlfn.XLOOKUP(B6,ARM!$B$45:$B$58,ARM!$D$45:$D$58)</f>
        <v>0</v>
      </c>
      <c r="E6" s="336">
        <v>0</v>
      </c>
      <c r="F6" s="336">
        <f>ROUNDUP(SUM(C6:E6),0)</f>
        <v>0</v>
      </c>
      <c r="G6" s="337">
        <v>0</v>
      </c>
      <c r="H6" s="295">
        <f t="shared" si="0"/>
        <v>0</v>
      </c>
      <c r="I6" s="296">
        <v>0</v>
      </c>
    </row>
    <row r="7" spans="1:9">
      <c r="A7" s="94"/>
      <c r="B7" s="339" t="s">
        <v>236</v>
      </c>
      <c r="C7" s="336">
        <f>_xlfn.XLOOKUP(B7,ARM!$B$45:$B$58,ARM!$C$45:$C$58)</f>
        <v>5</v>
      </c>
      <c r="D7" s="336">
        <f>_xlfn.XLOOKUP(B7,ARM!$B$45:$B$58,ARM!$D$45:$D$58)</f>
        <v>2</v>
      </c>
      <c r="E7" s="340">
        <f>ROUNDUP((C7+D7)*$A$13,0)</f>
        <v>1</v>
      </c>
      <c r="F7" s="336">
        <f>ROUNDUP(SUM(C7:E7),0)</f>
        <v>8</v>
      </c>
      <c r="G7" s="337">
        <v>30000</v>
      </c>
      <c r="H7" s="295">
        <f t="shared" si="0"/>
        <v>240000</v>
      </c>
      <c r="I7" s="296">
        <v>6</v>
      </c>
    </row>
    <row r="8" spans="1:9">
      <c r="A8" s="94"/>
      <c r="B8" s="341" t="s">
        <v>237</v>
      </c>
      <c r="C8" s="336">
        <f>_xlfn.XLOOKUP(B8,ARM!$B$45:$B$58,ARM!$C$45:$C$58)</f>
        <v>2</v>
      </c>
      <c r="D8" s="336">
        <f>_xlfn.XLOOKUP(B8,ARM!$B$45:$B$58,ARM!$D$45:$D$58)</f>
        <v>0</v>
      </c>
      <c r="E8" s="336">
        <v>0</v>
      </c>
      <c r="F8" s="336">
        <f t="shared" ref="F8:F15" si="1">ROUNDUP(SUM(C8:E8),0)</f>
        <v>2</v>
      </c>
      <c r="G8" s="337">
        <v>35000</v>
      </c>
      <c r="H8" s="295">
        <f t="shared" si="0"/>
        <v>70000</v>
      </c>
      <c r="I8" s="296">
        <v>2</v>
      </c>
    </row>
    <row r="9" spans="1:9">
      <c r="A9" s="94"/>
      <c r="B9" s="335" t="s">
        <v>238</v>
      </c>
      <c r="C9" s="336">
        <f>_xlfn.XLOOKUP(B9,ARM!$B$45:$B$58,ARM!$C$45:$C$58)</f>
        <v>2</v>
      </c>
      <c r="D9" s="336">
        <f>_xlfn.XLOOKUP(B9,ARM!$B$45:$B$58,ARM!$D$45:$D$58)</f>
        <v>1</v>
      </c>
      <c r="E9" s="340">
        <f>ROUNDUP((C9+D9)*$A$13,0)</f>
        <v>1</v>
      </c>
      <c r="F9" s="336">
        <f t="shared" si="1"/>
        <v>4</v>
      </c>
      <c r="G9" s="337">
        <v>30000</v>
      </c>
      <c r="H9" s="295">
        <f t="shared" si="0"/>
        <v>120000</v>
      </c>
      <c r="I9" s="296">
        <v>1</v>
      </c>
    </row>
    <row r="10" spans="1:9">
      <c r="A10" s="94" t="s">
        <v>239</v>
      </c>
      <c r="B10" s="335" t="s">
        <v>240</v>
      </c>
      <c r="C10" s="336">
        <f>_xlfn.XLOOKUP(B10,ARM!$B$45:$B$58,ARM!$C$45:$C$58)</f>
        <v>3</v>
      </c>
      <c r="D10" s="336">
        <f>_xlfn.XLOOKUP(B10,ARM!$B$45:$B$58,ARM!$D$45:$D$58)</f>
        <v>1</v>
      </c>
      <c r="E10" s="340">
        <f>ROUNDUP((C10+D10)*$A$13,0)*0</f>
        <v>0</v>
      </c>
      <c r="F10" s="336">
        <f t="shared" si="1"/>
        <v>4</v>
      </c>
      <c r="G10" s="337">
        <v>28000</v>
      </c>
      <c r="H10" s="295">
        <f t="shared" si="0"/>
        <v>112000</v>
      </c>
      <c r="I10" s="296">
        <v>1</v>
      </c>
    </row>
    <row r="11" spans="1:9">
      <c r="A11" s="94"/>
      <c r="B11" s="335" t="s">
        <v>241</v>
      </c>
      <c r="C11" s="336">
        <f>_xlfn.XLOOKUP(B11,ARM!$B$45:$B$58,ARM!$C$45:$C$58)</f>
        <v>1</v>
      </c>
      <c r="D11" s="336">
        <f>_xlfn.XLOOKUP(B11,ARM!$B$45:$B$58,ARM!$D$45:$D$58)</f>
        <v>1</v>
      </c>
      <c r="E11" s="340">
        <f>ROUNDUP((C11+D11)*$A$13,0)</f>
        <v>1</v>
      </c>
      <c r="F11" s="336">
        <f t="shared" si="1"/>
        <v>3</v>
      </c>
      <c r="G11" s="337">
        <v>28000</v>
      </c>
      <c r="H11" s="295">
        <f t="shared" si="0"/>
        <v>84000</v>
      </c>
      <c r="I11" s="296">
        <v>1</v>
      </c>
    </row>
    <row r="12" spans="1:9">
      <c r="A12" s="94" t="s">
        <v>239</v>
      </c>
      <c r="B12" s="335" t="s">
        <v>242</v>
      </c>
      <c r="C12" s="336">
        <f>_xlfn.XLOOKUP(B12,ARM!$B$45:$B$58,ARM!$C$45:$C$58)</f>
        <v>0</v>
      </c>
      <c r="D12" s="336">
        <f>_xlfn.XLOOKUP(B12,ARM!$B$45:$B$58,ARM!$D$45:$D$58)</f>
        <v>0</v>
      </c>
      <c r="E12" s="336">
        <v>0</v>
      </c>
      <c r="F12" s="336">
        <f t="shared" si="1"/>
        <v>0</v>
      </c>
      <c r="G12" s="337">
        <v>0</v>
      </c>
      <c r="H12" s="295">
        <f t="shared" si="0"/>
        <v>0</v>
      </c>
      <c r="I12" s="296">
        <v>0</v>
      </c>
    </row>
    <row r="13" spans="1:9">
      <c r="A13" s="95">
        <v>0.08</v>
      </c>
      <c r="B13" s="335" t="s">
        <v>243</v>
      </c>
      <c r="C13" s="336">
        <f>_xlfn.XLOOKUP(B13,ARM!$B$45:$B$58,ARM!$C$45:$C$58)</f>
        <v>14</v>
      </c>
      <c r="D13" s="336">
        <f>_xlfn.XLOOKUP(B13,ARM!$B$45:$B$58,ARM!$D$45:$D$58)</f>
        <v>2</v>
      </c>
      <c r="E13" s="340">
        <f>ROUNDUP((C13+D13)*$A$13,0)</f>
        <v>2</v>
      </c>
      <c r="F13" s="336">
        <f t="shared" si="1"/>
        <v>18</v>
      </c>
      <c r="G13" s="337">
        <v>20000</v>
      </c>
      <c r="H13" s="295">
        <f t="shared" si="0"/>
        <v>360000</v>
      </c>
      <c r="I13" s="296">
        <v>20</v>
      </c>
    </row>
    <row r="14" spans="1:9">
      <c r="A14" s="95" t="s">
        <v>244</v>
      </c>
      <c r="B14" s="339" t="s">
        <v>110</v>
      </c>
      <c r="C14" s="336">
        <f>_xlfn.XLOOKUP(B14,ARM!$B$45:$B$58,ARM!$C$45:$C$58)</f>
        <v>8</v>
      </c>
      <c r="D14" s="336">
        <f>_xlfn.XLOOKUP(B14,ARM!$B$45:$B$58,ARM!$D$45:$D$58)</f>
        <v>3</v>
      </c>
      <c r="E14" s="336">
        <v>0</v>
      </c>
      <c r="F14" s="336">
        <f t="shared" si="1"/>
        <v>11</v>
      </c>
      <c r="G14" s="337">
        <v>24000</v>
      </c>
      <c r="H14" s="295">
        <f t="shared" si="0"/>
        <v>264000</v>
      </c>
      <c r="I14" s="296">
        <v>4</v>
      </c>
    </row>
    <row r="15" spans="1:9">
      <c r="A15" s="95"/>
      <c r="B15" s="339" t="s">
        <v>245</v>
      </c>
      <c r="C15" s="336">
        <f>_xlfn.XLOOKUP(B15,ARM!$B$45:$B$58,ARM!$C$45:$C$58)</f>
        <v>2</v>
      </c>
      <c r="D15" s="336">
        <f>_xlfn.XLOOKUP(B15,ARM!$B$45:$B$58,ARM!$D$45:$D$58)</f>
        <v>0</v>
      </c>
      <c r="E15" s="336">
        <v>0</v>
      </c>
      <c r="F15" s="336">
        <f t="shared" si="1"/>
        <v>2</v>
      </c>
      <c r="G15" s="337">
        <v>20000</v>
      </c>
      <c r="H15" s="295">
        <f t="shared" si="0"/>
        <v>40000</v>
      </c>
      <c r="I15" s="296">
        <v>2</v>
      </c>
    </row>
    <row r="16" spans="1:9">
      <c r="A16" s="94"/>
      <c r="B16" s="342" t="s">
        <v>246</v>
      </c>
      <c r="C16" s="343">
        <f>SUM(C4:C15)</f>
        <v>38</v>
      </c>
      <c r="D16" s="343">
        <f>SUM(D4:D15)</f>
        <v>11</v>
      </c>
      <c r="E16" s="343">
        <f>SUM(E4:E15)</f>
        <v>5</v>
      </c>
      <c r="F16" s="343">
        <f>SUM(F4:F15)</f>
        <v>54</v>
      </c>
      <c r="G16" s="344"/>
      <c r="H16" s="345">
        <f>SUM(H4:H15)</f>
        <v>1380000</v>
      </c>
      <c r="I16" s="3">
        <f>SUM(I3:I15)</f>
        <v>38</v>
      </c>
    </row>
    <row r="18" spans="6:8">
      <c r="F18" s="96"/>
      <c r="H18" s="97"/>
    </row>
    <row r="19" spans="6:8">
      <c r="H19" s="97"/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39997558519241921"/>
  </sheetPr>
  <dimension ref="A1:H45"/>
  <sheetViews>
    <sheetView showGridLines="0" zoomScale="103" zoomScaleNormal="103" workbookViewId="0">
      <selection activeCell="E16" sqref="E16"/>
    </sheetView>
  </sheetViews>
  <sheetFormatPr defaultColWidth="9" defaultRowHeight="15"/>
  <cols>
    <col min="1" max="1" width="17.75" customWidth="1"/>
    <col min="2" max="2" width="44.125" style="3" bestFit="1" customWidth="1"/>
    <col min="3" max="3" width="8.875" style="3" customWidth="1"/>
    <col min="4" max="4" width="13.25" style="252" bestFit="1" customWidth="1"/>
    <col min="5" max="5" width="13.375" style="249" bestFit="1" customWidth="1"/>
    <col min="6" max="6" width="14" style="53" customWidth="1"/>
    <col min="7" max="7" width="26.375" bestFit="1" customWidth="1"/>
    <col min="119" max="119" width="37.25" customWidth="1"/>
    <col min="120" max="120" width="4.75" customWidth="1"/>
    <col min="121" max="121" width="7.375" customWidth="1"/>
    <col min="122" max="127" width="9.875" customWidth="1"/>
    <col min="128" max="129" width="12.75" customWidth="1"/>
    <col min="130" max="133" width="13.25" customWidth="1"/>
    <col min="134" max="134" width="26" customWidth="1"/>
    <col min="135" max="137" width="8.75" customWidth="1"/>
    <col min="138" max="138" width="4.875" customWidth="1"/>
    <col min="139" max="139" width="10.625" customWidth="1"/>
    <col min="140" max="141" width="12.125" customWidth="1"/>
    <col min="142" max="142" width="12.25" customWidth="1"/>
    <col min="143" max="144" width="9.625" customWidth="1"/>
    <col min="145" max="145" width="7" customWidth="1"/>
    <col min="146" max="146" width="9.625" customWidth="1"/>
    <col min="147" max="147" width="8" customWidth="1"/>
    <col min="148" max="148" width="9.625" customWidth="1"/>
    <col min="150" max="150" width="12.125" customWidth="1"/>
    <col min="375" max="375" width="37.25" customWidth="1"/>
    <col min="376" max="376" width="4.75" customWidth="1"/>
    <col min="377" max="377" width="7.375" customWidth="1"/>
    <col min="378" max="383" width="9.875" customWidth="1"/>
    <col min="384" max="385" width="12.75" customWidth="1"/>
    <col min="386" max="389" width="13.25" customWidth="1"/>
    <col min="390" max="390" width="26" customWidth="1"/>
    <col min="391" max="393" width="8.75" customWidth="1"/>
    <col min="394" max="394" width="4.875" customWidth="1"/>
    <col min="395" max="395" width="10.625" customWidth="1"/>
    <col min="396" max="397" width="12.125" customWidth="1"/>
    <col min="398" max="398" width="12.25" customWidth="1"/>
    <col min="399" max="400" width="9.625" customWidth="1"/>
    <col min="401" max="401" width="7" customWidth="1"/>
    <col min="402" max="402" width="9.625" customWidth="1"/>
    <col min="403" max="403" width="8" customWidth="1"/>
    <col min="404" max="404" width="9.625" customWidth="1"/>
    <col min="406" max="406" width="12.125" customWidth="1"/>
    <col min="631" max="631" width="37.25" customWidth="1"/>
    <col min="632" max="632" width="4.75" customWidth="1"/>
    <col min="633" max="633" width="7.375" customWidth="1"/>
    <col min="634" max="639" width="9.875" customWidth="1"/>
    <col min="640" max="641" width="12.75" customWidth="1"/>
    <col min="642" max="645" width="13.25" customWidth="1"/>
    <col min="646" max="646" width="26" customWidth="1"/>
    <col min="647" max="649" width="8.75" customWidth="1"/>
    <col min="650" max="650" width="4.875" customWidth="1"/>
    <col min="651" max="651" width="10.625" customWidth="1"/>
    <col min="652" max="653" width="12.125" customWidth="1"/>
    <col min="654" max="654" width="12.25" customWidth="1"/>
    <col min="655" max="656" width="9.625" customWidth="1"/>
    <col min="657" max="657" width="7" customWidth="1"/>
    <col min="658" max="658" width="9.625" customWidth="1"/>
    <col min="659" max="659" width="8" customWidth="1"/>
    <col min="660" max="660" width="9.625" customWidth="1"/>
    <col min="662" max="662" width="12.125" customWidth="1"/>
    <col min="887" max="887" width="37.25" customWidth="1"/>
    <col min="888" max="888" width="4.75" customWidth="1"/>
    <col min="889" max="889" width="7.375" customWidth="1"/>
    <col min="890" max="895" width="9.875" customWidth="1"/>
    <col min="896" max="897" width="12.75" customWidth="1"/>
    <col min="898" max="901" width="13.25" customWidth="1"/>
    <col min="902" max="902" width="26" customWidth="1"/>
    <col min="903" max="905" width="8.75" customWidth="1"/>
    <col min="906" max="906" width="4.875" customWidth="1"/>
    <col min="907" max="907" width="10.625" customWidth="1"/>
    <col min="908" max="909" width="12.125" customWidth="1"/>
    <col min="910" max="910" width="12.25" customWidth="1"/>
    <col min="911" max="912" width="9.625" customWidth="1"/>
    <col min="913" max="913" width="7" customWidth="1"/>
    <col min="914" max="914" width="9.625" customWidth="1"/>
    <col min="915" max="915" width="8" customWidth="1"/>
    <col min="916" max="916" width="9.625" customWidth="1"/>
    <col min="918" max="918" width="12.125" customWidth="1"/>
    <col min="1143" max="1143" width="37.25" customWidth="1"/>
    <col min="1144" max="1144" width="4.75" customWidth="1"/>
    <col min="1145" max="1145" width="7.375" customWidth="1"/>
    <col min="1146" max="1151" width="9.875" customWidth="1"/>
    <col min="1152" max="1153" width="12.75" customWidth="1"/>
    <col min="1154" max="1157" width="13.25" customWidth="1"/>
    <col min="1158" max="1158" width="26" customWidth="1"/>
    <col min="1159" max="1161" width="8.75" customWidth="1"/>
    <col min="1162" max="1162" width="4.875" customWidth="1"/>
    <col min="1163" max="1163" width="10.625" customWidth="1"/>
    <col min="1164" max="1165" width="12.125" customWidth="1"/>
    <col min="1166" max="1166" width="12.25" customWidth="1"/>
    <col min="1167" max="1168" width="9.625" customWidth="1"/>
    <col min="1169" max="1169" width="7" customWidth="1"/>
    <col min="1170" max="1170" width="9.625" customWidth="1"/>
    <col min="1171" max="1171" width="8" customWidth="1"/>
    <col min="1172" max="1172" width="9.625" customWidth="1"/>
    <col min="1174" max="1174" width="12.125" customWidth="1"/>
    <col min="1399" max="1399" width="37.25" customWidth="1"/>
    <col min="1400" max="1400" width="4.75" customWidth="1"/>
    <col min="1401" max="1401" width="7.375" customWidth="1"/>
    <col min="1402" max="1407" width="9.875" customWidth="1"/>
    <col min="1408" max="1409" width="12.75" customWidth="1"/>
    <col min="1410" max="1413" width="13.25" customWidth="1"/>
    <col min="1414" max="1414" width="26" customWidth="1"/>
    <col min="1415" max="1417" width="8.75" customWidth="1"/>
    <col min="1418" max="1418" width="4.875" customWidth="1"/>
    <col min="1419" max="1419" width="10.625" customWidth="1"/>
    <col min="1420" max="1421" width="12.125" customWidth="1"/>
    <col min="1422" max="1422" width="12.25" customWidth="1"/>
    <col min="1423" max="1424" width="9.625" customWidth="1"/>
    <col min="1425" max="1425" width="7" customWidth="1"/>
    <col min="1426" max="1426" width="9.625" customWidth="1"/>
    <col min="1427" max="1427" width="8" customWidth="1"/>
    <col min="1428" max="1428" width="9.625" customWidth="1"/>
    <col min="1430" max="1430" width="12.125" customWidth="1"/>
    <col min="1655" max="1655" width="37.25" customWidth="1"/>
    <col min="1656" max="1656" width="4.75" customWidth="1"/>
    <col min="1657" max="1657" width="7.375" customWidth="1"/>
    <col min="1658" max="1663" width="9.875" customWidth="1"/>
    <col min="1664" max="1665" width="12.75" customWidth="1"/>
    <col min="1666" max="1669" width="13.25" customWidth="1"/>
    <col min="1670" max="1670" width="26" customWidth="1"/>
    <col min="1671" max="1673" width="8.75" customWidth="1"/>
    <col min="1674" max="1674" width="4.875" customWidth="1"/>
    <col min="1675" max="1675" width="10.625" customWidth="1"/>
    <col min="1676" max="1677" width="12.125" customWidth="1"/>
    <col min="1678" max="1678" width="12.25" customWidth="1"/>
    <col min="1679" max="1680" width="9.625" customWidth="1"/>
    <col min="1681" max="1681" width="7" customWidth="1"/>
    <col min="1682" max="1682" width="9.625" customWidth="1"/>
    <col min="1683" max="1683" width="8" customWidth="1"/>
    <col min="1684" max="1684" width="9.625" customWidth="1"/>
    <col min="1686" max="1686" width="12.125" customWidth="1"/>
    <col min="1911" max="1911" width="37.25" customWidth="1"/>
    <col min="1912" max="1912" width="4.75" customWidth="1"/>
    <col min="1913" max="1913" width="7.375" customWidth="1"/>
    <col min="1914" max="1919" width="9.875" customWidth="1"/>
    <col min="1920" max="1921" width="12.75" customWidth="1"/>
    <col min="1922" max="1925" width="13.25" customWidth="1"/>
    <col min="1926" max="1926" width="26" customWidth="1"/>
    <col min="1927" max="1929" width="8.75" customWidth="1"/>
    <col min="1930" max="1930" width="4.875" customWidth="1"/>
    <col min="1931" max="1931" width="10.625" customWidth="1"/>
    <col min="1932" max="1933" width="12.125" customWidth="1"/>
    <col min="1934" max="1934" width="12.25" customWidth="1"/>
    <col min="1935" max="1936" width="9.625" customWidth="1"/>
    <col min="1937" max="1937" width="7" customWidth="1"/>
    <col min="1938" max="1938" width="9.625" customWidth="1"/>
    <col min="1939" max="1939" width="8" customWidth="1"/>
    <col min="1940" max="1940" width="9.625" customWidth="1"/>
    <col min="1942" max="1942" width="12.125" customWidth="1"/>
    <col min="2167" max="2167" width="37.25" customWidth="1"/>
    <col min="2168" max="2168" width="4.75" customWidth="1"/>
    <col min="2169" max="2169" width="7.375" customWidth="1"/>
    <col min="2170" max="2175" width="9.875" customWidth="1"/>
    <col min="2176" max="2177" width="12.75" customWidth="1"/>
    <col min="2178" max="2181" width="13.25" customWidth="1"/>
    <col min="2182" max="2182" width="26" customWidth="1"/>
    <col min="2183" max="2185" width="8.75" customWidth="1"/>
    <col min="2186" max="2186" width="4.875" customWidth="1"/>
    <col min="2187" max="2187" width="10.625" customWidth="1"/>
    <col min="2188" max="2189" width="12.125" customWidth="1"/>
    <col min="2190" max="2190" width="12.25" customWidth="1"/>
    <col min="2191" max="2192" width="9.625" customWidth="1"/>
    <col min="2193" max="2193" width="7" customWidth="1"/>
    <col min="2194" max="2194" width="9.625" customWidth="1"/>
    <col min="2195" max="2195" width="8" customWidth="1"/>
    <col min="2196" max="2196" width="9.625" customWidth="1"/>
    <col min="2198" max="2198" width="12.125" customWidth="1"/>
    <col min="2423" max="2423" width="37.25" customWidth="1"/>
    <col min="2424" max="2424" width="4.75" customWidth="1"/>
    <col min="2425" max="2425" width="7.375" customWidth="1"/>
    <col min="2426" max="2431" width="9.875" customWidth="1"/>
    <col min="2432" max="2433" width="12.75" customWidth="1"/>
    <col min="2434" max="2437" width="13.25" customWidth="1"/>
    <col min="2438" max="2438" width="26" customWidth="1"/>
    <col min="2439" max="2441" width="8.75" customWidth="1"/>
    <col min="2442" max="2442" width="4.875" customWidth="1"/>
    <col min="2443" max="2443" width="10.625" customWidth="1"/>
    <col min="2444" max="2445" width="12.125" customWidth="1"/>
    <col min="2446" max="2446" width="12.25" customWidth="1"/>
    <col min="2447" max="2448" width="9.625" customWidth="1"/>
    <col min="2449" max="2449" width="7" customWidth="1"/>
    <col min="2450" max="2450" width="9.625" customWidth="1"/>
    <col min="2451" max="2451" width="8" customWidth="1"/>
    <col min="2452" max="2452" width="9.625" customWidth="1"/>
    <col min="2454" max="2454" width="12.125" customWidth="1"/>
    <col min="2679" max="2679" width="37.25" customWidth="1"/>
    <col min="2680" max="2680" width="4.75" customWidth="1"/>
    <col min="2681" max="2681" width="7.375" customWidth="1"/>
    <col min="2682" max="2687" width="9.875" customWidth="1"/>
    <col min="2688" max="2689" width="12.75" customWidth="1"/>
    <col min="2690" max="2693" width="13.25" customWidth="1"/>
    <col min="2694" max="2694" width="26" customWidth="1"/>
    <col min="2695" max="2697" width="8.75" customWidth="1"/>
    <col min="2698" max="2698" width="4.875" customWidth="1"/>
    <col min="2699" max="2699" width="10.625" customWidth="1"/>
    <col min="2700" max="2701" width="12.125" customWidth="1"/>
    <col min="2702" max="2702" width="12.25" customWidth="1"/>
    <col min="2703" max="2704" width="9.625" customWidth="1"/>
    <col min="2705" max="2705" width="7" customWidth="1"/>
    <col min="2706" max="2706" width="9.625" customWidth="1"/>
    <col min="2707" max="2707" width="8" customWidth="1"/>
    <col min="2708" max="2708" width="9.625" customWidth="1"/>
    <col min="2710" max="2710" width="12.125" customWidth="1"/>
    <col min="2935" max="2935" width="37.25" customWidth="1"/>
    <col min="2936" max="2936" width="4.75" customWidth="1"/>
    <col min="2937" max="2937" width="7.375" customWidth="1"/>
    <col min="2938" max="2943" width="9.875" customWidth="1"/>
    <col min="2944" max="2945" width="12.75" customWidth="1"/>
    <col min="2946" max="2949" width="13.25" customWidth="1"/>
    <col min="2950" max="2950" width="26" customWidth="1"/>
    <col min="2951" max="2953" width="8.75" customWidth="1"/>
    <col min="2954" max="2954" width="4.875" customWidth="1"/>
    <col min="2955" max="2955" width="10.625" customWidth="1"/>
    <col min="2956" max="2957" width="12.125" customWidth="1"/>
    <col min="2958" max="2958" width="12.25" customWidth="1"/>
    <col min="2959" max="2960" width="9.625" customWidth="1"/>
    <col min="2961" max="2961" width="7" customWidth="1"/>
    <col min="2962" max="2962" width="9.625" customWidth="1"/>
    <col min="2963" max="2963" width="8" customWidth="1"/>
    <col min="2964" max="2964" width="9.625" customWidth="1"/>
    <col min="2966" max="2966" width="12.125" customWidth="1"/>
    <col min="3191" max="3191" width="37.25" customWidth="1"/>
    <col min="3192" max="3192" width="4.75" customWidth="1"/>
    <col min="3193" max="3193" width="7.375" customWidth="1"/>
    <col min="3194" max="3199" width="9.875" customWidth="1"/>
    <col min="3200" max="3201" width="12.75" customWidth="1"/>
    <col min="3202" max="3205" width="13.25" customWidth="1"/>
    <col min="3206" max="3206" width="26" customWidth="1"/>
    <col min="3207" max="3209" width="8.75" customWidth="1"/>
    <col min="3210" max="3210" width="4.875" customWidth="1"/>
    <col min="3211" max="3211" width="10.625" customWidth="1"/>
    <col min="3212" max="3213" width="12.125" customWidth="1"/>
    <col min="3214" max="3214" width="12.25" customWidth="1"/>
    <col min="3215" max="3216" width="9.625" customWidth="1"/>
    <col min="3217" max="3217" width="7" customWidth="1"/>
    <col min="3218" max="3218" width="9.625" customWidth="1"/>
    <col min="3219" max="3219" width="8" customWidth="1"/>
    <col min="3220" max="3220" width="9.625" customWidth="1"/>
    <col min="3222" max="3222" width="12.125" customWidth="1"/>
    <col min="3447" max="3447" width="37.25" customWidth="1"/>
    <col min="3448" max="3448" width="4.75" customWidth="1"/>
    <col min="3449" max="3449" width="7.375" customWidth="1"/>
    <col min="3450" max="3455" width="9.875" customWidth="1"/>
    <col min="3456" max="3457" width="12.75" customWidth="1"/>
    <col min="3458" max="3461" width="13.25" customWidth="1"/>
    <col min="3462" max="3462" width="26" customWidth="1"/>
    <col min="3463" max="3465" width="8.75" customWidth="1"/>
    <col min="3466" max="3466" width="4.875" customWidth="1"/>
    <col min="3467" max="3467" width="10.625" customWidth="1"/>
    <col min="3468" max="3469" width="12.125" customWidth="1"/>
    <col min="3470" max="3470" width="12.25" customWidth="1"/>
    <col min="3471" max="3472" width="9.625" customWidth="1"/>
    <col min="3473" max="3473" width="7" customWidth="1"/>
    <col min="3474" max="3474" width="9.625" customWidth="1"/>
    <col min="3475" max="3475" width="8" customWidth="1"/>
    <col min="3476" max="3476" width="9.625" customWidth="1"/>
    <col min="3478" max="3478" width="12.125" customWidth="1"/>
    <col min="3703" max="3703" width="37.25" customWidth="1"/>
    <col min="3704" max="3704" width="4.75" customWidth="1"/>
    <col min="3705" max="3705" width="7.375" customWidth="1"/>
    <col min="3706" max="3711" width="9.875" customWidth="1"/>
    <col min="3712" max="3713" width="12.75" customWidth="1"/>
    <col min="3714" max="3717" width="13.25" customWidth="1"/>
    <col min="3718" max="3718" width="26" customWidth="1"/>
    <col min="3719" max="3721" width="8.75" customWidth="1"/>
    <col min="3722" max="3722" width="4.875" customWidth="1"/>
    <col min="3723" max="3723" width="10.625" customWidth="1"/>
    <col min="3724" max="3725" width="12.125" customWidth="1"/>
    <col min="3726" max="3726" width="12.25" customWidth="1"/>
    <col min="3727" max="3728" width="9.625" customWidth="1"/>
    <col min="3729" max="3729" width="7" customWidth="1"/>
    <col min="3730" max="3730" width="9.625" customWidth="1"/>
    <col min="3731" max="3731" width="8" customWidth="1"/>
    <col min="3732" max="3732" width="9.625" customWidth="1"/>
    <col min="3734" max="3734" width="12.125" customWidth="1"/>
    <col min="3959" max="3959" width="37.25" customWidth="1"/>
    <col min="3960" max="3960" width="4.75" customWidth="1"/>
    <col min="3961" max="3961" width="7.375" customWidth="1"/>
    <col min="3962" max="3967" width="9.875" customWidth="1"/>
    <col min="3968" max="3969" width="12.75" customWidth="1"/>
    <col min="3970" max="3973" width="13.25" customWidth="1"/>
    <col min="3974" max="3974" width="26" customWidth="1"/>
    <col min="3975" max="3977" width="8.75" customWidth="1"/>
    <col min="3978" max="3978" width="4.875" customWidth="1"/>
    <col min="3979" max="3979" width="10.625" customWidth="1"/>
    <col min="3980" max="3981" width="12.125" customWidth="1"/>
    <col min="3982" max="3982" width="12.25" customWidth="1"/>
    <col min="3983" max="3984" width="9.625" customWidth="1"/>
    <col min="3985" max="3985" width="7" customWidth="1"/>
    <col min="3986" max="3986" width="9.625" customWidth="1"/>
    <col min="3987" max="3987" width="8" customWidth="1"/>
    <col min="3988" max="3988" width="9.625" customWidth="1"/>
    <col min="3990" max="3990" width="12.125" customWidth="1"/>
    <col min="4215" max="4215" width="37.25" customWidth="1"/>
    <col min="4216" max="4216" width="4.75" customWidth="1"/>
    <col min="4217" max="4217" width="7.375" customWidth="1"/>
    <col min="4218" max="4223" width="9.875" customWidth="1"/>
    <col min="4224" max="4225" width="12.75" customWidth="1"/>
    <col min="4226" max="4229" width="13.25" customWidth="1"/>
    <col min="4230" max="4230" width="26" customWidth="1"/>
    <col min="4231" max="4233" width="8.75" customWidth="1"/>
    <col min="4234" max="4234" width="4.875" customWidth="1"/>
    <col min="4235" max="4235" width="10.625" customWidth="1"/>
    <col min="4236" max="4237" width="12.125" customWidth="1"/>
    <col min="4238" max="4238" width="12.25" customWidth="1"/>
    <col min="4239" max="4240" width="9.625" customWidth="1"/>
    <col min="4241" max="4241" width="7" customWidth="1"/>
    <col min="4242" max="4242" width="9.625" customWidth="1"/>
    <col min="4243" max="4243" width="8" customWidth="1"/>
    <col min="4244" max="4244" width="9.625" customWidth="1"/>
    <col min="4246" max="4246" width="12.125" customWidth="1"/>
    <col min="4471" max="4471" width="37.25" customWidth="1"/>
    <col min="4472" max="4472" width="4.75" customWidth="1"/>
    <col min="4473" max="4473" width="7.375" customWidth="1"/>
    <col min="4474" max="4479" width="9.875" customWidth="1"/>
    <col min="4480" max="4481" width="12.75" customWidth="1"/>
    <col min="4482" max="4485" width="13.25" customWidth="1"/>
    <col min="4486" max="4486" width="26" customWidth="1"/>
    <col min="4487" max="4489" width="8.75" customWidth="1"/>
    <col min="4490" max="4490" width="4.875" customWidth="1"/>
    <col min="4491" max="4491" width="10.625" customWidth="1"/>
    <col min="4492" max="4493" width="12.125" customWidth="1"/>
    <col min="4494" max="4494" width="12.25" customWidth="1"/>
    <col min="4495" max="4496" width="9.625" customWidth="1"/>
    <col min="4497" max="4497" width="7" customWidth="1"/>
    <col min="4498" max="4498" width="9.625" customWidth="1"/>
    <col min="4499" max="4499" width="8" customWidth="1"/>
    <col min="4500" max="4500" width="9.625" customWidth="1"/>
    <col min="4502" max="4502" width="12.125" customWidth="1"/>
    <col min="4727" max="4727" width="37.25" customWidth="1"/>
    <col min="4728" max="4728" width="4.75" customWidth="1"/>
    <col min="4729" max="4729" width="7.375" customWidth="1"/>
    <col min="4730" max="4735" width="9.875" customWidth="1"/>
    <col min="4736" max="4737" width="12.75" customWidth="1"/>
    <col min="4738" max="4741" width="13.25" customWidth="1"/>
    <col min="4742" max="4742" width="26" customWidth="1"/>
    <col min="4743" max="4745" width="8.75" customWidth="1"/>
    <col min="4746" max="4746" width="4.875" customWidth="1"/>
    <col min="4747" max="4747" width="10.625" customWidth="1"/>
    <col min="4748" max="4749" width="12.125" customWidth="1"/>
    <col min="4750" max="4750" width="12.25" customWidth="1"/>
    <col min="4751" max="4752" width="9.625" customWidth="1"/>
    <col min="4753" max="4753" width="7" customWidth="1"/>
    <col min="4754" max="4754" width="9.625" customWidth="1"/>
    <col min="4755" max="4755" width="8" customWidth="1"/>
    <col min="4756" max="4756" width="9.625" customWidth="1"/>
    <col min="4758" max="4758" width="12.125" customWidth="1"/>
    <col min="4983" max="4983" width="37.25" customWidth="1"/>
    <col min="4984" max="4984" width="4.75" customWidth="1"/>
    <col min="4985" max="4985" width="7.375" customWidth="1"/>
    <col min="4986" max="4991" width="9.875" customWidth="1"/>
    <col min="4992" max="4993" width="12.75" customWidth="1"/>
    <col min="4994" max="4997" width="13.25" customWidth="1"/>
    <col min="4998" max="4998" width="26" customWidth="1"/>
    <col min="4999" max="5001" width="8.75" customWidth="1"/>
    <col min="5002" max="5002" width="4.875" customWidth="1"/>
    <col min="5003" max="5003" width="10.625" customWidth="1"/>
    <col min="5004" max="5005" width="12.125" customWidth="1"/>
    <col min="5006" max="5006" width="12.25" customWidth="1"/>
    <col min="5007" max="5008" width="9.625" customWidth="1"/>
    <col min="5009" max="5009" width="7" customWidth="1"/>
    <col min="5010" max="5010" width="9.625" customWidth="1"/>
    <col min="5011" max="5011" width="8" customWidth="1"/>
    <col min="5012" max="5012" width="9.625" customWidth="1"/>
    <col min="5014" max="5014" width="12.125" customWidth="1"/>
    <col min="5239" max="5239" width="37.25" customWidth="1"/>
    <col min="5240" max="5240" width="4.75" customWidth="1"/>
    <col min="5241" max="5241" width="7.375" customWidth="1"/>
    <col min="5242" max="5247" width="9.875" customWidth="1"/>
    <col min="5248" max="5249" width="12.75" customWidth="1"/>
    <col min="5250" max="5253" width="13.25" customWidth="1"/>
    <col min="5254" max="5254" width="26" customWidth="1"/>
    <col min="5255" max="5257" width="8.75" customWidth="1"/>
    <col min="5258" max="5258" width="4.875" customWidth="1"/>
    <col min="5259" max="5259" width="10.625" customWidth="1"/>
    <col min="5260" max="5261" width="12.125" customWidth="1"/>
    <col min="5262" max="5262" width="12.25" customWidth="1"/>
    <col min="5263" max="5264" width="9.625" customWidth="1"/>
    <col min="5265" max="5265" width="7" customWidth="1"/>
    <col min="5266" max="5266" width="9.625" customWidth="1"/>
    <col min="5267" max="5267" width="8" customWidth="1"/>
    <col min="5268" max="5268" width="9.625" customWidth="1"/>
    <col min="5270" max="5270" width="12.125" customWidth="1"/>
    <col min="5495" max="5495" width="37.25" customWidth="1"/>
    <col min="5496" max="5496" width="4.75" customWidth="1"/>
    <col min="5497" max="5497" width="7.375" customWidth="1"/>
    <col min="5498" max="5503" width="9.875" customWidth="1"/>
    <col min="5504" max="5505" width="12.75" customWidth="1"/>
    <col min="5506" max="5509" width="13.25" customWidth="1"/>
    <col min="5510" max="5510" width="26" customWidth="1"/>
    <col min="5511" max="5513" width="8.75" customWidth="1"/>
    <col min="5514" max="5514" width="4.875" customWidth="1"/>
    <col min="5515" max="5515" width="10.625" customWidth="1"/>
    <col min="5516" max="5517" width="12.125" customWidth="1"/>
    <col min="5518" max="5518" width="12.25" customWidth="1"/>
    <col min="5519" max="5520" width="9.625" customWidth="1"/>
    <col min="5521" max="5521" width="7" customWidth="1"/>
    <col min="5522" max="5522" width="9.625" customWidth="1"/>
    <col min="5523" max="5523" width="8" customWidth="1"/>
    <col min="5524" max="5524" width="9.625" customWidth="1"/>
    <col min="5526" max="5526" width="12.125" customWidth="1"/>
    <col min="5751" max="5751" width="37.25" customWidth="1"/>
    <col min="5752" max="5752" width="4.75" customWidth="1"/>
    <col min="5753" max="5753" width="7.375" customWidth="1"/>
    <col min="5754" max="5759" width="9.875" customWidth="1"/>
    <col min="5760" max="5761" width="12.75" customWidth="1"/>
    <col min="5762" max="5765" width="13.25" customWidth="1"/>
    <col min="5766" max="5766" width="26" customWidth="1"/>
    <col min="5767" max="5769" width="8.75" customWidth="1"/>
    <col min="5770" max="5770" width="4.875" customWidth="1"/>
    <col min="5771" max="5771" width="10.625" customWidth="1"/>
    <col min="5772" max="5773" width="12.125" customWidth="1"/>
    <col min="5774" max="5774" width="12.25" customWidth="1"/>
    <col min="5775" max="5776" width="9.625" customWidth="1"/>
    <col min="5777" max="5777" width="7" customWidth="1"/>
    <col min="5778" max="5778" width="9.625" customWidth="1"/>
    <col min="5779" max="5779" width="8" customWidth="1"/>
    <col min="5780" max="5780" width="9.625" customWidth="1"/>
    <col min="5782" max="5782" width="12.125" customWidth="1"/>
    <col min="6007" max="6007" width="37.25" customWidth="1"/>
    <col min="6008" max="6008" width="4.75" customWidth="1"/>
    <col min="6009" max="6009" width="7.375" customWidth="1"/>
    <col min="6010" max="6015" width="9.875" customWidth="1"/>
    <col min="6016" max="6017" width="12.75" customWidth="1"/>
    <col min="6018" max="6021" width="13.25" customWidth="1"/>
    <col min="6022" max="6022" width="26" customWidth="1"/>
    <col min="6023" max="6025" width="8.75" customWidth="1"/>
    <col min="6026" max="6026" width="4.875" customWidth="1"/>
    <col min="6027" max="6027" width="10.625" customWidth="1"/>
    <col min="6028" max="6029" width="12.125" customWidth="1"/>
    <col min="6030" max="6030" width="12.25" customWidth="1"/>
    <col min="6031" max="6032" width="9.625" customWidth="1"/>
    <col min="6033" max="6033" width="7" customWidth="1"/>
    <col min="6034" max="6034" width="9.625" customWidth="1"/>
    <col min="6035" max="6035" width="8" customWidth="1"/>
    <col min="6036" max="6036" width="9.625" customWidth="1"/>
    <col min="6038" max="6038" width="12.125" customWidth="1"/>
    <col min="6263" max="6263" width="37.25" customWidth="1"/>
    <col min="6264" max="6264" width="4.75" customWidth="1"/>
    <col min="6265" max="6265" width="7.375" customWidth="1"/>
    <col min="6266" max="6271" width="9.875" customWidth="1"/>
    <col min="6272" max="6273" width="12.75" customWidth="1"/>
    <col min="6274" max="6277" width="13.25" customWidth="1"/>
    <col min="6278" max="6278" width="26" customWidth="1"/>
    <col min="6279" max="6281" width="8.75" customWidth="1"/>
    <col min="6282" max="6282" width="4.875" customWidth="1"/>
    <col min="6283" max="6283" width="10.625" customWidth="1"/>
    <col min="6284" max="6285" width="12.125" customWidth="1"/>
    <col min="6286" max="6286" width="12.25" customWidth="1"/>
    <col min="6287" max="6288" width="9.625" customWidth="1"/>
    <col min="6289" max="6289" width="7" customWidth="1"/>
    <col min="6290" max="6290" width="9.625" customWidth="1"/>
    <col min="6291" max="6291" width="8" customWidth="1"/>
    <col min="6292" max="6292" width="9.625" customWidth="1"/>
    <col min="6294" max="6294" width="12.125" customWidth="1"/>
    <col min="6519" max="6519" width="37.25" customWidth="1"/>
    <col min="6520" max="6520" width="4.75" customWidth="1"/>
    <col min="6521" max="6521" width="7.375" customWidth="1"/>
    <col min="6522" max="6527" width="9.875" customWidth="1"/>
    <col min="6528" max="6529" width="12.75" customWidth="1"/>
    <col min="6530" max="6533" width="13.25" customWidth="1"/>
    <col min="6534" max="6534" width="26" customWidth="1"/>
    <col min="6535" max="6537" width="8.75" customWidth="1"/>
    <col min="6538" max="6538" width="4.875" customWidth="1"/>
    <col min="6539" max="6539" width="10.625" customWidth="1"/>
    <col min="6540" max="6541" width="12.125" customWidth="1"/>
    <col min="6542" max="6542" width="12.25" customWidth="1"/>
    <col min="6543" max="6544" width="9.625" customWidth="1"/>
    <col min="6545" max="6545" width="7" customWidth="1"/>
    <col min="6546" max="6546" width="9.625" customWidth="1"/>
    <col min="6547" max="6547" width="8" customWidth="1"/>
    <col min="6548" max="6548" width="9.625" customWidth="1"/>
    <col min="6550" max="6550" width="12.125" customWidth="1"/>
    <col min="6775" max="6775" width="37.25" customWidth="1"/>
    <col min="6776" max="6776" width="4.75" customWidth="1"/>
    <col min="6777" max="6777" width="7.375" customWidth="1"/>
    <col min="6778" max="6783" width="9.875" customWidth="1"/>
    <col min="6784" max="6785" width="12.75" customWidth="1"/>
    <col min="6786" max="6789" width="13.25" customWidth="1"/>
    <col min="6790" max="6790" width="26" customWidth="1"/>
    <col min="6791" max="6793" width="8.75" customWidth="1"/>
    <col min="6794" max="6794" width="4.875" customWidth="1"/>
    <col min="6795" max="6795" width="10.625" customWidth="1"/>
    <col min="6796" max="6797" width="12.125" customWidth="1"/>
    <col min="6798" max="6798" width="12.25" customWidth="1"/>
    <col min="6799" max="6800" width="9.625" customWidth="1"/>
    <col min="6801" max="6801" width="7" customWidth="1"/>
    <col min="6802" max="6802" width="9.625" customWidth="1"/>
    <col min="6803" max="6803" width="8" customWidth="1"/>
    <col min="6804" max="6804" width="9.625" customWidth="1"/>
    <col min="6806" max="6806" width="12.125" customWidth="1"/>
    <col min="7031" max="7031" width="37.25" customWidth="1"/>
    <col min="7032" max="7032" width="4.75" customWidth="1"/>
    <col min="7033" max="7033" width="7.375" customWidth="1"/>
    <col min="7034" max="7039" width="9.875" customWidth="1"/>
    <col min="7040" max="7041" width="12.75" customWidth="1"/>
    <col min="7042" max="7045" width="13.25" customWidth="1"/>
    <col min="7046" max="7046" width="26" customWidth="1"/>
    <col min="7047" max="7049" width="8.75" customWidth="1"/>
    <col min="7050" max="7050" width="4.875" customWidth="1"/>
    <col min="7051" max="7051" width="10.625" customWidth="1"/>
    <col min="7052" max="7053" width="12.125" customWidth="1"/>
    <col min="7054" max="7054" width="12.25" customWidth="1"/>
    <col min="7055" max="7056" width="9.625" customWidth="1"/>
    <col min="7057" max="7057" width="7" customWidth="1"/>
    <col min="7058" max="7058" width="9.625" customWidth="1"/>
    <col min="7059" max="7059" width="8" customWidth="1"/>
    <col min="7060" max="7060" width="9.625" customWidth="1"/>
    <col min="7062" max="7062" width="12.125" customWidth="1"/>
    <col min="7287" max="7287" width="37.25" customWidth="1"/>
    <col min="7288" max="7288" width="4.75" customWidth="1"/>
    <col min="7289" max="7289" width="7.375" customWidth="1"/>
    <col min="7290" max="7295" width="9.875" customWidth="1"/>
    <col min="7296" max="7297" width="12.75" customWidth="1"/>
    <col min="7298" max="7301" width="13.25" customWidth="1"/>
    <col min="7302" max="7302" width="26" customWidth="1"/>
    <col min="7303" max="7305" width="8.75" customWidth="1"/>
    <col min="7306" max="7306" width="4.875" customWidth="1"/>
    <col min="7307" max="7307" width="10.625" customWidth="1"/>
    <col min="7308" max="7309" width="12.125" customWidth="1"/>
    <col min="7310" max="7310" width="12.25" customWidth="1"/>
    <col min="7311" max="7312" width="9.625" customWidth="1"/>
    <col min="7313" max="7313" width="7" customWidth="1"/>
    <col min="7314" max="7314" width="9.625" customWidth="1"/>
    <col min="7315" max="7315" width="8" customWidth="1"/>
    <col min="7316" max="7316" width="9.625" customWidth="1"/>
    <col min="7318" max="7318" width="12.125" customWidth="1"/>
    <col min="7543" max="7543" width="37.25" customWidth="1"/>
    <col min="7544" max="7544" width="4.75" customWidth="1"/>
    <col min="7545" max="7545" width="7.375" customWidth="1"/>
    <col min="7546" max="7551" width="9.875" customWidth="1"/>
    <col min="7552" max="7553" width="12.75" customWidth="1"/>
    <col min="7554" max="7557" width="13.25" customWidth="1"/>
    <col min="7558" max="7558" width="26" customWidth="1"/>
    <col min="7559" max="7561" width="8.75" customWidth="1"/>
    <col min="7562" max="7562" width="4.875" customWidth="1"/>
    <col min="7563" max="7563" width="10.625" customWidth="1"/>
    <col min="7564" max="7565" width="12.125" customWidth="1"/>
    <col min="7566" max="7566" width="12.25" customWidth="1"/>
    <col min="7567" max="7568" width="9.625" customWidth="1"/>
    <col min="7569" max="7569" width="7" customWidth="1"/>
    <col min="7570" max="7570" width="9.625" customWidth="1"/>
    <col min="7571" max="7571" width="8" customWidth="1"/>
    <col min="7572" max="7572" width="9.625" customWidth="1"/>
    <col min="7574" max="7574" width="12.125" customWidth="1"/>
    <col min="7799" max="7799" width="37.25" customWidth="1"/>
    <col min="7800" max="7800" width="4.75" customWidth="1"/>
    <col min="7801" max="7801" width="7.375" customWidth="1"/>
    <col min="7802" max="7807" width="9.875" customWidth="1"/>
    <col min="7808" max="7809" width="12.75" customWidth="1"/>
    <col min="7810" max="7813" width="13.25" customWidth="1"/>
    <col min="7814" max="7814" width="26" customWidth="1"/>
    <col min="7815" max="7817" width="8.75" customWidth="1"/>
    <col min="7818" max="7818" width="4.875" customWidth="1"/>
    <col min="7819" max="7819" width="10.625" customWidth="1"/>
    <col min="7820" max="7821" width="12.125" customWidth="1"/>
    <col min="7822" max="7822" width="12.25" customWidth="1"/>
    <col min="7823" max="7824" width="9.625" customWidth="1"/>
    <col min="7825" max="7825" width="7" customWidth="1"/>
    <col min="7826" max="7826" width="9.625" customWidth="1"/>
    <col min="7827" max="7827" width="8" customWidth="1"/>
    <col min="7828" max="7828" width="9.625" customWidth="1"/>
    <col min="7830" max="7830" width="12.125" customWidth="1"/>
    <col min="8055" max="8055" width="37.25" customWidth="1"/>
    <col min="8056" max="8056" width="4.75" customWidth="1"/>
    <col min="8057" max="8057" width="7.375" customWidth="1"/>
    <col min="8058" max="8063" width="9.875" customWidth="1"/>
    <col min="8064" max="8065" width="12.75" customWidth="1"/>
    <col min="8066" max="8069" width="13.25" customWidth="1"/>
    <col min="8070" max="8070" width="26" customWidth="1"/>
    <col min="8071" max="8073" width="8.75" customWidth="1"/>
    <col min="8074" max="8074" width="4.875" customWidth="1"/>
    <col min="8075" max="8075" width="10.625" customWidth="1"/>
    <col min="8076" max="8077" width="12.125" customWidth="1"/>
    <col min="8078" max="8078" width="12.25" customWidth="1"/>
    <col min="8079" max="8080" width="9.625" customWidth="1"/>
    <col min="8081" max="8081" width="7" customWidth="1"/>
    <col min="8082" max="8082" width="9.625" customWidth="1"/>
    <col min="8083" max="8083" width="8" customWidth="1"/>
    <col min="8084" max="8084" width="9.625" customWidth="1"/>
    <col min="8086" max="8086" width="12.125" customWidth="1"/>
    <col min="8311" max="8311" width="37.25" customWidth="1"/>
    <col min="8312" max="8312" width="4.75" customWidth="1"/>
    <col min="8313" max="8313" width="7.375" customWidth="1"/>
    <col min="8314" max="8319" width="9.875" customWidth="1"/>
    <col min="8320" max="8321" width="12.75" customWidth="1"/>
    <col min="8322" max="8325" width="13.25" customWidth="1"/>
    <col min="8326" max="8326" width="26" customWidth="1"/>
    <col min="8327" max="8329" width="8.75" customWidth="1"/>
    <col min="8330" max="8330" width="4.875" customWidth="1"/>
    <col min="8331" max="8331" width="10.625" customWidth="1"/>
    <col min="8332" max="8333" width="12.125" customWidth="1"/>
    <col min="8334" max="8334" width="12.25" customWidth="1"/>
    <col min="8335" max="8336" width="9.625" customWidth="1"/>
    <col min="8337" max="8337" width="7" customWidth="1"/>
    <col min="8338" max="8338" width="9.625" customWidth="1"/>
    <col min="8339" max="8339" width="8" customWidth="1"/>
    <col min="8340" max="8340" width="9.625" customWidth="1"/>
    <col min="8342" max="8342" width="12.125" customWidth="1"/>
    <col min="8567" max="8567" width="37.25" customWidth="1"/>
    <col min="8568" max="8568" width="4.75" customWidth="1"/>
    <col min="8569" max="8569" width="7.375" customWidth="1"/>
    <col min="8570" max="8575" width="9.875" customWidth="1"/>
    <col min="8576" max="8577" width="12.75" customWidth="1"/>
    <col min="8578" max="8581" width="13.25" customWidth="1"/>
    <col min="8582" max="8582" width="26" customWidth="1"/>
    <col min="8583" max="8585" width="8.75" customWidth="1"/>
    <col min="8586" max="8586" width="4.875" customWidth="1"/>
    <col min="8587" max="8587" width="10.625" customWidth="1"/>
    <col min="8588" max="8589" width="12.125" customWidth="1"/>
    <col min="8590" max="8590" width="12.25" customWidth="1"/>
    <col min="8591" max="8592" width="9.625" customWidth="1"/>
    <col min="8593" max="8593" width="7" customWidth="1"/>
    <col min="8594" max="8594" width="9.625" customWidth="1"/>
    <col min="8595" max="8595" width="8" customWidth="1"/>
    <col min="8596" max="8596" width="9.625" customWidth="1"/>
    <col min="8598" max="8598" width="12.125" customWidth="1"/>
    <col min="8823" max="8823" width="37.25" customWidth="1"/>
    <col min="8824" max="8824" width="4.75" customWidth="1"/>
    <col min="8825" max="8825" width="7.375" customWidth="1"/>
    <col min="8826" max="8831" width="9.875" customWidth="1"/>
    <col min="8832" max="8833" width="12.75" customWidth="1"/>
    <col min="8834" max="8837" width="13.25" customWidth="1"/>
    <col min="8838" max="8838" width="26" customWidth="1"/>
    <col min="8839" max="8841" width="8.75" customWidth="1"/>
    <col min="8842" max="8842" width="4.875" customWidth="1"/>
    <col min="8843" max="8843" width="10.625" customWidth="1"/>
    <col min="8844" max="8845" width="12.125" customWidth="1"/>
    <col min="8846" max="8846" width="12.25" customWidth="1"/>
    <col min="8847" max="8848" width="9.625" customWidth="1"/>
    <col min="8849" max="8849" width="7" customWidth="1"/>
    <col min="8850" max="8850" width="9.625" customWidth="1"/>
    <col min="8851" max="8851" width="8" customWidth="1"/>
    <col min="8852" max="8852" width="9.625" customWidth="1"/>
    <col min="8854" max="8854" width="12.125" customWidth="1"/>
    <col min="9079" max="9079" width="37.25" customWidth="1"/>
    <col min="9080" max="9080" width="4.75" customWidth="1"/>
    <col min="9081" max="9081" width="7.375" customWidth="1"/>
    <col min="9082" max="9087" width="9.875" customWidth="1"/>
    <col min="9088" max="9089" width="12.75" customWidth="1"/>
    <col min="9090" max="9093" width="13.25" customWidth="1"/>
    <col min="9094" max="9094" width="26" customWidth="1"/>
    <col min="9095" max="9097" width="8.75" customWidth="1"/>
    <col min="9098" max="9098" width="4.875" customWidth="1"/>
    <col min="9099" max="9099" width="10.625" customWidth="1"/>
    <col min="9100" max="9101" width="12.125" customWidth="1"/>
    <col min="9102" max="9102" width="12.25" customWidth="1"/>
    <col min="9103" max="9104" width="9.625" customWidth="1"/>
    <col min="9105" max="9105" width="7" customWidth="1"/>
    <col min="9106" max="9106" width="9.625" customWidth="1"/>
    <col min="9107" max="9107" width="8" customWidth="1"/>
    <col min="9108" max="9108" width="9.625" customWidth="1"/>
    <col min="9110" max="9110" width="12.125" customWidth="1"/>
    <col min="9335" max="9335" width="37.25" customWidth="1"/>
    <col min="9336" max="9336" width="4.75" customWidth="1"/>
    <col min="9337" max="9337" width="7.375" customWidth="1"/>
    <col min="9338" max="9343" width="9.875" customWidth="1"/>
    <col min="9344" max="9345" width="12.75" customWidth="1"/>
    <col min="9346" max="9349" width="13.25" customWidth="1"/>
    <col min="9350" max="9350" width="26" customWidth="1"/>
    <col min="9351" max="9353" width="8.75" customWidth="1"/>
    <col min="9354" max="9354" width="4.875" customWidth="1"/>
    <col min="9355" max="9355" width="10.625" customWidth="1"/>
    <col min="9356" max="9357" width="12.125" customWidth="1"/>
    <col min="9358" max="9358" width="12.25" customWidth="1"/>
    <col min="9359" max="9360" width="9.625" customWidth="1"/>
    <col min="9361" max="9361" width="7" customWidth="1"/>
    <col min="9362" max="9362" width="9.625" customWidth="1"/>
    <col min="9363" max="9363" width="8" customWidth="1"/>
    <col min="9364" max="9364" width="9.625" customWidth="1"/>
    <col min="9366" max="9366" width="12.125" customWidth="1"/>
    <col min="9591" max="9591" width="37.25" customWidth="1"/>
    <col min="9592" max="9592" width="4.75" customWidth="1"/>
    <col min="9593" max="9593" width="7.375" customWidth="1"/>
    <col min="9594" max="9599" width="9.875" customWidth="1"/>
    <col min="9600" max="9601" width="12.75" customWidth="1"/>
    <col min="9602" max="9605" width="13.25" customWidth="1"/>
    <col min="9606" max="9606" width="26" customWidth="1"/>
    <col min="9607" max="9609" width="8.75" customWidth="1"/>
    <col min="9610" max="9610" width="4.875" customWidth="1"/>
    <col min="9611" max="9611" width="10.625" customWidth="1"/>
    <col min="9612" max="9613" width="12.125" customWidth="1"/>
    <col min="9614" max="9614" width="12.25" customWidth="1"/>
    <col min="9615" max="9616" width="9.625" customWidth="1"/>
    <col min="9617" max="9617" width="7" customWidth="1"/>
    <col min="9618" max="9618" width="9.625" customWidth="1"/>
    <col min="9619" max="9619" width="8" customWidth="1"/>
    <col min="9620" max="9620" width="9.625" customWidth="1"/>
    <col min="9622" max="9622" width="12.125" customWidth="1"/>
    <col min="9847" max="9847" width="37.25" customWidth="1"/>
    <col min="9848" max="9848" width="4.75" customWidth="1"/>
    <col min="9849" max="9849" width="7.375" customWidth="1"/>
    <col min="9850" max="9855" width="9.875" customWidth="1"/>
    <col min="9856" max="9857" width="12.75" customWidth="1"/>
    <col min="9858" max="9861" width="13.25" customWidth="1"/>
    <col min="9862" max="9862" width="26" customWidth="1"/>
    <col min="9863" max="9865" width="8.75" customWidth="1"/>
    <col min="9866" max="9866" width="4.875" customWidth="1"/>
    <col min="9867" max="9867" width="10.625" customWidth="1"/>
    <col min="9868" max="9869" width="12.125" customWidth="1"/>
    <col min="9870" max="9870" width="12.25" customWidth="1"/>
    <col min="9871" max="9872" width="9.625" customWidth="1"/>
    <col min="9873" max="9873" width="7" customWidth="1"/>
    <col min="9874" max="9874" width="9.625" customWidth="1"/>
    <col min="9875" max="9875" width="8" customWidth="1"/>
    <col min="9876" max="9876" width="9.625" customWidth="1"/>
    <col min="9878" max="9878" width="12.125" customWidth="1"/>
    <col min="10103" max="10103" width="37.25" customWidth="1"/>
    <col min="10104" max="10104" width="4.75" customWidth="1"/>
    <col min="10105" max="10105" width="7.375" customWidth="1"/>
    <col min="10106" max="10111" width="9.875" customWidth="1"/>
    <col min="10112" max="10113" width="12.75" customWidth="1"/>
    <col min="10114" max="10117" width="13.25" customWidth="1"/>
    <col min="10118" max="10118" width="26" customWidth="1"/>
    <col min="10119" max="10121" width="8.75" customWidth="1"/>
    <col min="10122" max="10122" width="4.875" customWidth="1"/>
    <col min="10123" max="10123" width="10.625" customWidth="1"/>
    <col min="10124" max="10125" width="12.125" customWidth="1"/>
    <col min="10126" max="10126" width="12.25" customWidth="1"/>
    <col min="10127" max="10128" width="9.625" customWidth="1"/>
    <col min="10129" max="10129" width="7" customWidth="1"/>
    <col min="10130" max="10130" width="9.625" customWidth="1"/>
    <col min="10131" max="10131" width="8" customWidth="1"/>
    <col min="10132" max="10132" width="9.625" customWidth="1"/>
    <col min="10134" max="10134" width="12.125" customWidth="1"/>
    <col min="10359" max="10359" width="37.25" customWidth="1"/>
    <col min="10360" max="10360" width="4.75" customWidth="1"/>
    <col min="10361" max="10361" width="7.375" customWidth="1"/>
    <col min="10362" max="10367" width="9.875" customWidth="1"/>
    <col min="10368" max="10369" width="12.75" customWidth="1"/>
    <col min="10370" max="10373" width="13.25" customWidth="1"/>
    <col min="10374" max="10374" width="26" customWidth="1"/>
    <col min="10375" max="10377" width="8.75" customWidth="1"/>
    <col min="10378" max="10378" width="4.875" customWidth="1"/>
    <col min="10379" max="10379" width="10.625" customWidth="1"/>
    <col min="10380" max="10381" width="12.125" customWidth="1"/>
    <col min="10382" max="10382" width="12.25" customWidth="1"/>
    <col min="10383" max="10384" width="9.625" customWidth="1"/>
    <col min="10385" max="10385" width="7" customWidth="1"/>
    <col min="10386" max="10386" width="9.625" customWidth="1"/>
    <col min="10387" max="10387" width="8" customWidth="1"/>
    <col min="10388" max="10388" width="9.625" customWidth="1"/>
    <col min="10390" max="10390" width="12.125" customWidth="1"/>
    <col min="10615" max="10615" width="37.25" customWidth="1"/>
    <col min="10616" max="10616" width="4.75" customWidth="1"/>
    <col min="10617" max="10617" width="7.375" customWidth="1"/>
    <col min="10618" max="10623" width="9.875" customWidth="1"/>
    <col min="10624" max="10625" width="12.75" customWidth="1"/>
    <col min="10626" max="10629" width="13.25" customWidth="1"/>
    <col min="10630" max="10630" width="26" customWidth="1"/>
    <col min="10631" max="10633" width="8.75" customWidth="1"/>
    <col min="10634" max="10634" width="4.875" customWidth="1"/>
    <col min="10635" max="10635" width="10.625" customWidth="1"/>
    <col min="10636" max="10637" width="12.125" customWidth="1"/>
    <col min="10638" max="10638" width="12.25" customWidth="1"/>
    <col min="10639" max="10640" width="9.625" customWidth="1"/>
    <col min="10641" max="10641" width="7" customWidth="1"/>
    <col min="10642" max="10642" width="9.625" customWidth="1"/>
    <col min="10643" max="10643" width="8" customWidth="1"/>
    <col min="10644" max="10644" width="9.625" customWidth="1"/>
    <col min="10646" max="10646" width="12.125" customWidth="1"/>
    <col min="10871" max="10871" width="37.25" customWidth="1"/>
    <col min="10872" max="10872" width="4.75" customWidth="1"/>
    <col min="10873" max="10873" width="7.375" customWidth="1"/>
    <col min="10874" max="10879" width="9.875" customWidth="1"/>
    <col min="10880" max="10881" width="12.75" customWidth="1"/>
    <col min="10882" max="10885" width="13.25" customWidth="1"/>
    <col min="10886" max="10886" width="26" customWidth="1"/>
    <col min="10887" max="10889" width="8.75" customWidth="1"/>
    <col min="10890" max="10890" width="4.875" customWidth="1"/>
    <col min="10891" max="10891" width="10.625" customWidth="1"/>
    <col min="10892" max="10893" width="12.125" customWidth="1"/>
    <col min="10894" max="10894" width="12.25" customWidth="1"/>
    <col min="10895" max="10896" width="9.625" customWidth="1"/>
    <col min="10897" max="10897" width="7" customWidth="1"/>
    <col min="10898" max="10898" width="9.625" customWidth="1"/>
    <col min="10899" max="10899" width="8" customWidth="1"/>
    <col min="10900" max="10900" width="9.625" customWidth="1"/>
    <col min="10902" max="10902" width="12.125" customWidth="1"/>
    <col min="11127" max="11127" width="37.25" customWidth="1"/>
    <col min="11128" max="11128" width="4.75" customWidth="1"/>
    <col min="11129" max="11129" width="7.375" customWidth="1"/>
    <col min="11130" max="11135" width="9.875" customWidth="1"/>
    <col min="11136" max="11137" width="12.75" customWidth="1"/>
    <col min="11138" max="11141" width="13.25" customWidth="1"/>
    <col min="11142" max="11142" width="26" customWidth="1"/>
    <col min="11143" max="11145" width="8.75" customWidth="1"/>
    <col min="11146" max="11146" width="4.875" customWidth="1"/>
    <col min="11147" max="11147" width="10.625" customWidth="1"/>
    <col min="11148" max="11149" width="12.125" customWidth="1"/>
    <col min="11150" max="11150" width="12.25" customWidth="1"/>
    <col min="11151" max="11152" width="9.625" customWidth="1"/>
    <col min="11153" max="11153" width="7" customWidth="1"/>
    <col min="11154" max="11154" width="9.625" customWidth="1"/>
    <col min="11155" max="11155" width="8" customWidth="1"/>
    <col min="11156" max="11156" width="9.625" customWidth="1"/>
    <col min="11158" max="11158" width="12.125" customWidth="1"/>
    <col min="11383" max="11383" width="37.25" customWidth="1"/>
    <col min="11384" max="11384" width="4.75" customWidth="1"/>
    <col min="11385" max="11385" width="7.375" customWidth="1"/>
    <col min="11386" max="11391" width="9.875" customWidth="1"/>
    <col min="11392" max="11393" width="12.75" customWidth="1"/>
    <col min="11394" max="11397" width="13.25" customWidth="1"/>
    <col min="11398" max="11398" width="26" customWidth="1"/>
    <col min="11399" max="11401" width="8.75" customWidth="1"/>
    <col min="11402" max="11402" width="4.875" customWidth="1"/>
    <col min="11403" max="11403" width="10.625" customWidth="1"/>
    <col min="11404" max="11405" width="12.125" customWidth="1"/>
    <col min="11406" max="11406" width="12.25" customWidth="1"/>
    <col min="11407" max="11408" width="9.625" customWidth="1"/>
    <col min="11409" max="11409" width="7" customWidth="1"/>
    <col min="11410" max="11410" width="9.625" customWidth="1"/>
    <col min="11411" max="11411" width="8" customWidth="1"/>
    <col min="11412" max="11412" width="9.625" customWidth="1"/>
    <col min="11414" max="11414" width="12.125" customWidth="1"/>
    <col min="11639" max="11639" width="37.25" customWidth="1"/>
    <col min="11640" max="11640" width="4.75" customWidth="1"/>
    <col min="11641" max="11641" width="7.375" customWidth="1"/>
    <col min="11642" max="11647" width="9.875" customWidth="1"/>
    <col min="11648" max="11649" width="12.75" customWidth="1"/>
    <col min="11650" max="11653" width="13.25" customWidth="1"/>
    <col min="11654" max="11654" width="26" customWidth="1"/>
    <col min="11655" max="11657" width="8.75" customWidth="1"/>
    <col min="11658" max="11658" width="4.875" customWidth="1"/>
    <col min="11659" max="11659" width="10.625" customWidth="1"/>
    <col min="11660" max="11661" width="12.125" customWidth="1"/>
    <col min="11662" max="11662" width="12.25" customWidth="1"/>
    <col min="11663" max="11664" width="9.625" customWidth="1"/>
    <col min="11665" max="11665" width="7" customWidth="1"/>
    <col min="11666" max="11666" width="9.625" customWidth="1"/>
    <col min="11667" max="11667" width="8" customWidth="1"/>
    <col min="11668" max="11668" width="9.625" customWidth="1"/>
    <col min="11670" max="11670" width="12.125" customWidth="1"/>
    <col min="11895" max="11895" width="37.25" customWidth="1"/>
    <col min="11896" max="11896" width="4.75" customWidth="1"/>
    <col min="11897" max="11897" width="7.375" customWidth="1"/>
    <col min="11898" max="11903" width="9.875" customWidth="1"/>
    <col min="11904" max="11905" width="12.75" customWidth="1"/>
    <col min="11906" max="11909" width="13.25" customWidth="1"/>
    <col min="11910" max="11910" width="26" customWidth="1"/>
    <col min="11911" max="11913" width="8.75" customWidth="1"/>
    <col min="11914" max="11914" width="4.875" customWidth="1"/>
    <col min="11915" max="11915" width="10.625" customWidth="1"/>
    <col min="11916" max="11917" width="12.125" customWidth="1"/>
    <col min="11918" max="11918" width="12.25" customWidth="1"/>
    <col min="11919" max="11920" width="9.625" customWidth="1"/>
    <col min="11921" max="11921" width="7" customWidth="1"/>
    <col min="11922" max="11922" width="9.625" customWidth="1"/>
    <col min="11923" max="11923" width="8" customWidth="1"/>
    <col min="11924" max="11924" width="9.625" customWidth="1"/>
    <col min="11926" max="11926" width="12.125" customWidth="1"/>
    <col min="12151" max="12151" width="37.25" customWidth="1"/>
    <col min="12152" max="12152" width="4.75" customWidth="1"/>
    <col min="12153" max="12153" width="7.375" customWidth="1"/>
    <col min="12154" max="12159" width="9.875" customWidth="1"/>
    <col min="12160" max="12161" width="12.75" customWidth="1"/>
    <col min="12162" max="12165" width="13.25" customWidth="1"/>
    <col min="12166" max="12166" width="26" customWidth="1"/>
    <col min="12167" max="12169" width="8.75" customWidth="1"/>
    <col min="12170" max="12170" width="4.875" customWidth="1"/>
    <col min="12171" max="12171" width="10.625" customWidth="1"/>
    <col min="12172" max="12173" width="12.125" customWidth="1"/>
    <col min="12174" max="12174" width="12.25" customWidth="1"/>
    <col min="12175" max="12176" width="9.625" customWidth="1"/>
    <col min="12177" max="12177" width="7" customWidth="1"/>
    <col min="12178" max="12178" width="9.625" customWidth="1"/>
    <col min="12179" max="12179" width="8" customWidth="1"/>
    <col min="12180" max="12180" width="9.625" customWidth="1"/>
    <col min="12182" max="12182" width="12.125" customWidth="1"/>
    <col min="12407" max="12407" width="37.25" customWidth="1"/>
    <col min="12408" max="12408" width="4.75" customWidth="1"/>
    <col min="12409" max="12409" width="7.375" customWidth="1"/>
    <col min="12410" max="12415" width="9.875" customWidth="1"/>
    <col min="12416" max="12417" width="12.75" customWidth="1"/>
    <col min="12418" max="12421" width="13.25" customWidth="1"/>
    <col min="12422" max="12422" width="26" customWidth="1"/>
    <col min="12423" max="12425" width="8.75" customWidth="1"/>
    <col min="12426" max="12426" width="4.875" customWidth="1"/>
    <col min="12427" max="12427" width="10.625" customWidth="1"/>
    <col min="12428" max="12429" width="12.125" customWidth="1"/>
    <col min="12430" max="12430" width="12.25" customWidth="1"/>
    <col min="12431" max="12432" width="9.625" customWidth="1"/>
    <col min="12433" max="12433" width="7" customWidth="1"/>
    <col min="12434" max="12434" width="9.625" customWidth="1"/>
    <col min="12435" max="12435" width="8" customWidth="1"/>
    <col min="12436" max="12436" width="9.625" customWidth="1"/>
    <col min="12438" max="12438" width="12.125" customWidth="1"/>
    <col min="12663" max="12663" width="37.25" customWidth="1"/>
    <col min="12664" max="12664" width="4.75" customWidth="1"/>
    <col min="12665" max="12665" width="7.375" customWidth="1"/>
    <col min="12666" max="12671" width="9.875" customWidth="1"/>
    <col min="12672" max="12673" width="12.75" customWidth="1"/>
    <col min="12674" max="12677" width="13.25" customWidth="1"/>
    <col min="12678" max="12678" width="26" customWidth="1"/>
    <col min="12679" max="12681" width="8.75" customWidth="1"/>
    <col min="12682" max="12682" width="4.875" customWidth="1"/>
    <col min="12683" max="12683" width="10.625" customWidth="1"/>
    <col min="12684" max="12685" width="12.125" customWidth="1"/>
    <col min="12686" max="12686" width="12.25" customWidth="1"/>
    <col min="12687" max="12688" width="9.625" customWidth="1"/>
    <col min="12689" max="12689" width="7" customWidth="1"/>
    <col min="12690" max="12690" width="9.625" customWidth="1"/>
    <col min="12691" max="12691" width="8" customWidth="1"/>
    <col min="12692" max="12692" width="9.625" customWidth="1"/>
    <col min="12694" max="12694" width="12.125" customWidth="1"/>
    <col min="12919" max="12919" width="37.25" customWidth="1"/>
    <col min="12920" max="12920" width="4.75" customWidth="1"/>
    <col min="12921" max="12921" width="7.375" customWidth="1"/>
    <col min="12922" max="12927" width="9.875" customWidth="1"/>
    <col min="12928" max="12929" width="12.75" customWidth="1"/>
    <col min="12930" max="12933" width="13.25" customWidth="1"/>
    <col min="12934" max="12934" width="26" customWidth="1"/>
    <col min="12935" max="12937" width="8.75" customWidth="1"/>
    <col min="12938" max="12938" width="4.875" customWidth="1"/>
    <col min="12939" max="12939" width="10.625" customWidth="1"/>
    <col min="12940" max="12941" width="12.125" customWidth="1"/>
    <col min="12942" max="12942" width="12.25" customWidth="1"/>
    <col min="12943" max="12944" width="9.625" customWidth="1"/>
    <col min="12945" max="12945" width="7" customWidth="1"/>
    <col min="12946" max="12946" width="9.625" customWidth="1"/>
    <col min="12947" max="12947" width="8" customWidth="1"/>
    <col min="12948" max="12948" width="9.625" customWidth="1"/>
    <col min="12950" max="12950" width="12.125" customWidth="1"/>
    <col min="13175" max="13175" width="37.25" customWidth="1"/>
    <col min="13176" max="13176" width="4.75" customWidth="1"/>
    <col min="13177" max="13177" width="7.375" customWidth="1"/>
    <col min="13178" max="13183" width="9.875" customWidth="1"/>
    <col min="13184" max="13185" width="12.75" customWidth="1"/>
    <col min="13186" max="13189" width="13.25" customWidth="1"/>
    <col min="13190" max="13190" width="26" customWidth="1"/>
    <col min="13191" max="13193" width="8.75" customWidth="1"/>
    <col min="13194" max="13194" width="4.875" customWidth="1"/>
    <col min="13195" max="13195" width="10.625" customWidth="1"/>
    <col min="13196" max="13197" width="12.125" customWidth="1"/>
    <col min="13198" max="13198" width="12.25" customWidth="1"/>
    <col min="13199" max="13200" width="9.625" customWidth="1"/>
    <col min="13201" max="13201" width="7" customWidth="1"/>
    <col min="13202" max="13202" width="9.625" customWidth="1"/>
    <col min="13203" max="13203" width="8" customWidth="1"/>
    <col min="13204" max="13204" width="9.625" customWidth="1"/>
    <col min="13206" max="13206" width="12.125" customWidth="1"/>
    <col min="13431" max="13431" width="37.25" customWidth="1"/>
    <col min="13432" max="13432" width="4.75" customWidth="1"/>
    <col min="13433" max="13433" width="7.375" customWidth="1"/>
    <col min="13434" max="13439" width="9.875" customWidth="1"/>
    <col min="13440" max="13441" width="12.75" customWidth="1"/>
    <col min="13442" max="13445" width="13.25" customWidth="1"/>
    <col min="13446" max="13446" width="26" customWidth="1"/>
    <col min="13447" max="13449" width="8.75" customWidth="1"/>
    <col min="13450" max="13450" width="4.875" customWidth="1"/>
    <col min="13451" max="13451" width="10.625" customWidth="1"/>
    <col min="13452" max="13453" width="12.125" customWidth="1"/>
    <col min="13454" max="13454" width="12.25" customWidth="1"/>
    <col min="13455" max="13456" width="9.625" customWidth="1"/>
    <col min="13457" max="13457" width="7" customWidth="1"/>
    <col min="13458" max="13458" width="9.625" customWidth="1"/>
    <col min="13459" max="13459" width="8" customWidth="1"/>
    <col min="13460" max="13460" width="9.625" customWidth="1"/>
    <col min="13462" max="13462" width="12.125" customWidth="1"/>
    <col min="13687" max="13687" width="37.25" customWidth="1"/>
    <col min="13688" max="13688" width="4.75" customWidth="1"/>
    <col min="13689" max="13689" width="7.375" customWidth="1"/>
    <col min="13690" max="13695" width="9.875" customWidth="1"/>
    <col min="13696" max="13697" width="12.75" customWidth="1"/>
    <col min="13698" max="13701" width="13.25" customWidth="1"/>
    <col min="13702" max="13702" width="26" customWidth="1"/>
    <col min="13703" max="13705" width="8.75" customWidth="1"/>
    <col min="13706" max="13706" width="4.875" customWidth="1"/>
    <col min="13707" max="13707" width="10.625" customWidth="1"/>
    <col min="13708" max="13709" width="12.125" customWidth="1"/>
    <col min="13710" max="13710" width="12.25" customWidth="1"/>
    <col min="13711" max="13712" width="9.625" customWidth="1"/>
    <col min="13713" max="13713" width="7" customWidth="1"/>
    <col min="13714" max="13714" width="9.625" customWidth="1"/>
    <col min="13715" max="13715" width="8" customWidth="1"/>
    <col min="13716" max="13716" width="9.625" customWidth="1"/>
    <col min="13718" max="13718" width="12.125" customWidth="1"/>
    <col min="13943" max="13943" width="37.25" customWidth="1"/>
    <col min="13944" max="13944" width="4.75" customWidth="1"/>
    <col min="13945" max="13945" width="7.375" customWidth="1"/>
    <col min="13946" max="13951" width="9.875" customWidth="1"/>
    <col min="13952" max="13953" width="12.75" customWidth="1"/>
    <col min="13954" max="13957" width="13.25" customWidth="1"/>
    <col min="13958" max="13958" width="26" customWidth="1"/>
    <col min="13959" max="13961" width="8.75" customWidth="1"/>
    <col min="13962" max="13962" width="4.875" customWidth="1"/>
    <col min="13963" max="13963" width="10.625" customWidth="1"/>
    <col min="13964" max="13965" width="12.125" customWidth="1"/>
    <col min="13966" max="13966" width="12.25" customWidth="1"/>
    <col min="13967" max="13968" width="9.625" customWidth="1"/>
    <col min="13969" max="13969" width="7" customWidth="1"/>
    <col min="13970" max="13970" width="9.625" customWidth="1"/>
    <col min="13971" max="13971" width="8" customWidth="1"/>
    <col min="13972" max="13972" width="9.625" customWidth="1"/>
    <col min="13974" max="13974" width="12.125" customWidth="1"/>
    <col min="14199" max="14199" width="37.25" customWidth="1"/>
    <col min="14200" max="14200" width="4.75" customWidth="1"/>
    <col min="14201" max="14201" width="7.375" customWidth="1"/>
    <col min="14202" max="14207" width="9.875" customWidth="1"/>
    <col min="14208" max="14209" width="12.75" customWidth="1"/>
    <col min="14210" max="14213" width="13.25" customWidth="1"/>
    <col min="14214" max="14214" width="26" customWidth="1"/>
    <col min="14215" max="14217" width="8.75" customWidth="1"/>
    <col min="14218" max="14218" width="4.875" customWidth="1"/>
    <col min="14219" max="14219" width="10.625" customWidth="1"/>
    <col min="14220" max="14221" width="12.125" customWidth="1"/>
    <col min="14222" max="14222" width="12.25" customWidth="1"/>
    <col min="14223" max="14224" width="9.625" customWidth="1"/>
    <col min="14225" max="14225" width="7" customWidth="1"/>
    <col min="14226" max="14226" width="9.625" customWidth="1"/>
    <col min="14227" max="14227" width="8" customWidth="1"/>
    <col min="14228" max="14228" width="9.625" customWidth="1"/>
    <col min="14230" max="14230" width="12.125" customWidth="1"/>
    <col min="14455" max="14455" width="37.25" customWidth="1"/>
    <col min="14456" max="14456" width="4.75" customWidth="1"/>
    <col min="14457" max="14457" width="7.375" customWidth="1"/>
    <col min="14458" max="14463" width="9.875" customWidth="1"/>
    <col min="14464" max="14465" width="12.75" customWidth="1"/>
    <col min="14466" max="14469" width="13.25" customWidth="1"/>
    <col min="14470" max="14470" width="26" customWidth="1"/>
    <col min="14471" max="14473" width="8.75" customWidth="1"/>
    <col min="14474" max="14474" width="4.875" customWidth="1"/>
    <col min="14475" max="14475" width="10.625" customWidth="1"/>
    <col min="14476" max="14477" width="12.125" customWidth="1"/>
    <col min="14478" max="14478" width="12.25" customWidth="1"/>
    <col min="14479" max="14480" width="9.625" customWidth="1"/>
    <col min="14481" max="14481" width="7" customWidth="1"/>
    <col min="14482" max="14482" width="9.625" customWidth="1"/>
    <col min="14483" max="14483" width="8" customWidth="1"/>
    <col min="14484" max="14484" width="9.625" customWidth="1"/>
    <col min="14486" max="14486" width="12.125" customWidth="1"/>
    <col min="14711" max="14711" width="37.25" customWidth="1"/>
    <col min="14712" max="14712" width="4.75" customWidth="1"/>
    <col min="14713" max="14713" width="7.375" customWidth="1"/>
    <col min="14714" max="14719" width="9.875" customWidth="1"/>
    <col min="14720" max="14721" width="12.75" customWidth="1"/>
    <col min="14722" max="14725" width="13.25" customWidth="1"/>
    <col min="14726" max="14726" width="26" customWidth="1"/>
    <col min="14727" max="14729" width="8.75" customWidth="1"/>
    <col min="14730" max="14730" width="4.875" customWidth="1"/>
    <col min="14731" max="14731" width="10.625" customWidth="1"/>
    <col min="14732" max="14733" width="12.125" customWidth="1"/>
    <col min="14734" max="14734" width="12.25" customWidth="1"/>
    <col min="14735" max="14736" width="9.625" customWidth="1"/>
    <col min="14737" max="14737" width="7" customWidth="1"/>
    <col min="14738" max="14738" width="9.625" customWidth="1"/>
    <col min="14739" max="14739" width="8" customWidth="1"/>
    <col min="14740" max="14740" width="9.625" customWidth="1"/>
    <col min="14742" max="14742" width="12.125" customWidth="1"/>
    <col min="14967" max="14967" width="37.25" customWidth="1"/>
    <col min="14968" max="14968" width="4.75" customWidth="1"/>
    <col min="14969" max="14969" width="7.375" customWidth="1"/>
    <col min="14970" max="14975" width="9.875" customWidth="1"/>
    <col min="14976" max="14977" width="12.75" customWidth="1"/>
    <col min="14978" max="14981" width="13.25" customWidth="1"/>
    <col min="14982" max="14982" width="26" customWidth="1"/>
    <col min="14983" max="14985" width="8.75" customWidth="1"/>
    <col min="14986" max="14986" width="4.875" customWidth="1"/>
    <col min="14987" max="14987" width="10.625" customWidth="1"/>
    <col min="14988" max="14989" width="12.125" customWidth="1"/>
    <col min="14990" max="14990" width="12.25" customWidth="1"/>
    <col min="14991" max="14992" width="9.625" customWidth="1"/>
    <col min="14993" max="14993" width="7" customWidth="1"/>
    <col min="14994" max="14994" width="9.625" customWidth="1"/>
    <col min="14995" max="14995" width="8" customWidth="1"/>
    <col min="14996" max="14996" width="9.625" customWidth="1"/>
    <col min="14998" max="14998" width="12.125" customWidth="1"/>
    <col min="15223" max="15223" width="37.25" customWidth="1"/>
    <col min="15224" max="15224" width="4.75" customWidth="1"/>
    <col min="15225" max="15225" width="7.375" customWidth="1"/>
    <col min="15226" max="15231" width="9.875" customWidth="1"/>
    <col min="15232" max="15233" width="12.75" customWidth="1"/>
    <col min="15234" max="15237" width="13.25" customWidth="1"/>
    <col min="15238" max="15238" width="26" customWidth="1"/>
    <col min="15239" max="15241" width="8.75" customWidth="1"/>
    <col min="15242" max="15242" width="4.875" customWidth="1"/>
    <col min="15243" max="15243" width="10.625" customWidth="1"/>
    <col min="15244" max="15245" width="12.125" customWidth="1"/>
    <col min="15246" max="15246" width="12.25" customWidth="1"/>
    <col min="15247" max="15248" width="9.625" customWidth="1"/>
    <col min="15249" max="15249" width="7" customWidth="1"/>
    <col min="15250" max="15250" width="9.625" customWidth="1"/>
    <col min="15251" max="15251" width="8" customWidth="1"/>
    <col min="15252" max="15252" width="9.625" customWidth="1"/>
    <col min="15254" max="15254" width="12.125" customWidth="1"/>
    <col min="15479" max="15479" width="37.25" customWidth="1"/>
    <col min="15480" max="15480" width="4.75" customWidth="1"/>
    <col min="15481" max="15481" width="7.375" customWidth="1"/>
    <col min="15482" max="15487" width="9.875" customWidth="1"/>
    <col min="15488" max="15489" width="12.75" customWidth="1"/>
    <col min="15490" max="15493" width="13.25" customWidth="1"/>
    <col min="15494" max="15494" width="26" customWidth="1"/>
    <col min="15495" max="15497" width="8.75" customWidth="1"/>
    <col min="15498" max="15498" width="4.875" customWidth="1"/>
    <col min="15499" max="15499" width="10.625" customWidth="1"/>
    <col min="15500" max="15501" width="12.125" customWidth="1"/>
    <col min="15502" max="15502" width="12.25" customWidth="1"/>
    <col min="15503" max="15504" width="9.625" customWidth="1"/>
    <col min="15505" max="15505" width="7" customWidth="1"/>
    <col min="15506" max="15506" width="9.625" customWidth="1"/>
    <col min="15507" max="15507" width="8" customWidth="1"/>
    <col min="15508" max="15508" width="9.625" customWidth="1"/>
    <col min="15510" max="15510" width="12.125" customWidth="1"/>
    <col min="15735" max="15735" width="37.25" customWidth="1"/>
    <col min="15736" max="15736" width="4.75" customWidth="1"/>
    <col min="15737" max="15737" width="7.375" customWidth="1"/>
    <col min="15738" max="15743" width="9.875" customWidth="1"/>
    <col min="15744" max="15745" width="12.75" customWidth="1"/>
    <col min="15746" max="15749" width="13.25" customWidth="1"/>
    <col min="15750" max="15750" width="26" customWidth="1"/>
    <col min="15751" max="15753" width="8.75" customWidth="1"/>
    <col min="15754" max="15754" width="4.875" customWidth="1"/>
    <col min="15755" max="15755" width="10.625" customWidth="1"/>
    <col min="15756" max="15757" width="12.125" customWidth="1"/>
    <col min="15758" max="15758" width="12.25" customWidth="1"/>
    <col min="15759" max="15760" width="9.625" customWidth="1"/>
    <col min="15761" max="15761" width="7" customWidth="1"/>
    <col min="15762" max="15762" width="9.625" customWidth="1"/>
    <col min="15763" max="15763" width="8" customWidth="1"/>
    <col min="15764" max="15764" width="9.625" customWidth="1"/>
    <col min="15766" max="15766" width="12.125" customWidth="1"/>
    <col min="15991" max="15991" width="37.25" customWidth="1"/>
    <col min="15992" max="15992" width="4.75" customWidth="1"/>
    <col min="15993" max="15993" width="7.375" customWidth="1"/>
    <col min="15994" max="15999" width="9.875" customWidth="1"/>
    <col min="16000" max="16001" width="12.75" customWidth="1"/>
    <col min="16002" max="16005" width="13.25" customWidth="1"/>
    <col min="16006" max="16006" width="26" customWidth="1"/>
    <col min="16007" max="16009" width="8.75" customWidth="1"/>
    <col min="16010" max="16010" width="4.875" customWidth="1"/>
    <col min="16011" max="16011" width="10.625" customWidth="1"/>
    <col min="16012" max="16013" width="12.125" customWidth="1"/>
    <col min="16014" max="16014" width="12.25" customWidth="1"/>
    <col min="16015" max="16016" width="9.625" customWidth="1"/>
    <col min="16017" max="16017" width="7" customWidth="1"/>
    <col min="16018" max="16018" width="9.625" customWidth="1"/>
    <col min="16019" max="16019" width="8" customWidth="1"/>
    <col min="16020" max="16020" width="9.625" customWidth="1"/>
    <col min="16022" max="16022" width="12.125" customWidth="1"/>
  </cols>
  <sheetData>
    <row r="1" spans="1:8">
      <c r="B1" s="54"/>
      <c r="C1" s="55"/>
      <c r="D1" s="250"/>
      <c r="E1" s="53"/>
    </row>
    <row r="2" spans="1:8">
      <c r="B2" s="56" t="s">
        <v>247</v>
      </c>
      <c r="C2" s="57"/>
      <c r="D2" s="346" t="s">
        <v>112</v>
      </c>
      <c r="E2" s="53"/>
      <c r="F2" s="58" t="s">
        <v>225</v>
      </c>
    </row>
    <row r="3" spans="1:8">
      <c r="B3" s="347" t="s">
        <v>248</v>
      </c>
      <c r="C3" s="347" t="s">
        <v>249</v>
      </c>
      <c r="D3" s="348" t="s">
        <v>250</v>
      </c>
      <c r="E3" s="349" t="s">
        <v>251</v>
      </c>
      <c r="F3" s="350" t="s">
        <v>231</v>
      </c>
      <c r="G3" s="347" t="s">
        <v>62</v>
      </c>
    </row>
    <row r="4" spans="1:8">
      <c r="A4" s="59"/>
      <c r="B4" s="351" t="s">
        <v>252</v>
      </c>
      <c r="C4" s="351" t="s">
        <v>253</v>
      </c>
      <c r="D4" s="352">
        <v>1.2</v>
      </c>
      <c r="E4" s="353">
        <f>Rental!B9</f>
        <v>81000</v>
      </c>
      <c r="F4" s="353">
        <f>E4*D4</f>
        <v>97200</v>
      </c>
      <c r="G4" s="354"/>
    </row>
    <row r="5" spans="1:8">
      <c r="A5" s="12"/>
      <c r="B5" s="351" t="s">
        <v>254</v>
      </c>
      <c r="C5" s="351" t="str">
        <f>+C4</f>
        <v>sq.ft.</v>
      </c>
      <c r="D5" s="352">
        <v>0.2</v>
      </c>
      <c r="E5" s="353">
        <f>E4</f>
        <v>81000</v>
      </c>
      <c r="F5" s="355">
        <f>D5*E5</f>
        <v>16200</v>
      </c>
      <c r="G5" s="354"/>
    </row>
    <row r="6" spans="1:8">
      <c r="A6" s="12"/>
      <c r="B6" s="356" t="s">
        <v>255</v>
      </c>
      <c r="C6" s="357"/>
      <c r="D6" s="358"/>
      <c r="E6" s="359"/>
      <c r="F6" s="360"/>
      <c r="G6" s="361"/>
    </row>
    <row r="7" spans="1:8">
      <c r="A7" s="12"/>
      <c r="B7" s="351" t="s">
        <v>256</v>
      </c>
      <c r="C7" s="351" t="s">
        <v>257</v>
      </c>
      <c r="D7" s="352">
        <f>20*26</f>
        <v>520</v>
      </c>
      <c r="E7" s="353">
        <f>'Manpower Summary'!F16</f>
        <v>54</v>
      </c>
      <c r="F7" s="353">
        <f>$D7*E7</f>
        <v>28080</v>
      </c>
      <c r="G7" s="362"/>
    </row>
    <row r="8" spans="1:8">
      <c r="A8" s="12"/>
      <c r="B8" s="351" t="s">
        <v>258</v>
      </c>
      <c r="C8" s="351" t="s">
        <v>257</v>
      </c>
      <c r="D8" s="352">
        <v>1000</v>
      </c>
      <c r="E8" s="353">
        <f>'Manpower Summary'!D16</f>
        <v>11</v>
      </c>
      <c r="F8" s="353">
        <f>$D8*E8</f>
        <v>11000</v>
      </c>
      <c r="G8" s="361"/>
    </row>
    <row r="9" spans="1:8">
      <c r="A9" s="12"/>
      <c r="B9" s="351" t="s">
        <v>259</v>
      </c>
      <c r="C9" s="351" t="s">
        <v>257</v>
      </c>
      <c r="D9" s="352"/>
      <c r="E9" s="353">
        <v>0</v>
      </c>
      <c r="F9" s="353">
        <f>$D9*E9</f>
        <v>0</v>
      </c>
      <c r="G9" s="363" t="s">
        <v>260</v>
      </c>
    </row>
    <row r="10" spans="1:8">
      <c r="A10" s="12"/>
      <c r="B10" s="351" t="s">
        <v>261</v>
      </c>
      <c r="C10" s="351" t="s">
        <v>257</v>
      </c>
      <c r="D10" s="364">
        <v>200</v>
      </c>
      <c r="E10" s="355">
        <f>E7</f>
        <v>54</v>
      </c>
      <c r="F10" s="355">
        <f>$D10*E10</f>
        <v>10800</v>
      </c>
      <c r="G10" s="361" t="s">
        <v>262</v>
      </c>
    </row>
    <row r="11" spans="1:8">
      <c r="A11" s="12"/>
      <c r="B11" s="351" t="s">
        <v>263</v>
      </c>
      <c r="C11" s="351" t="s">
        <v>257</v>
      </c>
      <c r="D11" s="364">
        <f>45*26*10</f>
        <v>11700</v>
      </c>
      <c r="E11" s="355">
        <v>1</v>
      </c>
      <c r="F11" s="355">
        <f>$D11*E11</f>
        <v>11700</v>
      </c>
      <c r="G11" s="354"/>
    </row>
    <row r="12" spans="1:8">
      <c r="A12" s="12"/>
      <c r="B12" s="356" t="s">
        <v>264</v>
      </c>
      <c r="C12" s="357"/>
      <c r="D12" s="365"/>
      <c r="E12" s="359"/>
      <c r="F12" s="360"/>
      <c r="G12" s="361"/>
    </row>
    <row r="13" spans="1:8">
      <c r="A13" s="12"/>
      <c r="B13" s="351" t="s">
        <v>265</v>
      </c>
      <c r="C13" s="351" t="s">
        <v>266</v>
      </c>
      <c r="D13" s="364">
        <v>0</v>
      </c>
      <c r="E13" s="366">
        <v>0</v>
      </c>
      <c r="F13" s="366">
        <f t="shared" ref="F13:F19" si="0">$D13*E13</f>
        <v>0</v>
      </c>
      <c r="G13" s="361"/>
    </row>
    <row r="14" spans="1:8">
      <c r="A14" s="12"/>
      <c r="B14" s="351" t="s">
        <v>267</v>
      </c>
      <c r="C14" s="351" t="s">
        <v>257</v>
      </c>
      <c r="D14" s="364">
        <v>0.85</v>
      </c>
      <c r="E14" s="248">
        <f>('Plan Base'!D41*12*26*5)</f>
        <v>62400</v>
      </c>
      <c r="F14" s="355">
        <f t="shared" si="0"/>
        <v>53040</v>
      </c>
      <c r="G14" s="363"/>
    </row>
    <row r="15" spans="1:8">
      <c r="A15" s="12"/>
      <c r="B15" s="351" t="s">
        <v>268</v>
      </c>
      <c r="C15" s="351" t="s">
        <v>257</v>
      </c>
      <c r="D15" s="352">
        <f>(12500+6500)/12</f>
        <v>1583.3333333333333</v>
      </c>
      <c r="E15" s="353">
        <f>Capex!L17+Capex!L18</f>
        <v>9</v>
      </c>
      <c r="F15" s="355">
        <f t="shared" si="0"/>
        <v>14250</v>
      </c>
      <c r="G15" s="361"/>
    </row>
    <row r="16" spans="1:8">
      <c r="A16" s="12"/>
      <c r="B16" s="351" t="s">
        <v>269</v>
      </c>
      <c r="C16" s="351" t="s">
        <v>257</v>
      </c>
      <c r="D16" s="367">
        <v>40</v>
      </c>
      <c r="E16" s="353">
        <f>8000*1.1</f>
        <v>8800</v>
      </c>
      <c r="F16" s="353">
        <f>E16*D16</f>
        <v>352000</v>
      </c>
      <c r="G16" s="368"/>
      <c r="H16">
        <f>1.25*8800*26</f>
        <v>286000</v>
      </c>
    </row>
    <row r="17" spans="1:7">
      <c r="A17" s="61"/>
      <c r="B17" s="351" t="s">
        <v>270</v>
      </c>
      <c r="C17" s="351" t="s">
        <v>271</v>
      </c>
      <c r="D17" s="352">
        <v>5000</v>
      </c>
      <c r="E17" s="353">
        <v>2</v>
      </c>
      <c r="F17" s="355">
        <f t="shared" si="0"/>
        <v>10000</v>
      </c>
      <c r="G17" s="369"/>
    </row>
    <row r="18" spans="1:7">
      <c r="A18" s="61"/>
      <c r="B18" s="351" t="s">
        <v>272</v>
      </c>
      <c r="C18" s="351" t="s">
        <v>273</v>
      </c>
      <c r="D18" s="352">
        <v>3500</v>
      </c>
      <c r="E18" s="353">
        <v>3</v>
      </c>
      <c r="F18" s="355">
        <f t="shared" si="0"/>
        <v>10500</v>
      </c>
      <c r="G18" s="369"/>
    </row>
    <row r="19" spans="1:7">
      <c r="A19" s="12"/>
      <c r="B19" s="351" t="s">
        <v>274</v>
      </c>
      <c r="C19" s="351" t="s">
        <v>257</v>
      </c>
      <c r="D19" s="364">
        <v>1500</v>
      </c>
      <c r="E19" s="370">
        <v>2</v>
      </c>
      <c r="F19" s="355">
        <f t="shared" si="0"/>
        <v>3000</v>
      </c>
      <c r="G19" s="371"/>
    </row>
    <row r="20" spans="1:7">
      <c r="A20" s="61"/>
      <c r="B20" s="351" t="s">
        <v>275</v>
      </c>
      <c r="C20" s="351" t="s">
        <v>257</v>
      </c>
      <c r="D20" s="352">
        <v>0</v>
      </c>
      <c r="E20" s="353">
        <v>0</v>
      </c>
      <c r="F20" s="355">
        <f t="shared" ref="F20:F23" si="1">$D20*E20</f>
        <v>0</v>
      </c>
      <c r="G20" s="371" t="s">
        <v>276</v>
      </c>
    </row>
    <row r="21" spans="1:7">
      <c r="A21" s="61"/>
      <c r="B21" s="372" t="s">
        <v>277</v>
      </c>
      <c r="C21" s="351" t="s">
        <v>257</v>
      </c>
      <c r="D21" s="352">
        <v>0</v>
      </c>
      <c r="E21" s="353">
        <v>0</v>
      </c>
      <c r="F21" s="355">
        <f t="shared" si="1"/>
        <v>0</v>
      </c>
      <c r="G21" s="371" t="s">
        <v>276</v>
      </c>
    </row>
    <row r="22" spans="1:7">
      <c r="A22" s="12"/>
      <c r="B22" s="373" t="s">
        <v>270</v>
      </c>
      <c r="C22" s="351" t="s">
        <v>257</v>
      </c>
      <c r="D22" s="352">
        <v>0</v>
      </c>
      <c r="E22" s="353">
        <v>0</v>
      </c>
      <c r="F22" s="366">
        <f t="shared" si="1"/>
        <v>0</v>
      </c>
      <c r="G22" s="371" t="s">
        <v>276</v>
      </c>
    </row>
    <row r="23" spans="1:7">
      <c r="A23" s="12"/>
      <c r="B23" s="351" t="s">
        <v>278</v>
      </c>
      <c r="C23" s="351" t="s">
        <v>257</v>
      </c>
      <c r="D23" s="374">
        <v>0</v>
      </c>
      <c r="E23" s="353">
        <v>0</v>
      </c>
      <c r="F23" s="366">
        <f t="shared" si="1"/>
        <v>0</v>
      </c>
      <c r="G23" s="371" t="s">
        <v>276</v>
      </c>
    </row>
    <row r="24" spans="1:7">
      <c r="A24" s="12"/>
      <c r="B24" s="356" t="s">
        <v>279</v>
      </c>
      <c r="C24" s="357"/>
      <c r="D24" s="365"/>
      <c r="E24" s="359"/>
      <c r="F24" s="360"/>
      <c r="G24" s="361"/>
    </row>
    <row r="25" spans="1:7">
      <c r="A25" s="12"/>
      <c r="B25" s="351" t="s">
        <v>280</v>
      </c>
      <c r="C25" s="351" t="s">
        <v>257</v>
      </c>
      <c r="D25" s="352">
        <v>500</v>
      </c>
      <c r="E25" s="355">
        <v>1</v>
      </c>
      <c r="F25" s="355">
        <f>$D25*E25</f>
        <v>500</v>
      </c>
      <c r="G25" s="361"/>
    </row>
    <row r="26" spans="1:7">
      <c r="A26" s="12"/>
      <c r="B26" s="351" t="s">
        <v>281</v>
      </c>
      <c r="C26" s="351" t="s">
        <v>133</v>
      </c>
      <c r="D26" s="352">
        <v>0</v>
      </c>
      <c r="E26" s="353">
        <v>0</v>
      </c>
      <c r="F26" s="366">
        <f t="shared" ref="F26:F38" si="2">$D26*E26</f>
        <v>0</v>
      </c>
      <c r="G26" s="371"/>
    </row>
    <row r="27" spans="1:7">
      <c r="A27" s="12"/>
      <c r="B27" s="351" t="s">
        <v>282</v>
      </c>
      <c r="C27" s="351" t="s">
        <v>133</v>
      </c>
      <c r="D27" s="352">
        <v>0</v>
      </c>
      <c r="E27" s="355">
        <v>0</v>
      </c>
      <c r="F27" s="355">
        <f t="shared" si="2"/>
        <v>0</v>
      </c>
      <c r="G27" s="371"/>
    </row>
    <row r="28" spans="1:7">
      <c r="A28" s="62"/>
      <c r="B28" s="351" t="s">
        <v>283</v>
      </c>
      <c r="C28" s="351" t="s">
        <v>257</v>
      </c>
      <c r="D28" s="352">
        <v>80000</v>
      </c>
      <c r="E28" s="355">
        <f>ARM!C75</f>
        <v>3</v>
      </c>
      <c r="F28" s="355">
        <f t="shared" si="2"/>
        <v>240000</v>
      </c>
      <c r="G28" s="371"/>
    </row>
    <row r="29" spans="1:7">
      <c r="A29" s="62"/>
      <c r="B29" s="351" t="s">
        <v>284</v>
      </c>
      <c r="C29" s="351" t="s">
        <v>257</v>
      </c>
      <c r="D29" s="352">
        <v>0</v>
      </c>
      <c r="E29" s="355">
        <v>0</v>
      </c>
      <c r="F29" s="355">
        <f t="shared" si="2"/>
        <v>0</v>
      </c>
      <c r="G29" s="371"/>
    </row>
    <row r="30" spans="1:7">
      <c r="A30" s="62"/>
      <c r="B30" s="351" t="s">
        <v>285</v>
      </c>
      <c r="C30" s="351" t="s">
        <v>257</v>
      </c>
      <c r="D30" s="364">
        <v>22000</v>
      </c>
      <c r="E30" s="366">
        <f>ARM!C77</f>
        <v>4</v>
      </c>
      <c r="F30" s="355">
        <f t="shared" si="2"/>
        <v>88000</v>
      </c>
      <c r="G30" s="371"/>
    </row>
    <row r="31" spans="1:7">
      <c r="A31" s="62"/>
      <c r="B31" s="351" t="s">
        <v>284</v>
      </c>
      <c r="C31" s="351" t="s">
        <v>257</v>
      </c>
      <c r="D31" s="352">
        <v>3000</v>
      </c>
      <c r="E31" s="355">
        <f>E30</f>
        <v>4</v>
      </c>
      <c r="F31" s="355">
        <f t="shared" si="2"/>
        <v>12000</v>
      </c>
      <c r="G31" s="371"/>
    </row>
    <row r="32" spans="1:7">
      <c r="A32" s="62"/>
      <c r="B32" s="351" t="s">
        <v>286</v>
      </c>
      <c r="C32" s="351" t="s">
        <v>257</v>
      </c>
      <c r="D32" s="364">
        <v>55000</v>
      </c>
      <c r="E32" s="355">
        <f>ARM!C76</f>
        <v>1</v>
      </c>
      <c r="F32" s="355">
        <f t="shared" si="2"/>
        <v>55000</v>
      </c>
      <c r="G32" s="371"/>
    </row>
    <row r="33" spans="1:8">
      <c r="A33" s="62"/>
      <c r="B33" s="351" t="s">
        <v>284</v>
      </c>
      <c r="C33" s="351" t="s">
        <v>257</v>
      </c>
      <c r="D33" s="352">
        <v>6000</v>
      </c>
      <c r="E33" s="355">
        <v>1</v>
      </c>
      <c r="F33" s="355">
        <f t="shared" si="2"/>
        <v>6000</v>
      </c>
      <c r="G33" s="371"/>
    </row>
    <row r="34" spans="1:8">
      <c r="A34" s="12"/>
      <c r="B34" s="351" t="s">
        <v>287</v>
      </c>
      <c r="C34" s="351" t="s">
        <v>257</v>
      </c>
      <c r="D34" s="352">
        <v>4000</v>
      </c>
      <c r="E34" s="355">
        <v>1</v>
      </c>
      <c r="F34" s="355">
        <f t="shared" si="2"/>
        <v>4000</v>
      </c>
      <c r="G34" s="371"/>
    </row>
    <row r="35" spans="1:8">
      <c r="A35" s="12"/>
      <c r="B35" s="351" t="s">
        <v>288</v>
      </c>
      <c r="C35" s="351" t="s">
        <v>257</v>
      </c>
      <c r="D35" s="367">
        <v>15000</v>
      </c>
      <c r="E35" s="355">
        <v>0</v>
      </c>
      <c r="F35" s="355">
        <f t="shared" si="2"/>
        <v>0</v>
      </c>
      <c r="G35" s="371" t="s">
        <v>289</v>
      </c>
      <c r="H35" s="299" t="s">
        <v>290</v>
      </c>
    </row>
    <row r="36" spans="1:8">
      <c r="A36" s="12"/>
      <c r="B36" s="351" t="s">
        <v>291</v>
      </c>
      <c r="C36" s="351" t="s">
        <v>257</v>
      </c>
      <c r="D36" s="367">
        <v>17000</v>
      </c>
      <c r="E36" s="355">
        <v>1</v>
      </c>
      <c r="F36" s="355">
        <f t="shared" si="2"/>
        <v>17000</v>
      </c>
      <c r="G36" s="371" t="s">
        <v>289</v>
      </c>
    </row>
    <row r="37" spans="1:8">
      <c r="A37" s="12"/>
      <c r="B37" s="372" t="s">
        <v>292</v>
      </c>
      <c r="C37" s="351" t="s">
        <v>257</v>
      </c>
      <c r="D37" s="364">
        <f>(120000+120000)/12</f>
        <v>20000</v>
      </c>
      <c r="E37" s="355">
        <v>1</v>
      </c>
      <c r="F37" s="355">
        <f t="shared" si="2"/>
        <v>20000</v>
      </c>
      <c r="G37" s="371"/>
    </row>
    <row r="38" spans="1:8">
      <c r="A38" s="60"/>
      <c r="B38" s="372" t="s">
        <v>293</v>
      </c>
      <c r="C38" s="351" t="s">
        <v>257</v>
      </c>
      <c r="D38" s="375">
        <v>10000</v>
      </c>
      <c r="E38" s="353">
        <v>4</v>
      </c>
      <c r="F38" s="355">
        <f t="shared" si="2"/>
        <v>40000</v>
      </c>
      <c r="G38" s="371"/>
    </row>
    <row r="39" spans="1:8">
      <c r="A39" s="12"/>
      <c r="B39" s="373" t="s">
        <v>294</v>
      </c>
      <c r="C39" s="351" t="s">
        <v>253</v>
      </c>
      <c r="D39" s="364">
        <v>0.3</v>
      </c>
      <c r="E39" s="355">
        <f>E4</f>
        <v>81000</v>
      </c>
      <c r="F39" s="355">
        <f>$D39*E39</f>
        <v>24300</v>
      </c>
      <c r="G39" s="361"/>
    </row>
    <row r="40" spans="1:8">
      <c r="A40" s="12"/>
      <c r="B40"/>
      <c r="C40"/>
      <c r="D40" s="251"/>
      <c r="E40" s="53"/>
    </row>
    <row r="41" spans="1:8">
      <c r="B41" s="376" t="s">
        <v>295</v>
      </c>
      <c r="C41" s="377"/>
      <c r="D41" s="378"/>
      <c r="E41" s="379"/>
      <c r="F41" s="379">
        <f>SUM(F4:F39)</f>
        <v>1124570</v>
      </c>
      <c r="G41" s="361"/>
    </row>
    <row r="43" spans="1:8">
      <c r="F43" s="53">
        <f>SUMPRODUCT(D4:D39,E4:E39)</f>
        <v>1124570</v>
      </c>
    </row>
    <row r="45" spans="1:8">
      <c r="F45" s="53">
        <f>F41-F43</f>
        <v>0</v>
      </c>
    </row>
  </sheetData>
  <autoFilter ref="A3:K39" xr:uid="{00000000-0009-0000-0000-000012000000}"/>
  <pageMargins left="0.7" right="0.7" top="0.75" bottom="0.75" header="0.3" footer="0.3"/>
  <ignoredErrors>
    <ignoredError sqref="F16" formula="1" unlockedFormula="1"/>
    <ignoredError sqref="D40:F40 D6:F6 D12:D13 D24:D25 E22:F22 E34:F34 F27:F32 F18:F21 D18 D41:E41 C5 E12:F13 F17 E24:F24 E23 E26:F26 F25 F14:F15 D15 F33" unlocked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filterMode="1">
    <tabColor theme="9" tint="0.39997558519241921"/>
  </sheetPr>
  <dimension ref="A1:CC183"/>
  <sheetViews>
    <sheetView zoomScale="111" workbookViewId="0">
      <pane xSplit="3" ySplit="9" topLeftCell="G10" activePane="bottomRight" state="frozen"/>
      <selection pane="bottomRight" activeCell="L20" sqref="L20"/>
      <selection pane="bottomLeft" activeCell="D18" sqref="D18"/>
      <selection pane="topRight" activeCell="D18" sqref="D18"/>
    </sheetView>
  </sheetViews>
  <sheetFormatPr defaultColWidth="9.125" defaultRowHeight="12.75"/>
  <cols>
    <col min="1" max="1" width="17" style="28" customWidth="1"/>
    <col min="2" max="2" width="12" style="28" bestFit="1" customWidth="1"/>
    <col min="3" max="3" width="58" style="29" customWidth="1"/>
    <col min="4" max="4" width="10.125" style="29" bestFit="1" customWidth="1"/>
    <col min="5" max="5" width="11.375" style="28" bestFit="1" customWidth="1"/>
    <col min="6" max="6" width="12.375" style="28" bestFit="1" customWidth="1"/>
    <col min="7" max="7" width="19" style="28" bestFit="1" customWidth="1"/>
    <col min="8" max="8" width="11.625" style="28" bestFit="1" customWidth="1"/>
    <col min="9" max="10" width="11.625" style="28" customWidth="1"/>
    <col min="11" max="11" width="12.375" style="28" bestFit="1" customWidth="1"/>
    <col min="12" max="12" width="16.625" style="28" customWidth="1"/>
    <col min="13" max="13" width="13.875" style="28" bestFit="1" customWidth="1"/>
    <col min="14" max="14" width="20.375" style="28" bestFit="1" customWidth="1"/>
    <col min="15" max="15" width="17.75" style="28" bestFit="1" customWidth="1"/>
    <col min="16" max="16" width="13.875" style="28" bestFit="1" customWidth="1"/>
    <col min="17" max="17" width="11.75" style="28" bestFit="1" customWidth="1"/>
    <col min="18" max="19" width="10" style="28" bestFit="1" customWidth="1"/>
    <col min="20" max="20" width="12.125" style="28" bestFit="1" customWidth="1"/>
    <col min="21" max="21" width="10" style="28" bestFit="1" customWidth="1"/>
    <col min="22" max="22" width="11.75" style="28" bestFit="1" customWidth="1"/>
    <col min="23" max="23" width="34.375" style="28" bestFit="1" customWidth="1"/>
    <col min="24" max="26" width="4.75" style="28" bestFit="1" customWidth="1"/>
    <col min="27" max="27" width="12.125" style="28" bestFit="1" customWidth="1"/>
    <col min="28" max="28" width="11.125" style="28" bestFit="1" customWidth="1"/>
    <col min="29" max="29" width="11.25" style="28" bestFit="1" customWidth="1"/>
    <col min="30" max="30" width="10" style="28" bestFit="1" customWidth="1"/>
    <col min="31" max="31" width="5.75" style="30" bestFit="1" customWidth="1"/>
    <col min="32" max="32" width="11.125" style="28" bestFit="1" customWidth="1"/>
    <col min="33" max="33" width="9.625" style="28" bestFit="1" customWidth="1"/>
    <col min="34" max="34" width="23.25" style="28" bestFit="1" customWidth="1"/>
    <col min="35" max="35" width="11.125" style="28" bestFit="1" customWidth="1"/>
    <col min="36" max="36" width="12.125" style="28" bestFit="1" customWidth="1"/>
    <col min="37" max="37" width="10" style="28" bestFit="1" customWidth="1"/>
    <col min="38" max="38" width="5.75" style="28" bestFit="1" customWidth="1"/>
    <col min="39" max="39" width="11.125" style="28" bestFit="1" customWidth="1"/>
    <col min="40" max="40" width="9.625" style="28" bestFit="1" customWidth="1"/>
    <col min="41" max="41" width="22.25" style="28" bestFit="1" customWidth="1"/>
    <col min="42" max="42" width="11.125" style="28" bestFit="1" customWidth="1"/>
    <col min="43" max="43" width="11.25" style="28" bestFit="1" customWidth="1"/>
    <col min="44" max="44" width="10" style="28" bestFit="1" customWidth="1"/>
    <col min="45" max="45" width="5.75" style="28" bestFit="1" customWidth="1"/>
    <col min="46" max="46" width="11.125" style="28" bestFit="1" customWidth="1"/>
    <col min="47" max="47" width="9.625" style="28" bestFit="1" customWidth="1"/>
    <col min="48" max="48" width="22.25" style="28" bestFit="1" customWidth="1"/>
    <col min="49" max="49" width="11.125" style="28" bestFit="1" customWidth="1"/>
    <col min="50" max="50" width="12.125" style="28" bestFit="1" customWidth="1"/>
    <col min="51" max="51" width="10" style="28" bestFit="1" customWidth="1"/>
    <col min="52" max="52" width="5.75" style="28" bestFit="1" customWidth="1"/>
    <col min="53" max="53" width="11.125" style="28" bestFit="1" customWidth="1"/>
    <col min="54" max="54" width="9.625" style="28" bestFit="1" customWidth="1"/>
    <col min="55" max="55" width="22.25" style="28" bestFit="1" customWidth="1"/>
    <col min="56" max="56" width="11.125" style="28" bestFit="1" customWidth="1"/>
    <col min="57" max="57" width="12.125" style="28" bestFit="1" customWidth="1"/>
    <col min="58" max="58" width="10" style="28" bestFit="1" customWidth="1"/>
    <col min="59" max="59" width="5.75" style="28" bestFit="1" customWidth="1"/>
    <col min="60" max="60" width="11.125" style="28" bestFit="1" customWidth="1"/>
    <col min="61" max="61" width="9.625" style="28" bestFit="1" customWidth="1"/>
    <col min="62" max="62" width="13.125" style="28" bestFit="1" customWidth="1"/>
    <col min="63" max="63" width="15.75" style="28" bestFit="1" customWidth="1"/>
    <col min="64" max="64" width="11.625" style="28" bestFit="1" customWidth="1"/>
    <col min="65" max="65" width="18.875" style="28" bestFit="1" customWidth="1"/>
    <col min="66" max="66" width="16" style="28" bestFit="1" customWidth="1"/>
    <col min="67" max="67" width="11.375" style="28" bestFit="1" customWidth="1"/>
    <col min="68" max="68" width="12" style="28" bestFit="1" customWidth="1"/>
    <col min="69" max="69" width="22.75" style="28" bestFit="1" customWidth="1"/>
    <col min="70" max="70" width="10.375" style="28" bestFit="1" customWidth="1"/>
    <col min="71" max="71" width="15.375" style="28" bestFit="1" customWidth="1"/>
    <col min="72" max="72" width="15" style="28" bestFit="1" customWidth="1"/>
    <col min="73" max="73" width="18.125" style="28" bestFit="1" customWidth="1"/>
    <col min="74" max="74" width="10.375" style="28" bestFit="1" customWidth="1"/>
    <col min="75" max="75" width="9.875" style="28" customWidth="1"/>
    <col min="76" max="78" width="7.875" style="28" customWidth="1"/>
    <col min="79" max="79" width="11.625" style="28" customWidth="1"/>
    <col min="80" max="16384" width="9.125" style="28"/>
  </cols>
  <sheetData>
    <row r="1" spans="1:81">
      <c r="A1" s="315" t="s">
        <v>112</v>
      </c>
      <c r="B1" s="380"/>
      <c r="G1" s="381" t="s">
        <v>225</v>
      </c>
      <c r="H1" s="381" t="s">
        <v>296</v>
      </c>
      <c r="I1" s="381" t="s">
        <v>297</v>
      </c>
      <c r="J1" s="381" t="s">
        <v>298</v>
      </c>
      <c r="K1" s="381" t="s">
        <v>299</v>
      </c>
      <c r="L1" s="31" t="str">
        <f>A1&amp;A3</f>
        <v>FaridabadCapex</v>
      </c>
      <c r="V1" s="33"/>
      <c r="W1" s="33"/>
    </row>
    <row r="2" spans="1:81">
      <c r="A2" s="315"/>
      <c r="B2" s="380"/>
      <c r="C2" s="382" t="s">
        <v>300</v>
      </c>
      <c r="D2" s="382"/>
      <c r="E2" s="383"/>
      <c r="F2" s="383"/>
      <c r="G2" s="384">
        <f>AB5</f>
        <v>5432126.5288688466</v>
      </c>
      <c r="H2" s="384">
        <f>AI5</f>
        <v>5121565.7528498322</v>
      </c>
      <c r="I2" s="384">
        <f>AP5</f>
        <v>4811004.9768308178</v>
      </c>
      <c r="J2" s="384">
        <f>AW5</f>
        <v>4955715.4721686691</v>
      </c>
      <c r="K2" s="384">
        <f>BD5</f>
        <v>4638001.5683904011</v>
      </c>
      <c r="L2" s="32" t="str">
        <f>$A$1&amp;G1</f>
        <v>FaridabadY1</v>
      </c>
      <c r="M2" s="32" t="str">
        <f>$A$1&amp;H1</f>
        <v>FaridabadY2</v>
      </c>
      <c r="N2" s="32" t="str">
        <f>$A$1&amp;I1</f>
        <v>FaridabadY3</v>
      </c>
      <c r="O2" s="32" t="str">
        <f>$A$1&amp;J1</f>
        <v>FaridabadY4</v>
      </c>
      <c r="P2" s="32" t="str">
        <f>$A$1&amp;K1</f>
        <v>FaridabadY5</v>
      </c>
      <c r="Q2" s="32"/>
      <c r="R2" s="32"/>
      <c r="S2" s="32"/>
      <c r="T2" s="32"/>
      <c r="U2" s="32"/>
      <c r="V2" s="34"/>
      <c r="W2" s="32"/>
      <c r="X2" s="32"/>
      <c r="Y2" s="32"/>
      <c r="Z2" s="32"/>
      <c r="AA2" s="380"/>
      <c r="AB2" s="385" t="s">
        <v>230</v>
      </c>
      <c r="AC2" s="386"/>
      <c r="AD2" s="386"/>
      <c r="AE2" s="386"/>
      <c r="AF2" s="386"/>
      <c r="AG2" s="386"/>
      <c r="AH2" s="387"/>
      <c r="AI2" s="388" t="s">
        <v>301</v>
      </c>
      <c r="AJ2" s="389"/>
      <c r="AK2" s="389"/>
      <c r="AL2" s="389"/>
      <c r="AM2" s="389"/>
      <c r="AN2" s="389"/>
      <c r="AO2" s="389"/>
      <c r="AP2" s="389" t="s">
        <v>302</v>
      </c>
      <c r="AQ2" s="389"/>
      <c r="AR2" s="389"/>
      <c r="AS2" s="389"/>
      <c r="AT2" s="389"/>
      <c r="AU2" s="389"/>
      <c r="AV2" s="389"/>
      <c r="AW2" s="389" t="s">
        <v>303</v>
      </c>
      <c r="AX2" s="389"/>
      <c r="AY2" s="389"/>
      <c r="AZ2" s="389"/>
      <c r="BA2" s="389"/>
      <c r="BB2" s="389"/>
      <c r="BC2" s="389"/>
      <c r="BD2" s="389" t="s">
        <v>304</v>
      </c>
      <c r="BE2" s="389"/>
      <c r="BF2" s="389"/>
      <c r="BG2" s="389"/>
      <c r="BH2" s="389"/>
      <c r="BI2" s="389"/>
      <c r="BJ2" s="389"/>
      <c r="BK2" s="380"/>
      <c r="BL2" s="380"/>
      <c r="BM2" s="380"/>
      <c r="BN2" s="380"/>
      <c r="BO2" s="380"/>
      <c r="BP2" s="380"/>
      <c r="BQ2" s="380"/>
      <c r="BR2" s="380"/>
      <c r="BS2" s="380"/>
      <c r="BT2" s="380"/>
      <c r="BU2" s="32"/>
      <c r="BV2" s="32"/>
      <c r="BW2" s="32"/>
      <c r="BX2" s="32"/>
      <c r="BY2" s="32"/>
      <c r="BZ2" s="32"/>
      <c r="CA2" s="32"/>
      <c r="CB2" s="32"/>
      <c r="CC2" s="32"/>
    </row>
    <row r="3" spans="1:81">
      <c r="A3" s="316" t="s">
        <v>305</v>
      </c>
      <c r="B3" s="380"/>
      <c r="C3" s="382" t="s">
        <v>306</v>
      </c>
      <c r="D3" s="382"/>
      <c r="E3" s="383"/>
      <c r="F3" s="383"/>
      <c r="G3" s="384">
        <f>AC5</f>
        <v>3334091.6666666665</v>
      </c>
      <c r="H3" s="384">
        <f>AJ5</f>
        <v>3334091.6666666665</v>
      </c>
      <c r="I3" s="384">
        <f>AQ5</f>
        <v>3334091.6666666665</v>
      </c>
      <c r="J3" s="384">
        <f>AX5</f>
        <v>3415532.7291666665</v>
      </c>
      <c r="K3" s="384">
        <f>BE5</f>
        <v>3415532.7291666665</v>
      </c>
      <c r="L3" s="390">
        <f>L8</f>
        <v>73250</v>
      </c>
      <c r="M3" s="390">
        <f>M8-L3</f>
        <v>0</v>
      </c>
      <c r="N3" s="390">
        <f>N8-M3-L3</f>
        <v>0</v>
      </c>
      <c r="O3" s="390">
        <f>O8-N3-M3-L3</f>
        <v>0</v>
      </c>
      <c r="P3" s="390">
        <f>P8-O3-N3-M3-L3</f>
        <v>0</v>
      </c>
      <c r="Q3" s="391" t="s">
        <v>307</v>
      </c>
      <c r="R3" s="392">
        <v>0.03</v>
      </c>
      <c r="S3" s="392">
        <f>R3</f>
        <v>0.03</v>
      </c>
      <c r="T3" s="392">
        <f>S3</f>
        <v>0.03</v>
      </c>
      <c r="U3" s="392">
        <f>T3</f>
        <v>0.03</v>
      </c>
      <c r="V3" s="393">
        <f>SUM(V5:Z5)</f>
        <v>21995875</v>
      </c>
      <c r="W3" s="391"/>
      <c r="X3" s="391"/>
      <c r="Y3" s="391"/>
      <c r="Z3" s="391"/>
      <c r="AA3" s="391"/>
      <c r="AB3" s="394">
        <v>0.1</v>
      </c>
      <c r="AC3" s="395"/>
      <c r="AD3" s="396">
        <v>6</v>
      </c>
      <c r="AE3" s="35"/>
      <c r="AF3" s="391"/>
      <c r="AG3" s="397">
        <v>2.5000000000000001E-3</v>
      </c>
      <c r="AH3" s="398"/>
      <c r="AI3" s="399">
        <f>AB3</f>
        <v>0.1</v>
      </c>
      <c r="AJ3" s="391"/>
      <c r="AK3" s="400">
        <f>AD3</f>
        <v>6</v>
      </c>
      <c r="AL3" s="397">
        <v>7.4999999999999997E-3</v>
      </c>
      <c r="AM3" s="391"/>
      <c r="AN3" s="399">
        <f>AG3*1.02</f>
        <v>2.5500000000000002E-3</v>
      </c>
      <c r="AO3" s="401"/>
      <c r="AP3" s="402">
        <f>AI3</f>
        <v>0.1</v>
      </c>
      <c r="AQ3" s="391"/>
      <c r="AR3" s="400">
        <f>AK3</f>
        <v>6</v>
      </c>
      <c r="AS3" s="397">
        <f>$AL$3</f>
        <v>7.4999999999999997E-3</v>
      </c>
      <c r="AT3" s="391"/>
      <c r="AU3" s="399">
        <f>AN3*1.02</f>
        <v>2.601E-3</v>
      </c>
      <c r="AV3" s="401"/>
      <c r="AW3" s="402">
        <f>AP3</f>
        <v>0.1</v>
      </c>
      <c r="AX3" s="391"/>
      <c r="AY3" s="400">
        <f>AR3</f>
        <v>6</v>
      </c>
      <c r="AZ3" s="397">
        <f>$AL$3</f>
        <v>7.4999999999999997E-3</v>
      </c>
      <c r="BA3" s="391"/>
      <c r="BB3" s="399">
        <f>AU3*1.02</f>
        <v>2.6530199999999999E-3</v>
      </c>
      <c r="BC3" s="401"/>
      <c r="BD3" s="402">
        <f>AW3</f>
        <v>0.1</v>
      </c>
      <c r="BE3" s="391"/>
      <c r="BF3" s="400">
        <f>AY3</f>
        <v>6</v>
      </c>
      <c r="BG3" s="397">
        <f>$AL$3</f>
        <v>7.4999999999999997E-3</v>
      </c>
      <c r="BH3" s="391"/>
      <c r="BI3" s="399">
        <f>BB3*1.02</f>
        <v>2.7060804000000002E-3</v>
      </c>
      <c r="BJ3" s="401"/>
      <c r="BK3" s="391"/>
      <c r="BL3" s="391"/>
      <c r="BM3" s="391"/>
      <c r="BN3" s="391"/>
      <c r="BO3" s="391"/>
      <c r="BP3" s="391"/>
      <c r="BQ3" s="391"/>
      <c r="BR3" s="391"/>
      <c r="BS3" s="391"/>
      <c r="BT3" s="391"/>
      <c r="BU3" s="35"/>
      <c r="BV3" s="35"/>
      <c r="BW3" s="35"/>
      <c r="BX3" s="35"/>
      <c r="BY3" s="35"/>
      <c r="BZ3" s="35"/>
      <c r="CA3" s="35"/>
      <c r="CB3" s="35"/>
      <c r="CC3" s="35"/>
    </row>
    <row r="4" spans="1:81">
      <c r="A4" s="316"/>
      <c r="B4" s="380"/>
      <c r="C4" s="382" t="s">
        <v>308</v>
      </c>
      <c r="D4" s="382"/>
      <c r="E4" s="383"/>
      <c r="F4" s="383"/>
      <c r="G4" s="384">
        <f>AD5</f>
        <v>2098034.8622021796</v>
      </c>
      <c r="H4" s="384">
        <f>AK5</f>
        <v>1787474.086183165</v>
      </c>
      <c r="I4" s="384">
        <f>AR5</f>
        <v>1476913.3101641494</v>
      </c>
      <c r="J4" s="384">
        <f>AY5</f>
        <v>1540182.7430020035</v>
      </c>
      <c r="K4" s="384">
        <f>BF5</f>
        <v>1222468.8392237329</v>
      </c>
      <c r="L4" s="403" t="s">
        <v>309</v>
      </c>
      <c r="M4" s="403"/>
      <c r="N4" s="403"/>
      <c r="O4" s="403"/>
      <c r="P4" s="403"/>
      <c r="Q4" s="404" t="s">
        <v>310</v>
      </c>
      <c r="R4" s="404"/>
      <c r="S4" s="404"/>
      <c r="T4" s="404"/>
      <c r="U4" s="405"/>
      <c r="V4" s="406" t="s">
        <v>311</v>
      </c>
      <c r="W4" s="407"/>
      <c r="X4" s="407"/>
      <c r="Y4" s="407"/>
      <c r="Z4" s="408"/>
      <c r="AA4" s="409">
        <v>1</v>
      </c>
      <c r="AB4" s="410">
        <v>1</v>
      </c>
      <c r="AC4" s="411"/>
      <c r="AD4" s="411"/>
      <c r="AE4" s="411"/>
      <c r="AF4" s="411"/>
      <c r="AG4" s="411"/>
      <c r="AH4" s="412"/>
      <c r="AI4" s="413"/>
      <c r="AJ4" s="413"/>
      <c r="AK4" s="413"/>
      <c r="AL4" s="413"/>
      <c r="AM4" s="413"/>
      <c r="AN4" s="413"/>
      <c r="AO4" s="414"/>
      <c r="AP4" s="415"/>
      <c r="AQ4" s="413"/>
      <c r="AR4" s="413"/>
      <c r="AS4" s="413"/>
      <c r="AT4" s="413"/>
      <c r="AU4" s="413"/>
      <c r="AV4" s="414"/>
      <c r="AW4" s="415"/>
      <c r="AX4" s="413"/>
      <c r="AY4" s="413"/>
      <c r="AZ4" s="413"/>
      <c r="BA4" s="413"/>
      <c r="BB4" s="413"/>
      <c r="BC4" s="414"/>
      <c r="BD4" s="415"/>
      <c r="BE4" s="413"/>
      <c r="BF4" s="413"/>
      <c r="BG4" s="413"/>
      <c r="BH4" s="413"/>
      <c r="BI4" s="413"/>
      <c r="BJ4" s="414"/>
      <c r="BK4" s="314" t="s">
        <v>312</v>
      </c>
      <c r="BL4" s="314"/>
      <c r="BM4" s="314"/>
      <c r="BN4" s="314"/>
      <c r="BO4" s="314"/>
      <c r="BP4" s="314"/>
      <c r="BQ4" s="314"/>
      <c r="BR4" s="314"/>
      <c r="BS4" s="314"/>
      <c r="BT4" s="314"/>
      <c r="BU4" s="32"/>
      <c r="BV4" s="32"/>
      <c r="BW4" s="32"/>
      <c r="BX4" s="32"/>
      <c r="BY4" s="32"/>
      <c r="BZ4" s="32"/>
      <c r="CA4" s="32"/>
      <c r="CB4" s="32"/>
      <c r="CC4" s="32"/>
    </row>
    <row r="5" spans="1:81">
      <c r="A5" s="380"/>
      <c r="B5" s="380"/>
      <c r="C5" s="382" t="s">
        <v>313</v>
      </c>
      <c r="D5" s="382"/>
      <c r="E5" s="383"/>
      <c r="F5" s="383"/>
      <c r="G5" s="384">
        <f>AF5</f>
        <v>255243.75</v>
      </c>
      <c r="H5" s="384">
        <f>AM5</f>
        <v>417887.8125</v>
      </c>
      <c r="I5" s="384">
        <f>AT5</f>
        <v>580531.875</v>
      </c>
      <c r="J5" s="384">
        <f>BA5</f>
        <v>743175.9375</v>
      </c>
      <c r="K5" s="384">
        <f>BH5</f>
        <v>905820</v>
      </c>
      <c r="L5" s="416">
        <f>SUBTOTAL(9,L10:L92)</f>
        <v>136697.5</v>
      </c>
      <c r="M5" s="416">
        <f>SUBTOTAL(9,M10:M92)</f>
        <v>0</v>
      </c>
      <c r="N5" s="416">
        <f>SUBTOTAL(9,N10:N92)</f>
        <v>0</v>
      </c>
      <c r="O5" s="417">
        <f>SUBTOTAL(9,O10:O92)</f>
        <v>0</v>
      </c>
      <c r="P5" s="417">
        <f>SUBTOTAL(9,P10:P92)</f>
        <v>0</v>
      </c>
      <c r="Q5" s="380"/>
      <c r="R5" s="380"/>
      <c r="S5" s="380"/>
      <c r="T5" s="380"/>
      <c r="U5" s="380"/>
      <c r="V5" s="418">
        <f t="shared" ref="V5:AD5" si="0">SUBTOTAL(9,V10:V92)</f>
        <v>21995875</v>
      </c>
      <c r="W5" s="418">
        <f t="shared" si="0"/>
        <v>0</v>
      </c>
      <c r="X5" s="418">
        <f t="shared" si="0"/>
        <v>0</v>
      </c>
      <c r="Y5" s="418">
        <f t="shared" si="0"/>
        <v>0</v>
      </c>
      <c r="Z5" s="418">
        <f t="shared" si="0"/>
        <v>0</v>
      </c>
      <c r="AA5" s="419">
        <f t="shared" si="0"/>
        <v>21995875</v>
      </c>
      <c r="AB5" s="420">
        <f>SUBTOTAL(9,AB10:AB92)</f>
        <v>5432126.5288688466</v>
      </c>
      <c r="AC5" s="421">
        <f t="shared" si="0"/>
        <v>3334091.6666666665</v>
      </c>
      <c r="AD5" s="421">
        <f t="shared" si="0"/>
        <v>2098034.8622021796</v>
      </c>
      <c r="AE5" s="421"/>
      <c r="AF5" s="421">
        <f t="shared" ref="AF5:AK5" si="1">SUBTOTAL(9,AF10:AF92)</f>
        <v>255243.75</v>
      </c>
      <c r="AG5" s="421">
        <f t="shared" si="1"/>
        <v>54989.6875</v>
      </c>
      <c r="AH5" s="422">
        <f t="shared" si="1"/>
        <v>18661783.333333336</v>
      </c>
      <c r="AI5" s="420">
        <f t="shared" si="1"/>
        <v>5121565.7528498322</v>
      </c>
      <c r="AJ5" s="421">
        <f t="shared" si="1"/>
        <v>3334091.6666666665</v>
      </c>
      <c r="AK5" s="421">
        <f t="shared" si="1"/>
        <v>1787474.086183165</v>
      </c>
      <c r="AL5" s="421"/>
      <c r="AM5" s="421">
        <f t="shared" ref="AM5:AR5" si="2">SUBTOTAL(9,AM10:AM92)</f>
        <v>417887.8125</v>
      </c>
      <c r="AN5" s="421">
        <f t="shared" si="2"/>
        <v>47587.547500000001</v>
      </c>
      <c r="AO5" s="422">
        <f t="shared" si="2"/>
        <v>15327691.666666666</v>
      </c>
      <c r="AP5" s="420">
        <f t="shared" si="2"/>
        <v>4811004.9768308178</v>
      </c>
      <c r="AQ5" s="421">
        <f t="shared" si="2"/>
        <v>3334091.6666666665</v>
      </c>
      <c r="AR5" s="421">
        <f t="shared" si="2"/>
        <v>1476913.3101641494</v>
      </c>
      <c r="AS5" s="421"/>
      <c r="AT5" s="421">
        <f t="shared" ref="AT5:AY5" si="3">SUBTOTAL(9,AT10:AT92)</f>
        <v>580531.875</v>
      </c>
      <c r="AU5" s="421">
        <f t="shared" si="3"/>
        <v>39867.326025000002</v>
      </c>
      <c r="AV5" s="422">
        <f t="shared" si="3"/>
        <v>16249798.1875</v>
      </c>
      <c r="AW5" s="420">
        <f t="shared" si="3"/>
        <v>4955715.4721686691</v>
      </c>
      <c r="AX5" s="421">
        <f t="shared" si="3"/>
        <v>3415532.7291666665</v>
      </c>
      <c r="AY5" s="421">
        <f t="shared" si="3"/>
        <v>1540182.7430020035</v>
      </c>
      <c r="AZ5" s="421"/>
      <c r="BA5" s="421">
        <f t="shared" ref="BA5:BF5" si="4">SUBTOTAL(9,BA10:BA92)</f>
        <v>743175.9375</v>
      </c>
      <c r="BB5" s="421">
        <f t="shared" si="4"/>
        <v>43111.039587401247</v>
      </c>
      <c r="BC5" s="422">
        <f t="shared" si="4"/>
        <v>12834265.458333334</v>
      </c>
      <c r="BD5" s="420">
        <f t="shared" si="4"/>
        <v>4638001.5683904011</v>
      </c>
      <c r="BE5" s="421">
        <f t="shared" si="4"/>
        <v>3415532.7291666665</v>
      </c>
      <c r="BF5" s="421">
        <f t="shared" si="4"/>
        <v>1222468.8392237329</v>
      </c>
      <c r="BG5" s="421"/>
      <c r="BH5" s="421">
        <f t="shared" ref="BH5:BT5" si="5">SUBTOTAL(9,BH10:BH92)</f>
        <v>905820</v>
      </c>
      <c r="BI5" s="421">
        <f t="shared" si="5"/>
        <v>34730.55420519285</v>
      </c>
      <c r="BJ5" s="422">
        <f t="shared" si="5"/>
        <v>9418732.7291666679</v>
      </c>
      <c r="BK5" s="423">
        <f t="shared" si="5"/>
        <v>16833340.458333336</v>
      </c>
      <c r="BL5" s="418">
        <f t="shared" si="5"/>
        <v>8125073.8407752309</v>
      </c>
      <c r="BM5" s="418">
        <f t="shared" si="5"/>
        <v>2902659.375</v>
      </c>
      <c r="BN5" s="418">
        <f t="shared" si="5"/>
        <v>220286.1548175941</v>
      </c>
      <c r="BO5" s="418">
        <f t="shared" si="5"/>
        <v>24958414.299108554</v>
      </c>
      <c r="BP5" s="418">
        <f t="shared" si="5"/>
        <v>28081359.82892615</v>
      </c>
      <c r="BQ5" s="418">
        <f t="shared" si="5"/>
        <v>24958414.299108557</v>
      </c>
      <c r="BR5" s="418">
        <f t="shared" si="5"/>
        <v>0</v>
      </c>
      <c r="BS5" s="418">
        <f t="shared" si="5"/>
        <v>5162534.5416666679</v>
      </c>
      <c r="BT5" s="418">
        <f t="shared" si="5"/>
        <v>4256198.1875</v>
      </c>
      <c r="BU5" s="32"/>
      <c r="BV5" s="32"/>
      <c r="BW5" s="32"/>
      <c r="BX5" s="32"/>
      <c r="BY5" s="32"/>
      <c r="BZ5" s="32"/>
      <c r="CA5" s="32"/>
      <c r="CB5" s="32"/>
      <c r="CC5" s="32"/>
    </row>
    <row r="6" spans="1:81" ht="15">
      <c r="A6"/>
      <c r="B6"/>
      <c r="C6" s="382" t="s">
        <v>314</v>
      </c>
      <c r="D6" s="382"/>
      <c r="E6" s="383"/>
      <c r="F6" s="383"/>
      <c r="G6" s="384">
        <f>AG5</f>
        <v>54989.6875</v>
      </c>
      <c r="H6" s="384">
        <f>AN5</f>
        <v>47587.547500000001</v>
      </c>
      <c r="I6" s="384">
        <f>AU5</f>
        <v>39867.326025000002</v>
      </c>
      <c r="J6" s="384">
        <f>BB5</f>
        <v>43111.039587401247</v>
      </c>
      <c r="K6" s="384">
        <f>BI5</f>
        <v>34730.55420519285</v>
      </c>
      <c r="L6" s="424"/>
      <c r="M6" s="424"/>
      <c r="N6" s="424"/>
      <c r="O6" s="424"/>
      <c r="P6" s="424"/>
      <c r="Q6" s="380"/>
      <c r="R6" s="380"/>
      <c r="S6" s="380"/>
      <c r="T6" s="380"/>
      <c r="U6" s="380"/>
      <c r="V6" s="425"/>
      <c r="W6" s="425"/>
      <c r="X6" s="425"/>
      <c r="Y6" s="425"/>
      <c r="Z6" s="425"/>
      <c r="AA6" s="426"/>
      <c r="AB6" s="427"/>
      <c r="AC6" s="425"/>
      <c r="AD6" s="425"/>
      <c r="AE6" s="428"/>
      <c r="AF6" s="425"/>
      <c r="AG6" s="425"/>
      <c r="AH6" s="429"/>
      <c r="AI6" s="427"/>
      <c r="AJ6" s="425"/>
      <c r="AK6" s="425"/>
      <c r="AL6" s="425"/>
      <c r="AM6" s="425"/>
      <c r="AN6" s="425"/>
      <c r="AO6" s="429"/>
      <c r="AP6" s="427"/>
      <c r="AQ6" s="425"/>
      <c r="AR6" s="425"/>
      <c r="AS6" s="425"/>
      <c r="AT6" s="425"/>
      <c r="AU6" s="425"/>
      <c r="AV6" s="429"/>
      <c r="AW6" s="427"/>
      <c r="AX6" s="425"/>
      <c r="AY6" s="425"/>
      <c r="AZ6" s="425"/>
      <c r="BA6" s="425"/>
      <c r="BB6" s="425"/>
      <c r="BC6" s="429"/>
      <c r="BD6" s="427"/>
      <c r="BE6" s="425"/>
      <c r="BF6" s="425"/>
      <c r="BG6" s="425"/>
      <c r="BH6" s="425"/>
      <c r="BI6" s="425"/>
      <c r="BJ6" s="429"/>
      <c r="BK6" s="430" t="s">
        <v>315</v>
      </c>
      <c r="BL6" s="425" t="s">
        <v>316</v>
      </c>
      <c r="BM6" s="425" t="s">
        <v>317</v>
      </c>
      <c r="BN6" s="425" t="s">
        <v>318</v>
      </c>
      <c r="BO6" s="425"/>
      <c r="BP6" s="425"/>
      <c r="BQ6" s="425"/>
      <c r="BR6" s="425"/>
      <c r="BS6" s="425" t="s">
        <v>319</v>
      </c>
      <c r="BT6" s="425"/>
      <c r="BU6" s="32"/>
      <c r="BV6" s="32"/>
      <c r="BW6" s="32"/>
      <c r="BX6" s="32"/>
      <c r="BY6" s="32"/>
      <c r="BZ6" s="32"/>
      <c r="CA6" s="32"/>
      <c r="CB6" s="32"/>
      <c r="CC6" s="32"/>
    </row>
    <row r="7" spans="1:81" ht="15">
      <c r="A7"/>
      <c r="B7"/>
      <c r="C7" s="382" t="s">
        <v>320</v>
      </c>
      <c r="D7" s="382"/>
      <c r="E7" s="383"/>
      <c r="F7" s="383"/>
      <c r="G7" s="384">
        <f>SUM(G3:G6)</f>
        <v>5742359.9663688466</v>
      </c>
      <c r="H7" s="384">
        <f>SUM(H3:H6)</f>
        <v>5587041.1128498316</v>
      </c>
      <c r="I7" s="384">
        <f>SUM(I3:I6)</f>
        <v>5431404.1778558157</v>
      </c>
      <c r="J7" s="384">
        <f>SUM(J3:J6)</f>
        <v>5742002.4492560709</v>
      </c>
      <c r="K7" s="384">
        <f>SUM(K3:K6)</f>
        <v>5578552.1225955924</v>
      </c>
      <c r="L7" s="424" t="s">
        <v>321</v>
      </c>
      <c r="M7" s="424"/>
      <c r="N7" s="424"/>
      <c r="O7" s="424"/>
      <c r="P7" s="424"/>
      <c r="Q7" s="380"/>
      <c r="R7" s="380"/>
      <c r="S7" s="380"/>
      <c r="T7" s="380"/>
      <c r="U7" s="380"/>
      <c r="V7" s="425"/>
      <c r="W7" s="425"/>
      <c r="X7" s="425"/>
      <c r="Y7" s="425"/>
      <c r="Z7" s="425"/>
      <c r="AA7" s="426"/>
      <c r="AB7" s="427"/>
      <c r="AC7" s="425"/>
      <c r="AD7" s="425"/>
      <c r="AE7" s="428"/>
      <c r="AF7" s="425"/>
      <c r="AG7" s="425"/>
      <c r="AH7" s="429"/>
      <c r="AI7" s="427"/>
      <c r="AJ7" s="425"/>
      <c r="AK7" s="425"/>
      <c r="AL7" s="425"/>
      <c r="AM7" s="425"/>
      <c r="AN7" s="425"/>
      <c r="AO7" s="429"/>
      <c r="AP7" s="427"/>
      <c r="AQ7" s="425"/>
      <c r="AR7" s="425"/>
      <c r="AS7" s="425"/>
      <c r="AT7" s="425"/>
      <c r="AU7" s="425"/>
      <c r="AV7" s="429"/>
      <c r="AW7" s="427"/>
      <c r="AX7" s="425"/>
      <c r="AY7" s="425"/>
      <c r="AZ7" s="425"/>
      <c r="BA7" s="425"/>
      <c r="BB7" s="425"/>
      <c r="BC7" s="429"/>
      <c r="BD7" s="427"/>
      <c r="BE7" s="425"/>
      <c r="BF7" s="425"/>
      <c r="BG7" s="425"/>
      <c r="BH7" s="425"/>
      <c r="BI7" s="425"/>
      <c r="BJ7" s="429"/>
      <c r="BK7" s="430"/>
      <c r="BL7" s="425"/>
      <c r="BM7" s="425"/>
      <c r="BN7" s="425"/>
      <c r="BO7" s="425"/>
      <c r="BP7" s="425"/>
      <c r="BQ7" s="425"/>
      <c r="BR7" s="425"/>
      <c r="BS7" s="425"/>
      <c r="BT7" s="425"/>
      <c r="BU7" s="32"/>
      <c r="BV7" s="32"/>
      <c r="BW7" s="32"/>
      <c r="BX7" s="32"/>
      <c r="BY7" s="32"/>
      <c r="BZ7" s="32"/>
      <c r="CA7" s="32"/>
      <c r="CB7" s="32"/>
      <c r="CC7" s="32"/>
    </row>
    <row r="8" spans="1:81" ht="15">
      <c r="A8"/>
      <c r="B8"/>
      <c r="C8" s="382" t="s">
        <v>322</v>
      </c>
      <c r="D8" s="382"/>
      <c r="E8" s="383"/>
      <c r="F8" s="383"/>
      <c r="G8" s="431">
        <f>G7/12</f>
        <v>478529.99719740386</v>
      </c>
      <c r="H8" s="384">
        <f>H7/12</f>
        <v>465586.75940415263</v>
      </c>
      <c r="I8" s="431">
        <f>I7/12</f>
        <v>452617.01482131798</v>
      </c>
      <c r="J8" s="431">
        <f>J7/12</f>
        <v>478500.20410467259</v>
      </c>
      <c r="K8" s="431">
        <f>K7/12</f>
        <v>464879.3435496327</v>
      </c>
      <c r="L8" s="432">
        <f>Rental!B4</f>
        <v>73250</v>
      </c>
      <c r="M8" s="432">
        <f>L8</f>
        <v>73250</v>
      </c>
      <c r="N8" s="432">
        <f>M8</f>
        <v>73250</v>
      </c>
      <c r="O8" s="432">
        <f>N8</f>
        <v>73250</v>
      </c>
      <c r="P8" s="432">
        <f>O8</f>
        <v>73250</v>
      </c>
      <c r="Q8" s="380"/>
      <c r="R8" s="380"/>
      <c r="S8" s="380"/>
      <c r="T8" s="380"/>
      <c r="U8" s="380"/>
      <c r="V8" s="425"/>
      <c r="W8" s="425"/>
      <c r="X8" s="425"/>
      <c r="Y8" s="425"/>
      <c r="Z8" s="425"/>
      <c r="AA8" s="426"/>
      <c r="AB8" s="427"/>
      <c r="AC8" s="425"/>
      <c r="AD8" s="425"/>
      <c r="AE8" s="428" t="s">
        <v>279</v>
      </c>
      <c r="AF8" s="425"/>
      <c r="AG8" s="425"/>
      <c r="AH8" s="429"/>
      <c r="AI8" s="427"/>
      <c r="AJ8" s="425"/>
      <c r="AK8" s="425"/>
      <c r="AL8" s="428" t="s">
        <v>279</v>
      </c>
      <c r="AM8" s="425"/>
      <c r="AN8" s="425"/>
      <c r="AO8" s="429"/>
      <c r="AP8" s="427"/>
      <c r="AQ8" s="425"/>
      <c r="AR8" s="425"/>
      <c r="AS8" s="428" t="s">
        <v>279</v>
      </c>
      <c r="AT8" s="425"/>
      <c r="AU8" s="425"/>
      <c r="AV8" s="429"/>
      <c r="AW8" s="427"/>
      <c r="AX8" s="425"/>
      <c r="AY8" s="425"/>
      <c r="AZ8" s="428" t="s">
        <v>279</v>
      </c>
      <c r="BA8" s="425"/>
      <c r="BB8" s="425"/>
      <c r="BC8" s="429"/>
      <c r="BD8" s="427"/>
      <c r="BE8" s="425"/>
      <c r="BF8" s="425"/>
      <c r="BG8" s="428" t="s">
        <v>279</v>
      </c>
      <c r="BH8" s="425"/>
      <c r="BI8" s="425"/>
      <c r="BJ8" s="429"/>
      <c r="BK8" s="430" t="s">
        <v>323</v>
      </c>
      <c r="BL8" s="425" t="s">
        <v>324</v>
      </c>
      <c r="BM8" s="425" t="s">
        <v>325</v>
      </c>
      <c r="BN8" s="425" t="s">
        <v>326</v>
      </c>
      <c r="BO8" s="425" t="s">
        <v>327</v>
      </c>
      <c r="BP8" s="425" t="s">
        <v>328</v>
      </c>
      <c r="BQ8" s="425"/>
      <c r="BR8" s="425"/>
      <c r="BS8" s="425"/>
      <c r="BT8" s="425"/>
      <c r="BU8" s="32"/>
      <c r="BV8" s="32"/>
      <c r="BW8" s="32"/>
      <c r="BX8" s="32">
        <v>12</v>
      </c>
      <c r="BY8" s="32">
        <v>12</v>
      </c>
      <c r="BZ8" s="32">
        <v>12</v>
      </c>
      <c r="CA8" s="32"/>
      <c r="CB8" s="32"/>
      <c r="CC8" s="32"/>
    </row>
    <row r="9" spans="1:81" ht="38.25">
      <c r="A9" s="433" t="s">
        <v>329</v>
      </c>
      <c r="B9" s="433" t="s">
        <v>330</v>
      </c>
      <c r="C9" s="433" t="s">
        <v>331</v>
      </c>
      <c r="D9" s="434" t="s">
        <v>332</v>
      </c>
      <c r="E9" s="435" t="s">
        <v>333</v>
      </c>
      <c r="F9" s="435" t="s">
        <v>334</v>
      </c>
      <c r="G9" s="436" t="s">
        <v>335</v>
      </c>
      <c r="H9" s="436" t="s">
        <v>336</v>
      </c>
      <c r="I9" s="437" t="s">
        <v>337</v>
      </c>
      <c r="J9" s="437" t="s">
        <v>338</v>
      </c>
      <c r="K9" s="437" t="s">
        <v>339</v>
      </c>
      <c r="L9" s="438" t="s">
        <v>340</v>
      </c>
      <c r="M9" s="438" t="s">
        <v>341</v>
      </c>
      <c r="N9" s="438" t="s">
        <v>342</v>
      </c>
      <c r="O9" s="438" t="s">
        <v>343</v>
      </c>
      <c r="P9" s="439" t="s">
        <v>344</v>
      </c>
      <c r="Q9" s="440" t="s">
        <v>340</v>
      </c>
      <c r="R9" s="440" t="s">
        <v>341</v>
      </c>
      <c r="S9" s="440" t="s">
        <v>342</v>
      </c>
      <c r="T9" s="440" t="s">
        <v>343</v>
      </c>
      <c r="U9" s="440" t="s">
        <v>344</v>
      </c>
      <c r="V9" s="441" t="s">
        <v>340</v>
      </c>
      <c r="W9" s="442" t="s">
        <v>341</v>
      </c>
      <c r="X9" s="442" t="s">
        <v>342</v>
      </c>
      <c r="Y9" s="442" t="s">
        <v>343</v>
      </c>
      <c r="Z9" s="442" t="s">
        <v>344</v>
      </c>
      <c r="AA9" s="443" t="s">
        <v>345</v>
      </c>
      <c r="AB9" s="444" t="s">
        <v>346</v>
      </c>
      <c r="AC9" s="445" t="s">
        <v>347</v>
      </c>
      <c r="AD9" s="445" t="s">
        <v>308</v>
      </c>
      <c r="AE9" s="446" t="s">
        <v>133</v>
      </c>
      <c r="AF9" s="445" t="s">
        <v>348</v>
      </c>
      <c r="AG9" s="445" t="s">
        <v>349</v>
      </c>
      <c r="AH9" s="447" t="s">
        <v>350</v>
      </c>
      <c r="AI9" s="448" t="s">
        <v>351</v>
      </c>
      <c r="AJ9" s="449" t="s">
        <v>347</v>
      </c>
      <c r="AK9" s="449" t="s">
        <v>308</v>
      </c>
      <c r="AL9" s="449" t="s">
        <v>133</v>
      </c>
      <c r="AM9" s="449" t="s">
        <v>348</v>
      </c>
      <c r="AN9" s="449" t="s">
        <v>349</v>
      </c>
      <c r="AO9" s="447" t="s">
        <v>352</v>
      </c>
      <c r="AP9" s="444" t="s">
        <v>353</v>
      </c>
      <c r="AQ9" s="445" t="s">
        <v>347</v>
      </c>
      <c r="AR9" s="445" t="s">
        <v>308</v>
      </c>
      <c r="AS9" s="445" t="s">
        <v>133</v>
      </c>
      <c r="AT9" s="445" t="s">
        <v>348</v>
      </c>
      <c r="AU9" s="445" t="s">
        <v>349</v>
      </c>
      <c r="AV9" s="447" t="s">
        <v>354</v>
      </c>
      <c r="AW9" s="448" t="s">
        <v>355</v>
      </c>
      <c r="AX9" s="449" t="s">
        <v>347</v>
      </c>
      <c r="AY9" s="449" t="s">
        <v>308</v>
      </c>
      <c r="AZ9" s="449" t="s">
        <v>133</v>
      </c>
      <c r="BA9" s="449" t="s">
        <v>348</v>
      </c>
      <c r="BB9" s="449" t="s">
        <v>349</v>
      </c>
      <c r="BC9" s="450" t="s">
        <v>356</v>
      </c>
      <c r="BD9" s="444" t="s">
        <v>357</v>
      </c>
      <c r="BE9" s="445" t="s">
        <v>347</v>
      </c>
      <c r="BF9" s="445" t="s">
        <v>308</v>
      </c>
      <c r="BG9" s="445" t="s">
        <v>133</v>
      </c>
      <c r="BH9" s="445" t="s">
        <v>348</v>
      </c>
      <c r="BI9" s="445" t="s">
        <v>349</v>
      </c>
      <c r="BJ9" s="447" t="s">
        <v>358</v>
      </c>
      <c r="BK9" s="451" t="s">
        <v>359</v>
      </c>
      <c r="BL9" s="452" t="s">
        <v>360</v>
      </c>
      <c r="BM9" s="452" t="s">
        <v>361</v>
      </c>
      <c r="BN9" s="452" t="s">
        <v>362</v>
      </c>
      <c r="BO9" s="452" t="s">
        <v>363</v>
      </c>
      <c r="BP9" s="452" t="s">
        <v>364</v>
      </c>
      <c r="BQ9" s="452" t="s">
        <v>365</v>
      </c>
      <c r="BR9" s="452" t="s">
        <v>366</v>
      </c>
      <c r="BS9" s="452" t="s">
        <v>367</v>
      </c>
      <c r="BT9" s="452" t="s">
        <v>368</v>
      </c>
      <c r="BU9" s="452" t="s">
        <v>369</v>
      </c>
      <c r="BV9" s="452" t="s">
        <v>366</v>
      </c>
      <c r="BW9" s="36"/>
      <c r="BX9" s="37" t="s">
        <v>225</v>
      </c>
      <c r="BY9" s="37" t="s">
        <v>296</v>
      </c>
      <c r="BZ9" s="37" t="s">
        <v>297</v>
      </c>
      <c r="CA9" s="37"/>
      <c r="CB9" s="37"/>
      <c r="CC9" s="37"/>
    </row>
    <row r="10" spans="1:81" ht="15">
      <c r="A10" s="453">
        <v>1</v>
      </c>
      <c r="B10" s="454" t="s">
        <v>370</v>
      </c>
      <c r="C10" s="455" t="s">
        <v>371</v>
      </c>
      <c r="D10" s="456"/>
      <c r="E10" s="457" t="s">
        <v>372</v>
      </c>
      <c r="F10" s="458"/>
      <c r="G10" s="459">
        <v>10</v>
      </c>
      <c r="H10" s="460">
        <v>10</v>
      </c>
      <c r="I10" s="461" t="s">
        <v>373</v>
      </c>
      <c r="J10" s="462">
        <v>2000</v>
      </c>
      <c r="K10" s="463"/>
      <c r="L10" s="464">
        <v>8000</v>
      </c>
      <c r="M10" s="465"/>
      <c r="N10" s="465"/>
      <c r="O10" s="465"/>
      <c r="P10" s="466"/>
      <c r="Q10" s="467">
        <f t="shared" ref="Q10:Q77" si="6">J10</f>
        <v>2000</v>
      </c>
      <c r="R10" s="467">
        <f t="shared" ref="R10:U53" si="7">Q10*R$3+Q10</f>
        <v>2060</v>
      </c>
      <c r="S10" s="467">
        <f t="shared" si="7"/>
        <v>2121.8000000000002</v>
      </c>
      <c r="T10" s="467">
        <f t="shared" si="7"/>
        <v>2185.4540000000002</v>
      </c>
      <c r="U10" s="467">
        <f t="shared" si="7"/>
        <v>2251.0176200000001</v>
      </c>
      <c r="V10" s="468">
        <f t="shared" ref="V10:Z53" si="8">Q10*L10</f>
        <v>16000000</v>
      </c>
      <c r="W10" s="468">
        <f t="shared" si="8"/>
        <v>0</v>
      </c>
      <c r="X10" s="468">
        <f t="shared" si="8"/>
        <v>0</v>
      </c>
      <c r="Y10" s="468">
        <f t="shared" si="8"/>
        <v>0</v>
      </c>
      <c r="Z10" s="468">
        <f t="shared" si="8"/>
        <v>0</v>
      </c>
      <c r="AA10" s="469">
        <f t="shared" ref="AA10:AA63" si="9">SUM(V10:Z10)</f>
        <v>16000000</v>
      </c>
      <c r="AB10" s="470">
        <f t="shared" ref="AB10:AB63" si="10">SUM(AC10:AD10)</f>
        <v>3160289.7316530109</v>
      </c>
      <c r="AC10" s="471">
        <f t="shared" ref="AC10:AC63" si="11">V10/$G10</f>
        <v>1600000</v>
      </c>
      <c r="AD10" s="471">
        <f t="shared" ref="AD10:AD63" si="12">-IPMT(AB$3/12,$AD$3,$H10*12,V10,0)*12</f>
        <v>1560289.7316530109</v>
      </c>
      <c r="AE10" s="472">
        <v>1E-3</v>
      </c>
      <c r="AF10" s="471">
        <f t="shared" ref="AF10:AF77" si="13">V10*AE10</f>
        <v>16000</v>
      </c>
      <c r="AG10" s="471">
        <f t="shared" ref="AG10:AG63" si="14">V10*AG$3</f>
        <v>40000</v>
      </c>
      <c r="AH10" s="473">
        <f t="shared" ref="AH10:AH63" si="15">V10-AC10+W10</f>
        <v>14400000</v>
      </c>
      <c r="AI10" s="470">
        <f t="shared" ref="AI10:AI63" si="16">SUM(AJ10:AK10)</f>
        <v>3004260.7584877098</v>
      </c>
      <c r="AJ10" s="474">
        <f t="shared" ref="AJ10:AJ77" si="17">SUM(W10/G10)+AC10</f>
        <v>1600000</v>
      </c>
      <c r="AK10" s="471">
        <f t="shared" ref="AK10:AK63" si="18">-IPMT(AI$3/12,$AK$3,$H10*12,AH10,0)*12</f>
        <v>1404260.7584877096</v>
      </c>
      <c r="AL10" s="475">
        <f t="shared" ref="AL10:AL63" si="19">IF(AE10=0,0,AE10+AL$3)</f>
        <v>8.5000000000000006E-3</v>
      </c>
      <c r="AM10" s="471">
        <f>AL10*V10+AE10*W10</f>
        <v>136000</v>
      </c>
      <c r="AN10" s="471">
        <f t="shared" ref="AN10:AN63" si="20">AH10*AN$3</f>
        <v>36720</v>
      </c>
      <c r="AO10" s="476">
        <f t="shared" ref="AO10:AO63" si="21">SUM(AH10+W10)-AJ10+IF(G10=2,L10*R10)</f>
        <v>12800000</v>
      </c>
      <c r="AP10" s="470">
        <f t="shared" ref="AP10:AP63" si="22">SUM(AQ10:AR10)</f>
        <v>2848231.7853224082</v>
      </c>
      <c r="AQ10" s="474">
        <f t="shared" ref="AQ10:AQ63" si="23">SUM(X10/G10)+AJ10</f>
        <v>1600000</v>
      </c>
      <c r="AR10" s="471">
        <f t="shared" ref="AR10:AR63" si="24">-IPMT(AP$3/12,$AR$3,$G10*12,AO10,0)*12</f>
        <v>1248231.7853224084</v>
      </c>
      <c r="AS10" s="475">
        <f t="shared" ref="AS10:AS63" si="25">IF(AL10=0,0,AL10+AS$3)</f>
        <v>1.6E-2</v>
      </c>
      <c r="AT10" s="471">
        <f>AS10*V10+W10*AL10+AE10*X10</f>
        <v>256000</v>
      </c>
      <c r="AU10" s="471">
        <f t="shared" ref="AU10:AU63" si="26">AO10*AU$3</f>
        <v>33292.800000000003</v>
      </c>
      <c r="AV10" s="477">
        <f t="shared" ref="AV10:AV77" si="27">SUM(AO10+X10)-AQ10+IF(G10=3,L10*S10)</f>
        <v>11200000</v>
      </c>
      <c r="AW10" s="470">
        <f t="shared" ref="AW10:AW63" si="28">SUM(AX10:AY10)</f>
        <v>2692202.8121571075</v>
      </c>
      <c r="AX10" s="474">
        <f t="shared" ref="AX10:AX63" si="29">IF(G10=3,AV10/3,SUM(Y10/G10)+AQ10)</f>
        <v>1600000</v>
      </c>
      <c r="AY10" s="471">
        <f t="shared" ref="AY10:AY63" si="30">-IPMT(AW$3/12,$AY$3,$G10*12,AV10,0)*12</f>
        <v>1092202.8121571077</v>
      </c>
      <c r="AZ10" s="475">
        <f t="shared" ref="AZ10:AZ77" si="31">IF(AS10=0,0,AS10+AZ$3)</f>
        <v>2.35E-2</v>
      </c>
      <c r="BA10" s="471">
        <f>AZ10*V10+W10*AS10+AL10*X10+Y10*AE10</f>
        <v>376000</v>
      </c>
      <c r="BB10" s="471">
        <f t="shared" ref="BB10:BB63" si="32">AV10*BB$3</f>
        <v>29713.823999999997</v>
      </c>
      <c r="BC10" s="477">
        <f t="shared" ref="BC10:BC63" si="33">AV10-AX10+Z10++IF(G10=4,V10)</f>
        <v>9600000</v>
      </c>
      <c r="BD10" s="470">
        <f t="shared" ref="BD10:BD63" si="34">SUM(BE10:BF10)</f>
        <v>2536173.8389918064</v>
      </c>
      <c r="BE10" s="474">
        <f t="shared" ref="BE10:BE63" si="35">SUM(Z10/G10)+AX10</f>
        <v>1600000</v>
      </c>
      <c r="BF10" s="478">
        <f t="shared" ref="BF10:BF63" si="36">-IPMT(BD$3/12,$BF$3,$G10*12,BC10,0)*12</f>
        <v>936173.83899180649</v>
      </c>
      <c r="BG10" s="475">
        <f t="shared" ref="BG10:BG63" si="37">IF(AZ10=0,0,AZ10+BG$3)</f>
        <v>3.1E-2</v>
      </c>
      <c r="BH10" s="471">
        <f>BG10*V10+W10*AZ10+AS10*X10+Y10*AL10+Z10*AE10</f>
        <v>496000</v>
      </c>
      <c r="BI10" s="471">
        <f t="shared" ref="BI10:BI63" si="38">BC10*BI$3</f>
        <v>25978.37184</v>
      </c>
      <c r="BJ10" s="473">
        <f t="shared" ref="BJ10:BJ63" si="39">BC10-BE10</f>
        <v>8000000</v>
      </c>
      <c r="BK10" s="479">
        <f t="shared" ref="BK10:BL53" si="40">AC10+AJ10+AQ10+AX10+BE10</f>
        <v>8000000</v>
      </c>
      <c r="BL10" s="480">
        <f t="shared" si="40"/>
        <v>6241158.9266120428</v>
      </c>
      <c r="BM10" s="480">
        <f t="shared" ref="BM10:BN53" si="41">BH10+BA10+AT10++AM10+AF10</f>
        <v>1280000</v>
      </c>
      <c r="BN10" s="480">
        <f t="shared" si="41"/>
        <v>165704.99583999999</v>
      </c>
      <c r="BO10" s="480">
        <f t="shared" ref="BO10:BO63" si="42">SUM(BK10:BL10)</f>
        <v>14241158.926612042</v>
      </c>
      <c r="BP10" s="480">
        <f t="shared" ref="BP10:BP63" si="43">BM10+BN10+BO10</f>
        <v>15686863.922452042</v>
      </c>
      <c r="BQ10" s="480">
        <f t="shared" ref="BQ10:BQ63" si="44">AB10+AI10+AP10+AW10+BD10</f>
        <v>14241158.926612044</v>
      </c>
      <c r="BR10" s="480">
        <f t="shared" ref="BR10:BR63" si="45">BQ10-BO10</f>
        <v>0</v>
      </c>
      <c r="BS10" s="480">
        <f t="shared" ref="BS10:BS63" si="46">AA10-BK10</f>
        <v>8000000</v>
      </c>
      <c r="BT10" s="480">
        <f t="shared" ref="BT10:BT63" si="47">BJ10-BS10</f>
        <v>0</v>
      </c>
      <c r="BU10" s="480">
        <f t="shared" ref="BU10:BU63" si="48">BT10+BS10</f>
        <v>8000000</v>
      </c>
      <c r="BV10" s="480">
        <f t="shared" ref="BV10:BV63" si="49">BJ10-BU10</f>
        <v>0</v>
      </c>
      <c r="BW10" s="38"/>
      <c r="BX10" s="39">
        <f>(AB10+AF10+AG10)/$BX$8</f>
        <v>268024.1443044176</v>
      </c>
      <c r="BY10" s="39">
        <f>(AI10+AM10+AN10)/$BY$8</f>
        <v>264748.39654064248</v>
      </c>
      <c r="BZ10" s="39">
        <f>(AP10+AT10+AU10)/$BZ$8</f>
        <v>261460.38211020068</v>
      </c>
      <c r="CA10" s="40" t="s">
        <v>374</v>
      </c>
      <c r="CB10" s="40"/>
      <c r="CC10" s="40"/>
    </row>
    <row r="11" spans="1:81" ht="15" hidden="1">
      <c r="A11" s="453">
        <f>A10+1</f>
        <v>2</v>
      </c>
      <c r="B11" s="454" t="s">
        <v>370</v>
      </c>
      <c r="C11" s="455" t="s">
        <v>375</v>
      </c>
      <c r="D11" s="481"/>
      <c r="E11" s="457" t="s">
        <v>372</v>
      </c>
      <c r="F11" s="458"/>
      <c r="G11" s="459">
        <v>10</v>
      </c>
      <c r="H11" s="460">
        <v>10</v>
      </c>
      <c r="I11" s="461" t="s">
        <v>373</v>
      </c>
      <c r="J11" s="462">
        <v>8500</v>
      </c>
      <c r="K11" s="482"/>
      <c r="L11" s="465">
        <v>0</v>
      </c>
      <c r="M11" s="465"/>
      <c r="N11" s="465"/>
      <c r="O11" s="465"/>
      <c r="P11" s="465"/>
      <c r="Q11" s="467">
        <f t="shared" si="6"/>
        <v>8500</v>
      </c>
      <c r="R11" s="483">
        <f t="shared" si="7"/>
        <v>8755</v>
      </c>
      <c r="S11" s="483">
        <f t="shared" si="7"/>
        <v>9017.65</v>
      </c>
      <c r="T11" s="483">
        <f t="shared" si="7"/>
        <v>9288.1795000000002</v>
      </c>
      <c r="U11" s="483">
        <f t="shared" si="7"/>
        <v>9566.824885</v>
      </c>
      <c r="V11" s="468">
        <f t="shared" si="8"/>
        <v>0</v>
      </c>
      <c r="W11" s="468">
        <f t="shared" si="8"/>
        <v>0</v>
      </c>
      <c r="X11" s="468">
        <f t="shared" si="8"/>
        <v>0</v>
      </c>
      <c r="Y11" s="468">
        <f t="shared" si="8"/>
        <v>0</v>
      </c>
      <c r="Z11" s="468">
        <f t="shared" si="8"/>
        <v>0</v>
      </c>
      <c r="AA11" s="469">
        <f t="shared" si="9"/>
        <v>0</v>
      </c>
      <c r="AB11" s="470">
        <f t="shared" si="10"/>
        <v>0</v>
      </c>
      <c r="AC11" s="471">
        <f t="shared" si="11"/>
        <v>0</v>
      </c>
      <c r="AD11" s="471">
        <f t="shared" si="12"/>
        <v>0</v>
      </c>
      <c r="AE11" s="472">
        <v>1E-3</v>
      </c>
      <c r="AF11" s="471">
        <f t="shared" si="13"/>
        <v>0</v>
      </c>
      <c r="AG11" s="471">
        <f t="shared" si="14"/>
        <v>0</v>
      </c>
      <c r="AH11" s="473">
        <f t="shared" si="15"/>
        <v>0</v>
      </c>
      <c r="AI11" s="484">
        <f t="shared" si="16"/>
        <v>0</v>
      </c>
      <c r="AJ11" s="474">
        <f t="shared" si="17"/>
        <v>0</v>
      </c>
      <c r="AK11" s="471">
        <f t="shared" si="18"/>
        <v>0</v>
      </c>
      <c r="AL11" s="475">
        <f t="shared" si="19"/>
        <v>8.5000000000000006E-3</v>
      </c>
      <c r="AM11" s="471">
        <f t="shared" ref="AM11:AM77" si="50">AL11*V11+AE11*W11</f>
        <v>0</v>
      </c>
      <c r="AN11" s="471">
        <f t="shared" si="20"/>
        <v>0</v>
      </c>
      <c r="AO11" s="476">
        <f t="shared" si="21"/>
        <v>0</v>
      </c>
      <c r="AP11" s="484">
        <f t="shared" si="22"/>
        <v>0</v>
      </c>
      <c r="AQ11" s="485">
        <f t="shared" si="23"/>
        <v>0</v>
      </c>
      <c r="AR11" s="471">
        <f t="shared" si="24"/>
        <v>0</v>
      </c>
      <c r="AS11" s="475">
        <f t="shared" si="25"/>
        <v>1.6E-2</v>
      </c>
      <c r="AT11" s="471">
        <f t="shared" ref="AT11:AT77" si="51">AS11*V11+W11*AL11+AE11*X11</f>
        <v>0</v>
      </c>
      <c r="AU11" s="471">
        <f t="shared" si="26"/>
        <v>0</v>
      </c>
      <c r="AV11" s="476">
        <f t="shared" si="27"/>
        <v>0</v>
      </c>
      <c r="AW11" s="484">
        <f t="shared" si="28"/>
        <v>0</v>
      </c>
      <c r="AX11" s="474">
        <f t="shared" si="29"/>
        <v>0</v>
      </c>
      <c r="AY11" s="471">
        <f t="shared" si="30"/>
        <v>0</v>
      </c>
      <c r="AZ11" s="475">
        <f t="shared" si="31"/>
        <v>2.35E-2</v>
      </c>
      <c r="BA11" s="471">
        <f t="shared" ref="BA11:BA77" si="52">AZ11*V11+W11*AS11+AL11*X11+Y11*AE11</f>
        <v>0</v>
      </c>
      <c r="BB11" s="471">
        <f t="shared" si="32"/>
        <v>0</v>
      </c>
      <c r="BC11" s="476">
        <f t="shared" si="33"/>
        <v>0</v>
      </c>
      <c r="BD11" s="484">
        <f t="shared" si="34"/>
        <v>0</v>
      </c>
      <c r="BE11" s="474">
        <f t="shared" si="35"/>
        <v>0</v>
      </c>
      <c r="BF11" s="471">
        <f t="shared" si="36"/>
        <v>0</v>
      </c>
      <c r="BG11" s="475">
        <f t="shared" si="37"/>
        <v>3.1E-2</v>
      </c>
      <c r="BH11" s="471">
        <f t="shared" ref="BH11:BH77" si="53">BG11*V11+W11*AZ11+AS11*X11+Y11*AL11+Z11*AE11</f>
        <v>0</v>
      </c>
      <c r="BI11" s="471">
        <f t="shared" si="38"/>
        <v>0</v>
      </c>
      <c r="BJ11" s="473">
        <f t="shared" si="39"/>
        <v>0</v>
      </c>
      <c r="BK11" s="479">
        <f t="shared" si="40"/>
        <v>0</v>
      </c>
      <c r="BL11" s="480">
        <f t="shared" si="40"/>
        <v>0</v>
      </c>
      <c r="BM11" s="480">
        <f t="shared" si="41"/>
        <v>0</v>
      </c>
      <c r="BN11" s="480">
        <f t="shared" si="41"/>
        <v>0</v>
      </c>
      <c r="BO11" s="480">
        <f t="shared" si="42"/>
        <v>0</v>
      </c>
      <c r="BP11" s="480">
        <f t="shared" si="43"/>
        <v>0</v>
      </c>
      <c r="BQ11" s="480">
        <f t="shared" si="44"/>
        <v>0</v>
      </c>
      <c r="BR11" s="480">
        <f t="shared" si="45"/>
        <v>0</v>
      </c>
      <c r="BS11" s="480">
        <f t="shared" si="46"/>
        <v>0</v>
      </c>
      <c r="BT11" s="480">
        <f t="shared" si="47"/>
        <v>0</v>
      </c>
      <c r="BU11" s="480">
        <f t="shared" si="48"/>
        <v>0</v>
      </c>
      <c r="BV11" s="480">
        <f t="shared" si="49"/>
        <v>0</v>
      </c>
      <c r="BW11" s="41"/>
      <c r="BX11" s="39">
        <f t="shared" ref="BX11:BX75" si="54">(AB11+AF11+AG11)/$BX$8</f>
        <v>0</v>
      </c>
      <c r="BY11" s="39">
        <f t="shared" ref="BY11:BY75" si="55">(AI11+AM11+AN11)/$BY$8</f>
        <v>0</v>
      </c>
      <c r="BZ11" s="39">
        <f t="shared" ref="BZ11:BZ75" si="56">(AP11+AT11+AU11)/$BZ$8</f>
        <v>0</v>
      </c>
      <c r="CA11" s="40" t="s">
        <v>374</v>
      </c>
      <c r="CB11" s="40"/>
      <c r="CC11" s="40"/>
    </row>
    <row r="12" spans="1:81" ht="38.25" hidden="1">
      <c r="A12" s="453">
        <f t="shared" ref="A12:A44" si="57">A11+1</f>
        <v>3</v>
      </c>
      <c r="B12" s="454" t="s">
        <v>370</v>
      </c>
      <c r="C12" s="486" t="s">
        <v>376</v>
      </c>
      <c r="D12" s="487"/>
      <c r="E12" s="457" t="s">
        <v>372</v>
      </c>
      <c r="F12" s="458"/>
      <c r="G12" s="459">
        <v>10</v>
      </c>
      <c r="H12" s="460">
        <v>10</v>
      </c>
      <c r="I12" s="461" t="s">
        <v>373</v>
      </c>
      <c r="J12" s="462"/>
      <c r="K12" s="488"/>
      <c r="L12" s="466">
        <v>0</v>
      </c>
      <c r="M12" s="466"/>
      <c r="N12" s="466"/>
      <c r="O12" s="466"/>
      <c r="P12" s="466"/>
      <c r="Q12" s="467">
        <f t="shared" si="6"/>
        <v>0</v>
      </c>
      <c r="R12" s="483">
        <f t="shared" si="7"/>
        <v>0</v>
      </c>
      <c r="S12" s="483">
        <f t="shared" si="7"/>
        <v>0</v>
      </c>
      <c r="T12" s="483">
        <f t="shared" si="7"/>
        <v>0</v>
      </c>
      <c r="U12" s="483">
        <f t="shared" si="7"/>
        <v>0</v>
      </c>
      <c r="V12" s="468">
        <f>Q12*L12</f>
        <v>0</v>
      </c>
      <c r="W12" s="468">
        <f t="shared" si="8"/>
        <v>0</v>
      </c>
      <c r="X12" s="468">
        <f t="shared" si="8"/>
        <v>0</v>
      </c>
      <c r="Y12" s="468">
        <f t="shared" si="8"/>
        <v>0</v>
      </c>
      <c r="Z12" s="468">
        <f t="shared" si="8"/>
        <v>0</v>
      </c>
      <c r="AA12" s="469">
        <f t="shared" si="9"/>
        <v>0</v>
      </c>
      <c r="AB12" s="470">
        <f t="shared" si="10"/>
        <v>0</v>
      </c>
      <c r="AC12" s="471">
        <f t="shared" si="11"/>
        <v>0</v>
      </c>
      <c r="AD12" s="471">
        <f t="shared" si="12"/>
        <v>0</v>
      </c>
      <c r="AE12" s="472">
        <v>1E-3</v>
      </c>
      <c r="AF12" s="471">
        <f t="shared" si="13"/>
        <v>0</v>
      </c>
      <c r="AG12" s="471">
        <f t="shared" si="14"/>
        <v>0</v>
      </c>
      <c r="AH12" s="473">
        <f t="shared" si="15"/>
        <v>0</v>
      </c>
      <c r="AI12" s="484">
        <f t="shared" si="16"/>
        <v>0</v>
      </c>
      <c r="AJ12" s="474">
        <f t="shared" si="17"/>
        <v>0</v>
      </c>
      <c r="AK12" s="471">
        <f t="shared" si="18"/>
        <v>0</v>
      </c>
      <c r="AL12" s="475">
        <f t="shared" si="19"/>
        <v>8.5000000000000006E-3</v>
      </c>
      <c r="AM12" s="471">
        <f t="shared" si="50"/>
        <v>0</v>
      </c>
      <c r="AN12" s="471">
        <f t="shared" si="20"/>
        <v>0</v>
      </c>
      <c r="AO12" s="476">
        <f t="shared" si="21"/>
        <v>0</v>
      </c>
      <c r="AP12" s="484">
        <f t="shared" si="22"/>
        <v>0</v>
      </c>
      <c r="AQ12" s="485">
        <f t="shared" si="23"/>
        <v>0</v>
      </c>
      <c r="AR12" s="471">
        <f t="shared" si="24"/>
        <v>0</v>
      </c>
      <c r="AS12" s="475">
        <f t="shared" si="25"/>
        <v>1.6E-2</v>
      </c>
      <c r="AT12" s="471">
        <f t="shared" si="51"/>
        <v>0</v>
      </c>
      <c r="AU12" s="471">
        <f t="shared" si="26"/>
        <v>0</v>
      </c>
      <c r="AV12" s="476">
        <f t="shared" si="27"/>
        <v>0</v>
      </c>
      <c r="AW12" s="484">
        <f t="shared" si="28"/>
        <v>0</v>
      </c>
      <c r="AX12" s="474">
        <f t="shared" si="29"/>
        <v>0</v>
      </c>
      <c r="AY12" s="471">
        <f t="shared" si="30"/>
        <v>0</v>
      </c>
      <c r="AZ12" s="475">
        <f t="shared" si="31"/>
        <v>2.35E-2</v>
      </c>
      <c r="BA12" s="471">
        <f t="shared" si="52"/>
        <v>0</v>
      </c>
      <c r="BB12" s="471">
        <f t="shared" si="32"/>
        <v>0</v>
      </c>
      <c r="BC12" s="476">
        <f t="shared" si="33"/>
        <v>0</v>
      </c>
      <c r="BD12" s="484">
        <f t="shared" si="34"/>
        <v>0</v>
      </c>
      <c r="BE12" s="474">
        <f t="shared" si="35"/>
        <v>0</v>
      </c>
      <c r="BF12" s="471">
        <f t="shared" si="36"/>
        <v>0</v>
      </c>
      <c r="BG12" s="475">
        <f t="shared" si="37"/>
        <v>3.1E-2</v>
      </c>
      <c r="BH12" s="471">
        <f t="shared" si="53"/>
        <v>0</v>
      </c>
      <c r="BI12" s="471">
        <f t="shared" si="38"/>
        <v>0</v>
      </c>
      <c r="BJ12" s="473">
        <f t="shared" si="39"/>
        <v>0</v>
      </c>
      <c r="BK12" s="479">
        <f t="shared" si="40"/>
        <v>0</v>
      </c>
      <c r="BL12" s="480">
        <f t="shared" si="40"/>
        <v>0</v>
      </c>
      <c r="BM12" s="480">
        <f t="shared" si="41"/>
        <v>0</v>
      </c>
      <c r="BN12" s="480">
        <f t="shared" si="41"/>
        <v>0</v>
      </c>
      <c r="BO12" s="480">
        <f t="shared" si="42"/>
        <v>0</v>
      </c>
      <c r="BP12" s="480">
        <f t="shared" si="43"/>
        <v>0</v>
      </c>
      <c r="BQ12" s="480">
        <f t="shared" si="44"/>
        <v>0</v>
      </c>
      <c r="BR12" s="480">
        <f t="shared" si="45"/>
        <v>0</v>
      </c>
      <c r="BS12" s="480">
        <f t="shared" si="46"/>
        <v>0</v>
      </c>
      <c r="BT12" s="480">
        <f t="shared" si="47"/>
        <v>0</v>
      </c>
      <c r="BU12" s="480">
        <f t="shared" si="48"/>
        <v>0</v>
      </c>
      <c r="BV12" s="480">
        <f t="shared" si="49"/>
        <v>0</v>
      </c>
      <c r="BW12" s="38"/>
      <c r="BX12" s="39">
        <f t="shared" si="54"/>
        <v>0</v>
      </c>
      <c r="BY12" s="39">
        <f t="shared" si="55"/>
        <v>0</v>
      </c>
      <c r="BZ12" s="39">
        <f t="shared" si="56"/>
        <v>0</v>
      </c>
      <c r="CA12" s="40"/>
      <c r="CB12" s="40"/>
      <c r="CC12" s="40"/>
    </row>
    <row r="13" spans="1:81" ht="15" hidden="1">
      <c r="A13" s="453">
        <f t="shared" si="57"/>
        <v>4</v>
      </c>
      <c r="B13" s="454" t="s">
        <v>370</v>
      </c>
      <c r="C13" s="486" t="s">
        <v>377</v>
      </c>
      <c r="D13" s="487"/>
      <c r="E13" s="457" t="s">
        <v>372</v>
      </c>
      <c r="F13" s="458"/>
      <c r="G13" s="459">
        <v>10</v>
      </c>
      <c r="H13" s="460">
        <v>10</v>
      </c>
      <c r="I13" s="461" t="s">
        <v>373</v>
      </c>
      <c r="J13" s="462">
        <v>15000</v>
      </c>
      <c r="K13" s="489"/>
      <c r="L13" s="465">
        <v>0</v>
      </c>
      <c r="M13" s="466"/>
      <c r="N13" s="466"/>
      <c r="O13" s="466"/>
      <c r="P13" s="466"/>
      <c r="Q13" s="467">
        <f t="shared" si="6"/>
        <v>15000</v>
      </c>
      <c r="R13" s="483">
        <f t="shared" si="7"/>
        <v>15450</v>
      </c>
      <c r="S13" s="483">
        <f t="shared" si="7"/>
        <v>15913.5</v>
      </c>
      <c r="T13" s="483">
        <f t="shared" si="7"/>
        <v>16390.904999999999</v>
      </c>
      <c r="U13" s="483">
        <f t="shared" si="7"/>
        <v>16882.632149999998</v>
      </c>
      <c r="V13" s="468">
        <f t="shared" si="8"/>
        <v>0</v>
      </c>
      <c r="W13" s="468">
        <f t="shared" si="8"/>
        <v>0</v>
      </c>
      <c r="X13" s="468">
        <f t="shared" si="8"/>
        <v>0</v>
      </c>
      <c r="Y13" s="468">
        <f t="shared" si="8"/>
        <v>0</v>
      </c>
      <c r="Z13" s="468">
        <f t="shared" si="8"/>
        <v>0</v>
      </c>
      <c r="AA13" s="469">
        <f t="shared" si="9"/>
        <v>0</v>
      </c>
      <c r="AB13" s="470">
        <f t="shared" si="10"/>
        <v>0</v>
      </c>
      <c r="AC13" s="471">
        <f t="shared" si="11"/>
        <v>0</v>
      </c>
      <c r="AD13" s="471">
        <f t="shared" si="12"/>
        <v>0</v>
      </c>
      <c r="AE13" s="472">
        <v>1E-3</v>
      </c>
      <c r="AF13" s="471">
        <f t="shared" si="13"/>
        <v>0</v>
      </c>
      <c r="AG13" s="471">
        <f t="shared" si="14"/>
        <v>0</v>
      </c>
      <c r="AH13" s="473">
        <f t="shared" si="15"/>
        <v>0</v>
      </c>
      <c r="AI13" s="484">
        <f t="shared" si="16"/>
        <v>0</v>
      </c>
      <c r="AJ13" s="474">
        <f t="shared" si="17"/>
        <v>0</v>
      </c>
      <c r="AK13" s="471">
        <f t="shared" si="18"/>
        <v>0</v>
      </c>
      <c r="AL13" s="475">
        <f t="shared" si="19"/>
        <v>8.5000000000000006E-3</v>
      </c>
      <c r="AM13" s="471">
        <f t="shared" si="50"/>
        <v>0</v>
      </c>
      <c r="AN13" s="471">
        <f t="shared" si="20"/>
        <v>0</v>
      </c>
      <c r="AO13" s="476">
        <f t="shared" si="21"/>
        <v>0</v>
      </c>
      <c r="AP13" s="484">
        <f t="shared" si="22"/>
        <v>0</v>
      </c>
      <c r="AQ13" s="485">
        <f t="shared" si="23"/>
        <v>0</v>
      </c>
      <c r="AR13" s="471">
        <f t="shared" si="24"/>
        <v>0</v>
      </c>
      <c r="AS13" s="475">
        <f t="shared" si="25"/>
        <v>1.6E-2</v>
      </c>
      <c r="AT13" s="471">
        <f t="shared" si="51"/>
        <v>0</v>
      </c>
      <c r="AU13" s="471">
        <f t="shared" si="26"/>
        <v>0</v>
      </c>
      <c r="AV13" s="476">
        <f t="shared" si="27"/>
        <v>0</v>
      </c>
      <c r="AW13" s="484">
        <f t="shared" si="28"/>
        <v>0</v>
      </c>
      <c r="AX13" s="474">
        <f t="shared" si="29"/>
        <v>0</v>
      </c>
      <c r="AY13" s="471">
        <f t="shared" si="30"/>
        <v>0</v>
      </c>
      <c r="AZ13" s="475">
        <f t="shared" si="31"/>
        <v>2.35E-2</v>
      </c>
      <c r="BA13" s="471">
        <f t="shared" si="52"/>
        <v>0</v>
      </c>
      <c r="BB13" s="471">
        <f t="shared" si="32"/>
        <v>0</v>
      </c>
      <c r="BC13" s="476">
        <f t="shared" si="33"/>
        <v>0</v>
      </c>
      <c r="BD13" s="484">
        <f t="shared" si="34"/>
        <v>0</v>
      </c>
      <c r="BE13" s="474">
        <f t="shared" si="35"/>
        <v>0</v>
      </c>
      <c r="BF13" s="471">
        <f t="shared" si="36"/>
        <v>0</v>
      </c>
      <c r="BG13" s="475">
        <f t="shared" si="37"/>
        <v>3.1E-2</v>
      </c>
      <c r="BH13" s="471">
        <f t="shared" si="53"/>
        <v>0</v>
      </c>
      <c r="BI13" s="471">
        <f t="shared" si="38"/>
        <v>0</v>
      </c>
      <c r="BJ13" s="473">
        <f t="shared" si="39"/>
        <v>0</v>
      </c>
      <c r="BK13" s="479">
        <f t="shared" si="40"/>
        <v>0</v>
      </c>
      <c r="BL13" s="480">
        <f t="shared" si="40"/>
        <v>0</v>
      </c>
      <c r="BM13" s="480">
        <f t="shared" si="41"/>
        <v>0</v>
      </c>
      <c r="BN13" s="480">
        <f t="shared" si="41"/>
        <v>0</v>
      </c>
      <c r="BO13" s="480">
        <f t="shared" si="42"/>
        <v>0</v>
      </c>
      <c r="BP13" s="480">
        <f t="shared" si="43"/>
        <v>0</v>
      </c>
      <c r="BQ13" s="480">
        <f t="shared" si="44"/>
        <v>0</v>
      </c>
      <c r="BR13" s="480">
        <f t="shared" si="45"/>
        <v>0</v>
      </c>
      <c r="BS13" s="480">
        <f t="shared" si="46"/>
        <v>0</v>
      </c>
      <c r="BT13" s="480">
        <f t="shared" si="47"/>
        <v>0</v>
      </c>
      <c r="BU13" s="480">
        <f t="shared" si="48"/>
        <v>0</v>
      </c>
      <c r="BV13" s="480">
        <f t="shared" si="49"/>
        <v>0</v>
      </c>
      <c r="BW13" s="38"/>
      <c r="BX13" s="39">
        <f t="shared" si="54"/>
        <v>0</v>
      </c>
      <c r="BY13" s="39">
        <f t="shared" si="55"/>
        <v>0</v>
      </c>
      <c r="BZ13" s="39">
        <f t="shared" si="56"/>
        <v>0</v>
      </c>
      <c r="CA13" s="40"/>
      <c r="CB13" s="40"/>
      <c r="CC13" s="40"/>
    </row>
    <row r="14" spans="1:81" ht="15" hidden="1">
      <c r="A14" s="453">
        <f t="shared" si="57"/>
        <v>5</v>
      </c>
      <c r="B14" s="454" t="s">
        <v>370</v>
      </c>
      <c r="C14" s="486" t="s">
        <v>378</v>
      </c>
      <c r="D14" s="487"/>
      <c r="E14" s="457" t="s">
        <v>372</v>
      </c>
      <c r="F14" s="458"/>
      <c r="G14" s="459">
        <v>5</v>
      </c>
      <c r="H14" s="460">
        <v>5</v>
      </c>
      <c r="I14" s="461" t="s">
        <v>373</v>
      </c>
      <c r="J14" s="462">
        <v>7500</v>
      </c>
      <c r="K14" s="463"/>
      <c r="L14" s="490">
        <v>0</v>
      </c>
      <c r="M14" s="466"/>
      <c r="N14" s="466"/>
      <c r="O14" s="466"/>
      <c r="P14" s="466"/>
      <c r="Q14" s="467">
        <f t="shared" si="6"/>
        <v>7500</v>
      </c>
      <c r="R14" s="483">
        <f t="shared" si="7"/>
        <v>7725</v>
      </c>
      <c r="S14" s="483">
        <f t="shared" si="7"/>
        <v>7956.75</v>
      </c>
      <c r="T14" s="483">
        <f t="shared" si="7"/>
        <v>8195.4524999999994</v>
      </c>
      <c r="U14" s="483">
        <f t="shared" si="7"/>
        <v>8441.3160749999988</v>
      </c>
      <c r="V14" s="468">
        <f t="shared" si="8"/>
        <v>0</v>
      </c>
      <c r="W14" s="468">
        <f t="shared" si="8"/>
        <v>0</v>
      </c>
      <c r="X14" s="468">
        <f t="shared" si="8"/>
        <v>0</v>
      </c>
      <c r="Y14" s="468">
        <f t="shared" si="8"/>
        <v>0</v>
      </c>
      <c r="Z14" s="468">
        <f t="shared" si="8"/>
        <v>0</v>
      </c>
      <c r="AA14" s="469">
        <f t="shared" si="9"/>
        <v>0</v>
      </c>
      <c r="AB14" s="470">
        <f t="shared" si="10"/>
        <v>0</v>
      </c>
      <c r="AC14" s="471">
        <f t="shared" si="11"/>
        <v>0</v>
      </c>
      <c r="AD14" s="471">
        <f t="shared" si="12"/>
        <v>0</v>
      </c>
      <c r="AE14" s="472">
        <v>1E-3</v>
      </c>
      <c r="AF14" s="471">
        <f t="shared" si="13"/>
        <v>0</v>
      </c>
      <c r="AG14" s="471">
        <f t="shared" si="14"/>
        <v>0</v>
      </c>
      <c r="AH14" s="473">
        <f t="shared" si="15"/>
        <v>0</v>
      </c>
      <c r="AI14" s="484">
        <f t="shared" si="16"/>
        <v>0</v>
      </c>
      <c r="AJ14" s="474">
        <f t="shared" si="17"/>
        <v>0</v>
      </c>
      <c r="AK14" s="471">
        <f t="shared" si="18"/>
        <v>0</v>
      </c>
      <c r="AL14" s="475">
        <f t="shared" si="19"/>
        <v>8.5000000000000006E-3</v>
      </c>
      <c r="AM14" s="471">
        <f t="shared" si="50"/>
        <v>0</v>
      </c>
      <c r="AN14" s="471">
        <f t="shared" si="20"/>
        <v>0</v>
      </c>
      <c r="AO14" s="476">
        <f t="shared" si="21"/>
        <v>0</v>
      </c>
      <c r="AP14" s="484">
        <f t="shared" si="22"/>
        <v>0</v>
      </c>
      <c r="AQ14" s="485">
        <f t="shared" si="23"/>
        <v>0</v>
      </c>
      <c r="AR14" s="471">
        <f t="shared" si="24"/>
        <v>0</v>
      </c>
      <c r="AS14" s="475">
        <f t="shared" si="25"/>
        <v>1.6E-2</v>
      </c>
      <c r="AT14" s="471">
        <f t="shared" si="51"/>
        <v>0</v>
      </c>
      <c r="AU14" s="471">
        <f t="shared" si="26"/>
        <v>0</v>
      </c>
      <c r="AV14" s="476">
        <f t="shared" si="27"/>
        <v>0</v>
      </c>
      <c r="AW14" s="484">
        <f t="shared" si="28"/>
        <v>0</v>
      </c>
      <c r="AX14" s="474">
        <f t="shared" si="29"/>
        <v>0</v>
      </c>
      <c r="AY14" s="471">
        <f t="shared" si="30"/>
        <v>0</v>
      </c>
      <c r="AZ14" s="475">
        <f t="shared" si="31"/>
        <v>2.35E-2</v>
      </c>
      <c r="BA14" s="471">
        <f t="shared" si="52"/>
        <v>0</v>
      </c>
      <c r="BB14" s="471">
        <f t="shared" si="32"/>
        <v>0</v>
      </c>
      <c r="BC14" s="476">
        <f t="shared" si="33"/>
        <v>0</v>
      </c>
      <c r="BD14" s="484">
        <f t="shared" si="34"/>
        <v>0</v>
      </c>
      <c r="BE14" s="474">
        <f t="shared" si="35"/>
        <v>0</v>
      </c>
      <c r="BF14" s="471">
        <f t="shared" si="36"/>
        <v>0</v>
      </c>
      <c r="BG14" s="475">
        <f t="shared" si="37"/>
        <v>3.1E-2</v>
      </c>
      <c r="BH14" s="471">
        <f t="shared" si="53"/>
        <v>0</v>
      </c>
      <c r="BI14" s="471">
        <f t="shared" si="38"/>
        <v>0</v>
      </c>
      <c r="BJ14" s="473">
        <f t="shared" si="39"/>
        <v>0</v>
      </c>
      <c r="BK14" s="479">
        <f t="shared" si="40"/>
        <v>0</v>
      </c>
      <c r="BL14" s="480">
        <f t="shared" si="40"/>
        <v>0</v>
      </c>
      <c r="BM14" s="480">
        <f t="shared" si="41"/>
        <v>0</v>
      </c>
      <c r="BN14" s="480">
        <f t="shared" si="41"/>
        <v>0</v>
      </c>
      <c r="BO14" s="480">
        <f t="shared" si="42"/>
        <v>0</v>
      </c>
      <c r="BP14" s="480">
        <f t="shared" si="43"/>
        <v>0</v>
      </c>
      <c r="BQ14" s="480">
        <f t="shared" si="44"/>
        <v>0</v>
      </c>
      <c r="BR14" s="480">
        <f t="shared" si="45"/>
        <v>0</v>
      </c>
      <c r="BS14" s="480">
        <f t="shared" si="46"/>
        <v>0</v>
      </c>
      <c r="BT14" s="480">
        <f t="shared" si="47"/>
        <v>0</v>
      </c>
      <c r="BU14" s="480">
        <f t="shared" si="48"/>
        <v>0</v>
      </c>
      <c r="BV14" s="480">
        <f t="shared" si="49"/>
        <v>0</v>
      </c>
      <c r="BW14" s="38"/>
      <c r="BX14" s="39">
        <f t="shared" si="54"/>
        <v>0</v>
      </c>
      <c r="BY14" s="39">
        <f t="shared" si="55"/>
        <v>0</v>
      </c>
      <c r="BZ14" s="39">
        <f t="shared" si="56"/>
        <v>0</v>
      </c>
      <c r="CA14" s="40"/>
      <c r="CB14" s="40"/>
      <c r="CC14" s="40"/>
    </row>
    <row r="15" spans="1:81" ht="15" hidden="1">
      <c r="A15" s="453">
        <f t="shared" si="57"/>
        <v>6</v>
      </c>
      <c r="B15" s="454" t="s">
        <v>370</v>
      </c>
      <c r="C15" s="486" t="s">
        <v>379</v>
      </c>
      <c r="D15" s="487"/>
      <c r="E15" s="457" t="s">
        <v>372</v>
      </c>
      <c r="F15" s="458"/>
      <c r="G15" s="459">
        <v>5</v>
      </c>
      <c r="H15" s="460">
        <v>5</v>
      </c>
      <c r="I15" s="461" t="s">
        <v>373</v>
      </c>
      <c r="J15" s="462">
        <v>8500</v>
      </c>
      <c r="K15" s="463"/>
      <c r="L15" s="490">
        <v>0</v>
      </c>
      <c r="M15" s="466"/>
      <c r="N15" s="466"/>
      <c r="O15" s="466"/>
      <c r="P15" s="466"/>
      <c r="Q15" s="467">
        <f t="shared" ref="Q15" si="58">J15</f>
        <v>8500</v>
      </c>
      <c r="R15" s="483">
        <f t="shared" ref="R15:R17" si="59">Q15*R$3+Q15</f>
        <v>8755</v>
      </c>
      <c r="S15" s="483">
        <f t="shared" ref="S15:S16" si="60">R15*S$3+R15</f>
        <v>9017.65</v>
      </c>
      <c r="T15" s="483">
        <f t="shared" ref="T15:T16" si="61">S15*T$3+S15</f>
        <v>9288.1795000000002</v>
      </c>
      <c r="U15" s="483">
        <f t="shared" ref="U15:U16" si="62">T15*U$3+T15</f>
        <v>9566.824885</v>
      </c>
      <c r="V15" s="468">
        <f t="shared" ref="V15:V17" si="63">Q15*L15</f>
        <v>0</v>
      </c>
      <c r="W15" s="468">
        <f t="shared" ref="W15:W16" si="64">R15*M15</f>
        <v>0</v>
      </c>
      <c r="X15" s="468">
        <f t="shared" ref="X15:X16" si="65">S15*N15</f>
        <v>0</v>
      </c>
      <c r="Y15" s="468">
        <f t="shared" ref="Y15:Y16" si="66">T15*O15</f>
        <v>0</v>
      </c>
      <c r="Z15" s="468">
        <f t="shared" ref="Z15:Z16" si="67">U15*P15</f>
        <v>0</v>
      </c>
      <c r="AA15" s="469">
        <f t="shared" ref="AA15" si="68">SUM(V15:Z15)</f>
        <v>0</v>
      </c>
      <c r="AB15" s="470">
        <f t="shared" ref="AB15" si="69">SUM(AC15:AD15)</f>
        <v>0</v>
      </c>
      <c r="AC15" s="471">
        <f t="shared" ref="AC15" si="70">V15/$G15</f>
        <v>0</v>
      </c>
      <c r="AD15" s="471">
        <f t="shared" ref="AD15" si="71">-IPMT(AB$3/12,$AD$3,$H15*12,V15,0)*12</f>
        <v>0</v>
      </c>
      <c r="AE15" s="472">
        <v>1E-3</v>
      </c>
      <c r="AF15" s="471">
        <f t="shared" ref="AF15" si="72">V15*AE15</f>
        <v>0</v>
      </c>
      <c r="AG15" s="471">
        <f t="shared" ref="AG15" si="73">V15*AG$3</f>
        <v>0</v>
      </c>
      <c r="AH15" s="473">
        <f t="shared" ref="AH15" si="74">V15-AC15+W15</f>
        <v>0</v>
      </c>
      <c r="AI15" s="484">
        <f t="shared" ref="AI15" si="75">SUM(AJ15:AK15)</f>
        <v>0</v>
      </c>
      <c r="AJ15" s="474">
        <f t="shared" ref="AJ15" si="76">SUM(W15/G15)+AC15</f>
        <v>0</v>
      </c>
      <c r="AK15" s="471">
        <f t="shared" ref="AK15" si="77">-IPMT(AI$3/12,$AK$3,$H15*12,AH15,0)*12</f>
        <v>0</v>
      </c>
      <c r="AL15" s="475">
        <f t="shared" ref="AL15" si="78">IF(AE15=0,0,AE15+AL$3)</f>
        <v>8.5000000000000006E-3</v>
      </c>
      <c r="AM15" s="471">
        <f t="shared" ref="AM15" si="79">AL15*V15+AE15*W15</f>
        <v>0</v>
      </c>
      <c r="AN15" s="471">
        <f t="shared" ref="AN15" si="80">AH15*AN$3</f>
        <v>0</v>
      </c>
      <c r="AO15" s="476">
        <f t="shared" ref="AO15" si="81">SUM(AH15+W15)-AJ15+IF(G15=2,L15*R15)</f>
        <v>0</v>
      </c>
      <c r="AP15" s="484">
        <f t="shared" ref="AP15" si="82">SUM(AQ15:AR15)</f>
        <v>0</v>
      </c>
      <c r="AQ15" s="485">
        <f t="shared" ref="AQ15" si="83">SUM(X15/G15)+AJ15</f>
        <v>0</v>
      </c>
      <c r="AR15" s="471">
        <f t="shared" ref="AR15" si="84">-IPMT(AP$3/12,$AR$3,$G15*12,AO15,0)*12</f>
        <v>0</v>
      </c>
      <c r="AS15" s="475">
        <f t="shared" ref="AS15" si="85">IF(AL15=0,0,AL15+AS$3)</f>
        <v>1.6E-2</v>
      </c>
      <c r="AT15" s="471">
        <f t="shared" ref="AT15" si="86">AS15*V15+W15*AL15+AE15*X15</f>
        <v>0</v>
      </c>
      <c r="AU15" s="471">
        <f t="shared" ref="AU15" si="87">AO15*AU$3</f>
        <v>0</v>
      </c>
      <c r="AV15" s="476">
        <f t="shared" ref="AV15" si="88">SUM(AO15+X15)-AQ15+IF(G15=3,L15*S15)</f>
        <v>0</v>
      </c>
      <c r="AW15" s="484">
        <f t="shared" ref="AW15" si="89">SUM(AX15:AY15)</f>
        <v>0</v>
      </c>
      <c r="AX15" s="474">
        <f t="shared" ref="AX15" si="90">IF(G15=3,AV15/3,SUM(Y15/G15)+AQ15)</f>
        <v>0</v>
      </c>
      <c r="AY15" s="471">
        <f t="shared" ref="AY15" si="91">-IPMT(AW$3/12,$AY$3,$G15*12,AV15,0)*12</f>
        <v>0</v>
      </c>
      <c r="AZ15" s="475">
        <f t="shared" ref="AZ15" si="92">IF(AS15=0,0,AS15+AZ$3)</f>
        <v>2.35E-2</v>
      </c>
      <c r="BA15" s="471">
        <f t="shared" ref="BA15" si="93">AZ15*V15+W15*AS15+AL15*X15+Y15*AE15</f>
        <v>0</v>
      </c>
      <c r="BB15" s="471">
        <f t="shared" ref="BB15" si="94">AV15*BB$3</f>
        <v>0</v>
      </c>
      <c r="BC15" s="476">
        <f t="shared" ref="BC15" si="95">AV15-AX15+Z15++IF(G15=4,V15)</f>
        <v>0</v>
      </c>
      <c r="BD15" s="484">
        <f t="shared" ref="BD15" si="96">SUM(BE15:BF15)</f>
        <v>0</v>
      </c>
      <c r="BE15" s="474">
        <f t="shared" ref="BE15" si="97">SUM(Z15/G15)+AX15</f>
        <v>0</v>
      </c>
      <c r="BF15" s="471">
        <f t="shared" ref="BF15" si="98">-IPMT(BD$3/12,$BF$3,$G15*12,BC15,0)*12</f>
        <v>0</v>
      </c>
      <c r="BG15" s="475">
        <f t="shared" ref="BG15" si="99">IF(AZ15=0,0,AZ15+BG$3)</f>
        <v>3.1E-2</v>
      </c>
      <c r="BH15" s="471">
        <f t="shared" ref="BH15" si="100">BG15*V15+W15*AZ15+AS15*X15+Y15*AL15+Z15*AE15</f>
        <v>0</v>
      </c>
      <c r="BI15" s="471">
        <f t="shared" ref="BI15" si="101">BC15*BI$3</f>
        <v>0</v>
      </c>
      <c r="BJ15" s="473">
        <f t="shared" ref="BJ15" si="102">BC15-BE15</f>
        <v>0</v>
      </c>
      <c r="BK15" s="479">
        <f t="shared" ref="BK15:BK16" si="103">AC15+AJ15+AQ15+AX15+BE15</f>
        <v>0</v>
      </c>
      <c r="BL15" s="480">
        <f t="shared" ref="BL15:BL16" si="104">AD15+AK15+AR15+AY15+BF15</f>
        <v>0</v>
      </c>
      <c r="BM15" s="480">
        <f t="shared" ref="BM15:BM16" si="105">BH15+BA15+AT15++AM15+AF15</f>
        <v>0</v>
      </c>
      <c r="BN15" s="480">
        <f t="shared" ref="BN15:BN16" si="106">BI15+BB15+AU15++AN15+AG15</f>
        <v>0</v>
      </c>
      <c r="BO15" s="480">
        <f t="shared" ref="BO15" si="107">SUM(BK15:BL15)</f>
        <v>0</v>
      </c>
      <c r="BP15" s="480">
        <f t="shared" ref="BP15" si="108">BM15+BN15+BO15</f>
        <v>0</v>
      </c>
      <c r="BQ15" s="480">
        <f t="shared" ref="BQ15" si="109">AB15+AI15+AP15+AW15+BD15</f>
        <v>0</v>
      </c>
      <c r="BR15" s="480">
        <f t="shared" ref="BR15" si="110">BQ15-BO15</f>
        <v>0</v>
      </c>
      <c r="BS15" s="480">
        <f t="shared" ref="BS15" si="111">AA15-BK15</f>
        <v>0</v>
      </c>
      <c r="BT15" s="480">
        <f t="shared" ref="BT15" si="112">BJ15-BS15</f>
        <v>0</v>
      </c>
      <c r="BU15" s="480">
        <f t="shared" ref="BU15" si="113">BT15+BS15</f>
        <v>0</v>
      </c>
      <c r="BV15" s="480">
        <f t="shared" ref="BV15" si="114">BJ15-BU15</f>
        <v>0</v>
      </c>
      <c r="BW15" s="38"/>
      <c r="BX15" s="39">
        <f t="shared" ref="BX15" si="115">(AB15+AF15+AG15)/$BX$8</f>
        <v>0</v>
      </c>
      <c r="BY15" s="39">
        <f t="shared" ref="BY15" si="116">(AI15+AM15+AN15)/$BY$8</f>
        <v>0</v>
      </c>
      <c r="BZ15" s="39">
        <f t="shared" ref="BZ15" si="117">(AP15+AT15+AU15)/$BZ$8</f>
        <v>0</v>
      </c>
      <c r="CA15" s="40"/>
      <c r="CB15" s="40"/>
      <c r="CC15" s="40"/>
    </row>
    <row r="16" spans="1:81" ht="15" hidden="1">
      <c r="A16" s="453">
        <f t="shared" si="57"/>
        <v>7</v>
      </c>
      <c r="B16" s="454" t="s">
        <v>370</v>
      </c>
      <c r="C16" s="486" t="s">
        <v>380</v>
      </c>
      <c r="D16" s="487"/>
      <c r="E16" s="457" t="s">
        <v>381</v>
      </c>
      <c r="F16" s="458"/>
      <c r="G16" s="459">
        <v>5</v>
      </c>
      <c r="H16" s="460">
        <v>5</v>
      </c>
      <c r="I16" s="461" t="s">
        <v>373</v>
      </c>
      <c r="J16" s="462">
        <v>500</v>
      </c>
      <c r="K16" s="482"/>
      <c r="L16" s="491">
        <v>0</v>
      </c>
      <c r="M16" s="491"/>
      <c r="N16" s="491"/>
      <c r="O16" s="466"/>
      <c r="P16" s="466"/>
      <c r="Q16" s="467">
        <f t="shared" si="6"/>
        <v>500</v>
      </c>
      <c r="R16" s="483">
        <f t="shared" si="59"/>
        <v>515</v>
      </c>
      <c r="S16" s="483">
        <f t="shared" si="60"/>
        <v>530.45000000000005</v>
      </c>
      <c r="T16" s="483">
        <f t="shared" si="61"/>
        <v>546.36350000000004</v>
      </c>
      <c r="U16" s="483">
        <f t="shared" si="62"/>
        <v>562.75440500000002</v>
      </c>
      <c r="V16" s="468">
        <f t="shared" si="63"/>
        <v>0</v>
      </c>
      <c r="W16" s="468">
        <f t="shared" si="64"/>
        <v>0</v>
      </c>
      <c r="X16" s="468">
        <f t="shared" si="65"/>
        <v>0</v>
      </c>
      <c r="Y16" s="468">
        <f t="shared" si="66"/>
        <v>0</v>
      </c>
      <c r="Z16" s="468">
        <f t="shared" si="67"/>
        <v>0</v>
      </c>
      <c r="AA16" s="469">
        <f t="shared" si="9"/>
        <v>0</v>
      </c>
      <c r="AB16" s="470">
        <f t="shared" si="10"/>
        <v>0</v>
      </c>
      <c r="AC16" s="471">
        <f t="shared" si="11"/>
        <v>0</v>
      </c>
      <c r="AD16" s="471">
        <f t="shared" si="12"/>
        <v>0</v>
      </c>
      <c r="AE16" s="472">
        <v>0.05</v>
      </c>
      <c r="AF16" s="471">
        <f t="shared" si="13"/>
        <v>0</v>
      </c>
      <c r="AG16" s="471">
        <f t="shared" si="14"/>
        <v>0</v>
      </c>
      <c r="AH16" s="473">
        <f t="shared" si="15"/>
        <v>0</v>
      </c>
      <c r="AI16" s="484">
        <f t="shared" si="16"/>
        <v>0</v>
      </c>
      <c r="AJ16" s="474">
        <f t="shared" si="17"/>
        <v>0</v>
      </c>
      <c r="AK16" s="471">
        <f t="shared" si="18"/>
        <v>0</v>
      </c>
      <c r="AL16" s="475">
        <f t="shared" si="19"/>
        <v>5.7500000000000002E-2</v>
      </c>
      <c r="AM16" s="471">
        <f t="shared" si="50"/>
        <v>0</v>
      </c>
      <c r="AN16" s="471">
        <f t="shared" si="20"/>
        <v>0</v>
      </c>
      <c r="AO16" s="476">
        <f t="shared" si="21"/>
        <v>0</v>
      </c>
      <c r="AP16" s="484">
        <f t="shared" si="22"/>
        <v>0</v>
      </c>
      <c r="AQ16" s="485">
        <f t="shared" si="23"/>
        <v>0</v>
      </c>
      <c r="AR16" s="471">
        <f t="shared" si="24"/>
        <v>0</v>
      </c>
      <c r="AS16" s="475">
        <f t="shared" si="25"/>
        <v>6.5000000000000002E-2</v>
      </c>
      <c r="AT16" s="471">
        <f t="shared" si="51"/>
        <v>0</v>
      </c>
      <c r="AU16" s="471">
        <f t="shared" si="26"/>
        <v>0</v>
      </c>
      <c r="AV16" s="476">
        <f t="shared" si="27"/>
        <v>0</v>
      </c>
      <c r="AW16" s="484">
        <f t="shared" si="28"/>
        <v>0</v>
      </c>
      <c r="AX16" s="474">
        <f t="shared" si="29"/>
        <v>0</v>
      </c>
      <c r="AY16" s="471">
        <f t="shared" si="30"/>
        <v>0</v>
      </c>
      <c r="AZ16" s="475">
        <f t="shared" si="31"/>
        <v>7.2500000000000009E-2</v>
      </c>
      <c r="BA16" s="471">
        <f t="shared" si="52"/>
        <v>0</v>
      </c>
      <c r="BB16" s="471">
        <f t="shared" si="32"/>
        <v>0</v>
      </c>
      <c r="BC16" s="476">
        <f t="shared" si="33"/>
        <v>0</v>
      </c>
      <c r="BD16" s="484">
        <f t="shared" si="34"/>
        <v>0</v>
      </c>
      <c r="BE16" s="474">
        <f t="shared" si="35"/>
        <v>0</v>
      </c>
      <c r="BF16" s="471">
        <f t="shared" si="36"/>
        <v>0</v>
      </c>
      <c r="BG16" s="475">
        <f t="shared" si="37"/>
        <v>8.0000000000000016E-2</v>
      </c>
      <c r="BH16" s="471">
        <f t="shared" si="53"/>
        <v>0</v>
      </c>
      <c r="BI16" s="471">
        <f t="shared" si="38"/>
        <v>0</v>
      </c>
      <c r="BJ16" s="473">
        <f t="shared" si="39"/>
        <v>0</v>
      </c>
      <c r="BK16" s="479">
        <f t="shared" si="103"/>
        <v>0</v>
      </c>
      <c r="BL16" s="480">
        <f t="shared" si="104"/>
        <v>0</v>
      </c>
      <c r="BM16" s="480">
        <f t="shared" si="105"/>
        <v>0</v>
      </c>
      <c r="BN16" s="480">
        <f t="shared" si="106"/>
        <v>0</v>
      </c>
      <c r="BO16" s="480">
        <f t="shared" si="42"/>
        <v>0</v>
      </c>
      <c r="BP16" s="480">
        <f t="shared" si="43"/>
        <v>0</v>
      </c>
      <c r="BQ16" s="480">
        <f t="shared" si="44"/>
        <v>0</v>
      </c>
      <c r="BR16" s="480">
        <f t="shared" si="45"/>
        <v>0</v>
      </c>
      <c r="BS16" s="480">
        <f t="shared" si="46"/>
        <v>0</v>
      </c>
      <c r="BT16" s="480">
        <f t="shared" si="47"/>
        <v>0</v>
      </c>
      <c r="BU16" s="480">
        <f t="shared" si="48"/>
        <v>0</v>
      </c>
      <c r="BV16" s="480">
        <f t="shared" si="49"/>
        <v>0</v>
      </c>
      <c r="BW16" s="38"/>
      <c r="BX16" s="39">
        <f t="shared" si="54"/>
        <v>0</v>
      </c>
      <c r="BY16" s="39">
        <f t="shared" si="55"/>
        <v>0</v>
      </c>
      <c r="BZ16" s="39">
        <f t="shared" si="56"/>
        <v>0</v>
      </c>
      <c r="CA16" s="40"/>
      <c r="CB16" s="40"/>
      <c r="CC16" s="40"/>
    </row>
    <row r="17" spans="1:81" ht="15">
      <c r="A17" s="453">
        <f t="shared" si="57"/>
        <v>8</v>
      </c>
      <c r="B17" s="454" t="s">
        <v>382</v>
      </c>
      <c r="C17" s="455" t="s">
        <v>383</v>
      </c>
      <c r="D17" s="456"/>
      <c r="E17" s="457" t="s">
        <v>372</v>
      </c>
      <c r="F17" s="458"/>
      <c r="G17" s="459">
        <v>3</v>
      </c>
      <c r="H17" s="460">
        <v>3</v>
      </c>
      <c r="I17" s="461" t="s">
        <v>373</v>
      </c>
      <c r="J17" s="462">
        <v>58500</v>
      </c>
      <c r="K17" s="463"/>
      <c r="L17" s="490">
        <f>ARM!C49</f>
        <v>5</v>
      </c>
      <c r="M17" s="465"/>
      <c r="N17" s="465"/>
      <c r="O17" s="465"/>
      <c r="P17" s="465"/>
      <c r="Q17" s="467">
        <f t="shared" si="6"/>
        <v>58500</v>
      </c>
      <c r="R17" s="483">
        <f t="shared" si="59"/>
        <v>60255</v>
      </c>
      <c r="S17" s="483">
        <f t="shared" si="7"/>
        <v>62062.65</v>
      </c>
      <c r="T17" s="483">
        <f t="shared" si="7"/>
        <v>63924.529500000004</v>
      </c>
      <c r="U17" s="483">
        <f t="shared" si="7"/>
        <v>65842.265385000006</v>
      </c>
      <c r="V17" s="468">
        <f t="shared" si="63"/>
        <v>292500</v>
      </c>
      <c r="W17" s="468">
        <f t="shared" si="8"/>
        <v>0</v>
      </c>
      <c r="X17" s="468">
        <f t="shared" si="8"/>
        <v>0</v>
      </c>
      <c r="Y17" s="468">
        <f t="shared" si="8"/>
        <v>0</v>
      </c>
      <c r="Z17" s="468">
        <f t="shared" si="8"/>
        <v>0</v>
      </c>
      <c r="AA17" s="469">
        <f t="shared" si="9"/>
        <v>292500</v>
      </c>
      <c r="AB17" s="470">
        <f t="shared" si="10"/>
        <v>123190.84691868197</v>
      </c>
      <c r="AC17" s="471">
        <f t="shared" si="11"/>
        <v>97500</v>
      </c>
      <c r="AD17" s="471">
        <f t="shared" si="12"/>
        <v>25690.846918681971</v>
      </c>
      <c r="AE17" s="472">
        <v>0.05</v>
      </c>
      <c r="AF17" s="471">
        <f t="shared" si="13"/>
        <v>14625</v>
      </c>
      <c r="AG17" s="471">
        <f t="shared" si="14"/>
        <v>731.25</v>
      </c>
      <c r="AH17" s="473">
        <f t="shared" si="15"/>
        <v>195000</v>
      </c>
      <c r="AI17" s="484">
        <f t="shared" si="16"/>
        <v>114627.2312791213</v>
      </c>
      <c r="AJ17" s="474">
        <f t="shared" si="17"/>
        <v>97500</v>
      </c>
      <c r="AK17" s="471">
        <f t="shared" si="18"/>
        <v>17127.231279121312</v>
      </c>
      <c r="AL17" s="475">
        <f t="shared" si="19"/>
        <v>5.7500000000000002E-2</v>
      </c>
      <c r="AM17" s="471">
        <f t="shared" si="50"/>
        <v>16818.75</v>
      </c>
      <c r="AN17" s="471">
        <f t="shared" si="20"/>
        <v>497.25000000000006</v>
      </c>
      <c r="AO17" s="476">
        <f t="shared" si="21"/>
        <v>97500</v>
      </c>
      <c r="AP17" s="484">
        <f t="shared" si="22"/>
        <v>106063.61563956065</v>
      </c>
      <c r="AQ17" s="485">
        <f t="shared" si="23"/>
        <v>97500</v>
      </c>
      <c r="AR17" s="471">
        <f t="shared" si="24"/>
        <v>8563.6156395606558</v>
      </c>
      <c r="AS17" s="475">
        <f t="shared" si="25"/>
        <v>6.5000000000000002E-2</v>
      </c>
      <c r="AT17" s="471">
        <f t="shared" si="51"/>
        <v>19012.5</v>
      </c>
      <c r="AU17" s="471">
        <f t="shared" si="26"/>
        <v>253.5975</v>
      </c>
      <c r="AV17" s="476">
        <f t="shared" si="27"/>
        <v>310313.25</v>
      </c>
      <c r="AW17" s="484">
        <f t="shared" si="28"/>
        <v>130693.1694960297</v>
      </c>
      <c r="AX17" s="485">
        <f t="shared" si="29"/>
        <v>103437.75</v>
      </c>
      <c r="AY17" s="471">
        <f t="shared" si="30"/>
        <v>27255.419496029703</v>
      </c>
      <c r="AZ17" s="475">
        <f t="shared" si="31"/>
        <v>7.2500000000000009E-2</v>
      </c>
      <c r="BA17" s="471">
        <f t="shared" si="52"/>
        <v>21206.250000000004</v>
      </c>
      <c r="BB17" s="471">
        <f t="shared" si="32"/>
        <v>823.26725851499998</v>
      </c>
      <c r="BC17" s="476">
        <f t="shared" si="33"/>
        <v>206875.5</v>
      </c>
      <c r="BD17" s="484">
        <f t="shared" si="34"/>
        <v>121608.02966401979</v>
      </c>
      <c r="BE17" s="474">
        <f t="shared" si="35"/>
        <v>103437.75</v>
      </c>
      <c r="BF17" s="471">
        <f t="shared" si="36"/>
        <v>18170.279664019799</v>
      </c>
      <c r="BG17" s="475">
        <f t="shared" si="37"/>
        <v>8.0000000000000016E-2</v>
      </c>
      <c r="BH17" s="471">
        <f t="shared" si="53"/>
        <v>23400.000000000004</v>
      </c>
      <c r="BI17" s="471">
        <f t="shared" si="38"/>
        <v>559.82173579020002</v>
      </c>
      <c r="BJ17" s="473">
        <f t="shared" si="39"/>
        <v>103437.75</v>
      </c>
      <c r="BK17" s="479">
        <f t="shared" si="40"/>
        <v>499375.5</v>
      </c>
      <c r="BL17" s="480">
        <f t="shared" si="40"/>
        <v>96807.392997413437</v>
      </c>
      <c r="BM17" s="480">
        <f t="shared" si="41"/>
        <v>95062.5</v>
      </c>
      <c r="BN17" s="480">
        <f t="shared" si="41"/>
        <v>2865.1864943052001</v>
      </c>
      <c r="BO17" s="480">
        <f t="shared" si="42"/>
        <v>596182.89299741341</v>
      </c>
      <c r="BP17" s="480">
        <f t="shared" si="43"/>
        <v>694110.57949171867</v>
      </c>
      <c r="BQ17" s="480">
        <f t="shared" si="44"/>
        <v>596182.89299741352</v>
      </c>
      <c r="BR17" s="480">
        <f t="shared" si="45"/>
        <v>0</v>
      </c>
      <c r="BS17" s="480">
        <f t="shared" si="46"/>
        <v>-206875.5</v>
      </c>
      <c r="BT17" s="480">
        <f t="shared" si="47"/>
        <v>310313.25</v>
      </c>
      <c r="BU17" s="480">
        <f t="shared" si="48"/>
        <v>103437.75</v>
      </c>
      <c r="BV17" s="480">
        <f t="shared" si="49"/>
        <v>0</v>
      </c>
      <c r="BW17" s="41"/>
      <c r="BX17" s="39">
        <f t="shared" si="54"/>
        <v>11545.591409890165</v>
      </c>
      <c r="BY17" s="39">
        <f t="shared" si="55"/>
        <v>10995.269273260108</v>
      </c>
      <c r="BZ17" s="39">
        <f t="shared" si="56"/>
        <v>10444.142761630055</v>
      </c>
      <c r="CA17" s="40" t="s">
        <v>374</v>
      </c>
      <c r="CB17" s="40"/>
      <c r="CC17" s="40"/>
    </row>
    <row r="18" spans="1:81" ht="15">
      <c r="A18" s="453">
        <f t="shared" si="57"/>
        <v>9</v>
      </c>
      <c r="B18" s="454" t="s">
        <v>382</v>
      </c>
      <c r="C18" s="492" t="s">
        <v>384</v>
      </c>
      <c r="D18" s="456"/>
      <c r="E18" s="457" t="s">
        <v>372</v>
      </c>
      <c r="F18" s="458"/>
      <c r="G18" s="459">
        <v>3</v>
      </c>
      <c r="H18" s="460">
        <v>3</v>
      </c>
      <c r="I18" s="461" t="s">
        <v>373</v>
      </c>
      <c r="J18" s="462">
        <v>65000</v>
      </c>
      <c r="K18" s="463"/>
      <c r="L18" s="490">
        <f>ARM!C45+ARM!D46+ARM!C50</f>
        <v>4</v>
      </c>
      <c r="M18" s="465"/>
      <c r="N18" s="465"/>
      <c r="O18" s="465"/>
      <c r="P18" s="465"/>
      <c r="Q18" s="467">
        <f t="shared" si="6"/>
        <v>65000</v>
      </c>
      <c r="R18" s="483">
        <f t="shared" si="7"/>
        <v>66950</v>
      </c>
      <c r="S18" s="483">
        <f t="shared" si="7"/>
        <v>68958.5</v>
      </c>
      <c r="T18" s="483">
        <f t="shared" si="7"/>
        <v>71027.255000000005</v>
      </c>
      <c r="U18" s="483">
        <f t="shared" si="7"/>
        <v>73158.072650000002</v>
      </c>
      <c r="V18" s="468">
        <f t="shared" si="8"/>
        <v>260000</v>
      </c>
      <c r="W18" s="468">
        <f t="shared" si="8"/>
        <v>0</v>
      </c>
      <c r="X18" s="468">
        <f t="shared" si="8"/>
        <v>0</v>
      </c>
      <c r="Y18" s="468">
        <f t="shared" si="8"/>
        <v>0</v>
      </c>
      <c r="Z18" s="468">
        <f t="shared" si="8"/>
        <v>0</v>
      </c>
      <c r="AA18" s="469">
        <f t="shared" si="9"/>
        <v>260000</v>
      </c>
      <c r="AB18" s="470">
        <f t="shared" si="10"/>
        <v>109502.97503882842</v>
      </c>
      <c r="AC18" s="471">
        <f t="shared" si="11"/>
        <v>86666.666666666672</v>
      </c>
      <c r="AD18" s="471">
        <f t="shared" si="12"/>
        <v>22836.308372161751</v>
      </c>
      <c r="AE18" s="472">
        <v>0.05</v>
      </c>
      <c r="AF18" s="471">
        <f t="shared" si="13"/>
        <v>13000</v>
      </c>
      <c r="AG18" s="471">
        <f t="shared" si="14"/>
        <v>650</v>
      </c>
      <c r="AH18" s="473">
        <f t="shared" si="15"/>
        <v>173333.33333333331</v>
      </c>
      <c r="AI18" s="484">
        <f t="shared" si="16"/>
        <v>101890.87224810783</v>
      </c>
      <c r="AJ18" s="474">
        <f t="shared" si="17"/>
        <v>86666.666666666672</v>
      </c>
      <c r="AK18" s="471">
        <f t="shared" si="18"/>
        <v>15224.205581441165</v>
      </c>
      <c r="AL18" s="475">
        <f t="shared" si="19"/>
        <v>5.7500000000000002E-2</v>
      </c>
      <c r="AM18" s="471">
        <f t="shared" si="50"/>
        <v>14950</v>
      </c>
      <c r="AN18" s="471">
        <f t="shared" si="20"/>
        <v>442</v>
      </c>
      <c r="AO18" s="476">
        <f t="shared" si="21"/>
        <v>86666.666666666642</v>
      </c>
      <c r="AP18" s="484">
        <f t="shared" si="22"/>
        <v>94278.769457387258</v>
      </c>
      <c r="AQ18" s="485">
        <f t="shared" si="23"/>
        <v>86666.666666666672</v>
      </c>
      <c r="AR18" s="471">
        <f t="shared" si="24"/>
        <v>7612.1027907205807</v>
      </c>
      <c r="AS18" s="475">
        <f t="shared" si="25"/>
        <v>6.5000000000000002E-2</v>
      </c>
      <c r="AT18" s="471">
        <f t="shared" si="51"/>
        <v>16900</v>
      </c>
      <c r="AU18" s="471">
        <f t="shared" si="26"/>
        <v>225.41999999999993</v>
      </c>
      <c r="AV18" s="476">
        <f t="shared" si="27"/>
        <v>275834</v>
      </c>
      <c r="AW18" s="484">
        <f t="shared" si="28"/>
        <v>116171.70621869307</v>
      </c>
      <c r="AX18" s="485">
        <f t="shared" si="29"/>
        <v>91944.666666666672</v>
      </c>
      <c r="AY18" s="471">
        <f t="shared" si="30"/>
        <v>24227.039552026403</v>
      </c>
      <c r="AZ18" s="475">
        <f t="shared" si="31"/>
        <v>7.2500000000000009E-2</v>
      </c>
      <c r="BA18" s="471">
        <f t="shared" si="52"/>
        <v>18850.000000000004</v>
      </c>
      <c r="BB18" s="471">
        <f t="shared" si="32"/>
        <v>731.79311867999991</v>
      </c>
      <c r="BC18" s="476">
        <f t="shared" si="33"/>
        <v>183889.33333333331</v>
      </c>
      <c r="BD18" s="484">
        <f t="shared" si="34"/>
        <v>108096.0263680176</v>
      </c>
      <c r="BE18" s="474">
        <f t="shared" si="35"/>
        <v>91944.666666666672</v>
      </c>
      <c r="BF18" s="471">
        <f t="shared" si="36"/>
        <v>16151.35970135093</v>
      </c>
      <c r="BG18" s="475">
        <f t="shared" si="37"/>
        <v>8.0000000000000016E-2</v>
      </c>
      <c r="BH18" s="471">
        <f t="shared" si="53"/>
        <v>20800.000000000004</v>
      </c>
      <c r="BI18" s="471">
        <f t="shared" si="38"/>
        <v>497.61932070239999</v>
      </c>
      <c r="BJ18" s="473">
        <f t="shared" si="39"/>
        <v>91944.666666666642</v>
      </c>
      <c r="BK18" s="479">
        <f t="shared" si="40"/>
        <v>443889.33333333337</v>
      </c>
      <c r="BL18" s="480">
        <f t="shared" si="40"/>
        <v>86051.01599770083</v>
      </c>
      <c r="BM18" s="480">
        <f t="shared" si="41"/>
        <v>84500</v>
      </c>
      <c r="BN18" s="480">
        <f t="shared" si="41"/>
        <v>2546.8324393823996</v>
      </c>
      <c r="BO18" s="480">
        <f t="shared" si="42"/>
        <v>529940.34933103423</v>
      </c>
      <c r="BP18" s="480">
        <f t="shared" si="43"/>
        <v>616987.18177041668</v>
      </c>
      <c r="BQ18" s="480">
        <f t="shared" si="44"/>
        <v>529940.34933103411</v>
      </c>
      <c r="BR18" s="480">
        <f t="shared" si="45"/>
        <v>0</v>
      </c>
      <c r="BS18" s="480">
        <f t="shared" si="46"/>
        <v>-183889.33333333337</v>
      </c>
      <c r="BT18" s="480">
        <f t="shared" si="47"/>
        <v>275834</v>
      </c>
      <c r="BU18" s="480">
        <f t="shared" si="48"/>
        <v>91944.666666666628</v>
      </c>
      <c r="BV18" s="480">
        <f t="shared" si="49"/>
        <v>0</v>
      </c>
      <c r="BW18" s="41"/>
      <c r="BX18" s="39">
        <f t="shared" si="54"/>
        <v>10262.747919902367</v>
      </c>
      <c r="BY18" s="39">
        <f t="shared" si="55"/>
        <v>9773.5726873423191</v>
      </c>
      <c r="BZ18" s="39">
        <f t="shared" si="56"/>
        <v>9283.6824547822707</v>
      </c>
      <c r="CA18" s="40" t="s">
        <v>374</v>
      </c>
      <c r="CB18" s="40"/>
      <c r="CC18" s="40"/>
    </row>
    <row r="19" spans="1:81" ht="15" hidden="1">
      <c r="A19" s="453">
        <f t="shared" si="57"/>
        <v>10</v>
      </c>
      <c r="B19" s="454" t="s">
        <v>382</v>
      </c>
      <c r="C19" s="492" t="s">
        <v>385</v>
      </c>
      <c r="D19" s="456"/>
      <c r="E19" s="457" t="s">
        <v>381</v>
      </c>
      <c r="F19" s="458"/>
      <c r="G19" s="459">
        <v>3</v>
      </c>
      <c r="H19" s="460">
        <v>3</v>
      </c>
      <c r="I19" s="461" t="s">
        <v>373</v>
      </c>
      <c r="J19" s="462">
        <v>48000</v>
      </c>
      <c r="K19" s="489"/>
      <c r="L19" s="465">
        <v>0</v>
      </c>
      <c r="M19" s="466"/>
      <c r="N19" s="466"/>
      <c r="O19" s="466"/>
      <c r="P19" s="466"/>
      <c r="Q19" s="467">
        <f t="shared" si="6"/>
        <v>48000</v>
      </c>
      <c r="R19" s="483">
        <f t="shared" si="7"/>
        <v>49440</v>
      </c>
      <c r="S19" s="483">
        <f t="shared" si="7"/>
        <v>50923.199999999997</v>
      </c>
      <c r="T19" s="483">
        <f t="shared" si="7"/>
        <v>52450.895999999993</v>
      </c>
      <c r="U19" s="483">
        <f t="shared" si="7"/>
        <v>54024.422879999991</v>
      </c>
      <c r="V19" s="468">
        <f t="shared" si="8"/>
        <v>0</v>
      </c>
      <c r="W19" s="468">
        <f t="shared" si="8"/>
        <v>0</v>
      </c>
      <c r="X19" s="468">
        <f t="shared" si="8"/>
        <v>0</v>
      </c>
      <c r="Y19" s="468">
        <f t="shared" si="8"/>
        <v>0</v>
      </c>
      <c r="Z19" s="468">
        <f t="shared" si="8"/>
        <v>0</v>
      </c>
      <c r="AA19" s="469">
        <f t="shared" si="9"/>
        <v>0</v>
      </c>
      <c r="AB19" s="470">
        <f t="shared" si="10"/>
        <v>0</v>
      </c>
      <c r="AC19" s="471">
        <f t="shared" si="11"/>
        <v>0</v>
      </c>
      <c r="AD19" s="471">
        <f t="shared" si="12"/>
        <v>0</v>
      </c>
      <c r="AE19" s="472">
        <v>0.05</v>
      </c>
      <c r="AF19" s="471">
        <f t="shared" si="13"/>
        <v>0</v>
      </c>
      <c r="AG19" s="471">
        <f t="shared" si="14"/>
        <v>0</v>
      </c>
      <c r="AH19" s="473">
        <f t="shared" si="15"/>
        <v>0</v>
      </c>
      <c r="AI19" s="484">
        <f t="shared" si="16"/>
        <v>0</v>
      </c>
      <c r="AJ19" s="474">
        <f t="shared" si="17"/>
        <v>0</v>
      </c>
      <c r="AK19" s="471">
        <f t="shared" si="18"/>
        <v>0</v>
      </c>
      <c r="AL19" s="475">
        <f t="shared" si="19"/>
        <v>5.7500000000000002E-2</v>
      </c>
      <c r="AM19" s="471">
        <f t="shared" si="50"/>
        <v>0</v>
      </c>
      <c r="AN19" s="471">
        <f t="shared" si="20"/>
        <v>0</v>
      </c>
      <c r="AO19" s="476">
        <f t="shared" si="21"/>
        <v>0</v>
      </c>
      <c r="AP19" s="484">
        <f t="shared" si="22"/>
        <v>0</v>
      </c>
      <c r="AQ19" s="485">
        <f t="shared" si="23"/>
        <v>0</v>
      </c>
      <c r="AR19" s="471">
        <f t="shared" si="24"/>
        <v>0</v>
      </c>
      <c r="AS19" s="475">
        <f t="shared" si="25"/>
        <v>6.5000000000000002E-2</v>
      </c>
      <c r="AT19" s="471">
        <f t="shared" si="51"/>
        <v>0</v>
      </c>
      <c r="AU19" s="471">
        <f t="shared" si="26"/>
        <v>0</v>
      </c>
      <c r="AV19" s="476">
        <f t="shared" si="27"/>
        <v>0</v>
      </c>
      <c r="AW19" s="484">
        <f t="shared" si="28"/>
        <v>0</v>
      </c>
      <c r="AX19" s="485">
        <f t="shared" si="29"/>
        <v>0</v>
      </c>
      <c r="AY19" s="471">
        <f t="shared" si="30"/>
        <v>0</v>
      </c>
      <c r="AZ19" s="475">
        <f t="shared" si="31"/>
        <v>7.2500000000000009E-2</v>
      </c>
      <c r="BA19" s="471">
        <f t="shared" si="52"/>
        <v>0</v>
      </c>
      <c r="BB19" s="471">
        <f t="shared" si="32"/>
        <v>0</v>
      </c>
      <c r="BC19" s="476">
        <f t="shared" si="33"/>
        <v>0</v>
      </c>
      <c r="BD19" s="484">
        <f t="shared" si="34"/>
        <v>0</v>
      </c>
      <c r="BE19" s="474">
        <f t="shared" si="35"/>
        <v>0</v>
      </c>
      <c r="BF19" s="471">
        <f t="shared" si="36"/>
        <v>0</v>
      </c>
      <c r="BG19" s="475">
        <f t="shared" si="37"/>
        <v>8.0000000000000016E-2</v>
      </c>
      <c r="BH19" s="471">
        <f t="shared" si="53"/>
        <v>0</v>
      </c>
      <c r="BI19" s="471">
        <f t="shared" si="38"/>
        <v>0</v>
      </c>
      <c r="BJ19" s="473">
        <f t="shared" si="39"/>
        <v>0</v>
      </c>
      <c r="BK19" s="479">
        <f t="shared" si="40"/>
        <v>0</v>
      </c>
      <c r="BL19" s="480">
        <f t="shared" si="40"/>
        <v>0</v>
      </c>
      <c r="BM19" s="480">
        <f t="shared" si="41"/>
        <v>0</v>
      </c>
      <c r="BN19" s="480">
        <f t="shared" si="41"/>
        <v>0</v>
      </c>
      <c r="BO19" s="480">
        <f t="shared" si="42"/>
        <v>0</v>
      </c>
      <c r="BP19" s="480">
        <f t="shared" si="43"/>
        <v>0</v>
      </c>
      <c r="BQ19" s="480">
        <f t="shared" si="44"/>
        <v>0</v>
      </c>
      <c r="BR19" s="480">
        <f t="shared" si="45"/>
        <v>0</v>
      </c>
      <c r="BS19" s="480">
        <f t="shared" si="46"/>
        <v>0</v>
      </c>
      <c r="BT19" s="480">
        <f t="shared" si="47"/>
        <v>0</v>
      </c>
      <c r="BU19" s="480">
        <f t="shared" si="48"/>
        <v>0</v>
      </c>
      <c r="BV19" s="480">
        <f t="shared" si="49"/>
        <v>0</v>
      </c>
      <c r="BW19" s="41"/>
      <c r="BX19" s="39">
        <f t="shared" si="54"/>
        <v>0</v>
      </c>
      <c r="BY19" s="39">
        <f t="shared" si="55"/>
        <v>0</v>
      </c>
      <c r="BZ19" s="39">
        <f t="shared" si="56"/>
        <v>0</v>
      </c>
      <c r="CA19" s="40" t="s">
        <v>374</v>
      </c>
      <c r="CB19" s="40"/>
      <c r="CC19" s="40"/>
    </row>
    <row r="20" spans="1:81" ht="15">
      <c r="A20" s="453">
        <f t="shared" si="57"/>
        <v>11</v>
      </c>
      <c r="B20" s="454" t="s">
        <v>382</v>
      </c>
      <c r="C20" s="492" t="s">
        <v>386</v>
      </c>
      <c r="D20" s="456"/>
      <c r="E20" s="457" t="s">
        <v>381</v>
      </c>
      <c r="F20" s="458"/>
      <c r="G20" s="459">
        <v>3</v>
      </c>
      <c r="H20" s="460">
        <v>3</v>
      </c>
      <c r="I20" s="461" t="s">
        <v>373</v>
      </c>
      <c r="J20" s="462">
        <v>33000</v>
      </c>
      <c r="K20" s="463"/>
      <c r="L20" s="493">
        <v>1</v>
      </c>
      <c r="M20" s="466"/>
      <c r="N20" s="466"/>
      <c r="O20" s="466"/>
      <c r="P20" s="466"/>
      <c r="Q20" s="467">
        <f t="shared" si="6"/>
        <v>33000</v>
      </c>
      <c r="R20" s="483">
        <f t="shared" si="7"/>
        <v>33990</v>
      </c>
      <c r="S20" s="483">
        <f t="shared" si="7"/>
        <v>35009.699999999997</v>
      </c>
      <c r="T20" s="483">
        <f t="shared" si="7"/>
        <v>36059.990999999995</v>
      </c>
      <c r="U20" s="483">
        <f t="shared" si="7"/>
        <v>37141.790729999993</v>
      </c>
      <c r="V20" s="468">
        <f t="shared" si="8"/>
        <v>33000</v>
      </c>
      <c r="W20" s="468">
        <f t="shared" si="8"/>
        <v>0</v>
      </c>
      <c r="X20" s="468">
        <f t="shared" si="8"/>
        <v>0</v>
      </c>
      <c r="Y20" s="468">
        <f t="shared" si="8"/>
        <v>0</v>
      </c>
      <c r="Z20" s="468">
        <f t="shared" si="8"/>
        <v>0</v>
      </c>
      <c r="AA20" s="469">
        <f t="shared" si="9"/>
        <v>33000</v>
      </c>
      <c r="AB20" s="470">
        <f t="shared" si="10"/>
        <v>13898.454524158991</v>
      </c>
      <c r="AC20" s="471">
        <f t="shared" si="11"/>
        <v>11000</v>
      </c>
      <c r="AD20" s="471">
        <f t="shared" si="12"/>
        <v>2898.4545241589917</v>
      </c>
      <c r="AE20" s="472">
        <v>0.05</v>
      </c>
      <c r="AF20" s="471">
        <f t="shared" si="13"/>
        <v>1650</v>
      </c>
      <c r="AG20" s="471">
        <f t="shared" si="14"/>
        <v>82.5</v>
      </c>
      <c r="AH20" s="473">
        <f t="shared" si="15"/>
        <v>22000</v>
      </c>
      <c r="AI20" s="484">
        <f t="shared" si="16"/>
        <v>12932.303016105994</v>
      </c>
      <c r="AJ20" s="474">
        <f t="shared" si="17"/>
        <v>11000</v>
      </c>
      <c r="AK20" s="471">
        <f t="shared" si="18"/>
        <v>1932.3030161059944</v>
      </c>
      <c r="AL20" s="475">
        <f t="shared" si="19"/>
        <v>5.7500000000000002E-2</v>
      </c>
      <c r="AM20" s="471">
        <f t="shared" si="50"/>
        <v>1897.5</v>
      </c>
      <c r="AN20" s="471">
        <f t="shared" si="20"/>
        <v>56.1</v>
      </c>
      <c r="AO20" s="476">
        <f t="shared" si="21"/>
        <v>11000</v>
      </c>
      <c r="AP20" s="484">
        <f t="shared" si="22"/>
        <v>11966.151508052997</v>
      </c>
      <c r="AQ20" s="485">
        <f t="shared" si="23"/>
        <v>11000</v>
      </c>
      <c r="AR20" s="471">
        <f t="shared" si="24"/>
        <v>966.1515080529972</v>
      </c>
      <c r="AS20" s="475">
        <f t="shared" si="25"/>
        <v>6.5000000000000002E-2</v>
      </c>
      <c r="AT20" s="471">
        <f t="shared" si="51"/>
        <v>2145</v>
      </c>
      <c r="AU20" s="471">
        <f t="shared" si="26"/>
        <v>28.611000000000001</v>
      </c>
      <c r="AV20" s="476">
        <f t="shared" si="27"/>
        <v>35009.699999999997</v>
      </c>
      <c r="AW20" s="484">
        <f t="shared" si="28"/>
        <v>14744.870404680274</v>
      </c>
      <c r="AX20" s="485">
        <f t="shared" si="29"/>
        <v>11669.9</v>
      </c>
      <c r="AY20" s="471">
        <f t="shared" si="30"/>
        <v>3074.9704046802735</v>
      </c>
      <c r="AZ20" s="475">
        <f t="shared" si="31"/>
        <v>7.2500000000000009E-2</v>
      </c>
      <c r="BA20" s="471">
        <f t="shared" si="52"/>
        <v>2392.5000000000005</v>
      </c>
      <c r="BB20" s="471">
        <f t="shared" si="32"/>
        <v>92.881434293999988</v>
      </c>
      <c r="BC20" s="476">
        <f t="shared" si="33"/>
        <v>23339.799999999996</v>
      </c>
      <c r="BD20" s="484">
        <f t="shared" si="34"/>
        <v>13719.880269786849</v>
      </c>
      <c r="BE20" s="474">
        <f t="shared" si="35"/>
        <v>11669.9</v>
      </c>
      <c r="BF20" s="471">
        <f t="shared" si="36"/>
        <v>2049.980269786849</v>
      </c>
      <c r="BG20" s="475">
        <f t="shared" si="37"/>
        <v>8.0000000000000016E-2</v>
      </c>
      <c r="BH20" s="471">
        <f t="shared" si="53"/>
        <v>2640.0000000000005</v>
      </c>
      <c r="BI20" s="471">
        <f t="shared" si="38"/>
        <v>63.159375319919995</v>
      </c>
      <c r="BJ20" s="473">
        <f t="shared" si="39"/>
        <v>11669.899999999996</v>
      </c>
      <c r="BK20" s="479">
        <f t="shared" si="40"/>
        <v>56339.8</v>
      </c>
      <c r="BL20" s="480">
        <f t="shared" si="40"/>
        <v>10921.859722785106</v>
      </c>
      <c r="BM20" s="480">
        <f t="shared" si="41"/>
        <v>10725</v>
      </c>
      <c r="BN20" s="480">
        <f t="shared" si="41"/>
        <v>323.25180961391993</v>
      </c>
      <c r="BO20" s="480">
        <f t="shared" si="42"/>
        <v>67261.659722785116</v>
      </c>
      <c r="BP20" s="480">
        <f t="shared" si="43"/>
        <v>78309.911532399041</v>
      </c>
      <c r="BQ20" s="480">
        <f t="shared" si="44"/>
        <v>67261.659722785102</v>
      </c>
      <c r="BR20" s="480">
        <f t="shared" si="45"/>
        <v>0</v>
      </c>
      <c r="BS20" s="480">
        <f t="shared" si="46"/>
        <v>-23339.800000000003</v>
      </c>
      <c r="BT20" s="480">
        <f t="shared" si="47"/>
        <v>35009.699999999997</v>
      </c>
      <c r="BU20" s="480">
        <f t="shared" si="48"/>
        <v>11669.899999999994</v>
      </c>
      <c r="BV20" s="480">
        <f t="shared" si="49"/>
        <v>0</v>
      </c>
      <c r="BW20" s="41"/>
      <c r="BX20" s="39">
        <f t="shared" si="54"/>
        <v>1302.579543679916</v>
      </c>
      <c r="BY20" s="39">
        <f t="shared" si="55"/>
        <v>1240.491918008833</v>
      </c>
      <c r="BZ20" s="39">
        <f t="shared" si="56"/>
        <v>1178.3135423377498</v>
      </c>
      <c r="CA20" s="40" t="s">
        <v>374</v>
      </c>
      <c r="CB20" s="40"/>
      <c r="CC20" s="40"/>
    </row>
    <row r="21" spans="1:81" ht="15">
      <c r="A21" s="453">
        <f t="shared" si="57"/>
        <v>12</v>
      </c>
      <c r="B21" s="454" t="s">
        <v>382</v>
      </c>
      <c r="C21" s="492" t="s">
        <v>387</v>
      </c>
      <c r="D21" s="456"/>
      <c r="E21" s="457" t="s">
        <v>381</v>
      </c>
      <c r="F21" s="458"/>
      <c r="G21" s="459">
        <v>3</v>
      </c>
      <c r="H21" s="460">
        <v>3</v>
      </c>
      <c r="I21" s="461" t="s">
        <v>373</v>
      </c>
      <c r="J21" s="462">
        <v>8500</v>
      </c>
      <c r="K21" s="489"/>
      <c r="L21" s="493">
        <f>ARM!C71</f>
        <v>4</v>
      </c>
      <c r="M21" s="465"/>
      <c r="N21" s="465"/>
      <c r="O21" s="465"/>
      <c r="P21" s="465"/>
      <c r="Q21" s="467">
        <f t="shared" si="6"/>
        <v>8500</v>
      </c>
      <c r="R21" s="483">
        <f t="shared" si="7"/>
        <v>8755</v>
      </c>
      <c r="S21" s="483">
        <f t="shared" si="7"/>
        <v>9017.65</v>
      </c>
      <c r="T21" s="483">
        <f t="shared" si="7"/>
        <v>9288.1795000000002</v>
      </c>
      <c r="U21" s="483">
        <f t="shared" si="7"/>
        <v>9566.824885</v>
      </c>
      <c r="V21" s="468">
        <f t="shared" si="8"/>
        <v>34000</v>
      </c>
      <c r="W21" s="468">
        <f t="shared" si="8"/>
        <v>0</v>
      </c>
      <c r="X21" s="468">
        <f t="shared" si="8"/>
        <v>0</v>
      </c>
      <c r="Y21" s="468">
        <f t="shared" si="8"/>
        <v>0</v>
      </c>
      <c r="Z21" s="468">
        <f t="shared" si="8"/>
        <v>0</v>
      </c>
      <c r="AA21" s="469">
        <f t="shared" si="9"/>
        <v>34000</v>
      </c>
      <c r="AB21" s="470">
        <f t="shared" si="10"/>
        <v>14319.61981276987</v>
      </c>
      <c r="AC21" s="471">
        <f t="shared" si="11"/>
        <v>11333.333333333334</v>
      </c>
      <c r="AD21" s="471">
        <f t="shared" si="12"/>
        <v>2986.2864794365364</v>
      </c>
      <c r="AE21" s="472">
        <v>0.03</v>
      </c>
      <c r="AF21" s="471">
        <f t="shared" si="13"/>
        <v>1020</v>
      </c>
      <c r="AG21" s="471">
        <f t="shared" si="14"/>
        <v>85</v>
      </c>
      <c r="AH21" s="473">
        <f t="shared" si="15"/>
        <v>22666.666666666664</v>
      </c>
      <c r="AI21" s="484">
        <f t="shared" si="16"/>
        <v>13324.190986291025</v>
      </c>
      <c r="AJ21" s="474">
        <f t="shared" si="17"/>
        <v>11333.333333333334</v>
      </c>
      <c r="AK21" s="471">
        <f t="shared" si="18"/>
        <v>1990.8576529576908</v>
      </c>
      <c r="AL21" s="475">
        <f t="shared" si="19"/>
        <v>3.7499999999999999E-2</v>
      </c>
      <c r="AM21" s="471">
        <f t="shared" si="50"/>
        <v>1275</v>
      </c>
      <c r="AN21" s="471">
        <f t="shared" si="20"/>
        <v>57.8</v>
      </c>
      <c r="AO21" s="476">
        <f t="shared" si="21"/>
        <v>11333.33333333333</v>
      </c>
      <c r="AP21" s="484">
        <f t="shared" si="22"/>
        <v>12328.762159812179</v>
      </c>
      <c r="AQ21" s="485">
        <f t="shared" si="23"/>
        <v>11333.333333333334</v>
      </c>
      <c r="AR21" s="471">
        <f t="shared" si="24"/>
        <v>995.42882647884528</v>
      </c>
      <c r="AS21" s="475">
        <f t="shared" si="25"/>
        <v>4.4999999999999998E-2</v>
      </c>
      <c r="AT21" s="471">
        <f t="shared" si="51"/>
        <v>1530</v>
      </c>
      <c r="AU21" s="471">
        <f t="shared" si="26"/>
        <v>29.477999999999991</v>
      </c>
      <c r="AV21" s="476">
        <f t="shared" si="27"/>
        <v>36070.599999999991</v>
      </c>
      <c r="AW21" s="484">
        <f t="shared" si="28"/>
        <v>15191.684659367553</v>
      </c>
      <c r="AX21" s="485">
        <f t="shared" si="29"/>
        <v>12023.533333333331</v>
      </c>
      <c r="AY21" s="471">
        <f t="shared" si="30"/>
        <v>3168.1513260342213</v>
      </c>
      <c r="AZ21" s="475">
        <f t="shared" si="31"/>
        <v>5.2499999999999998E-2</v>
      </c>
      <c r="BA21" s="471">
        <f t="shared" si="52"/>
        <v>1785</v>
      </c>
      <c r="BB21" s="471">
        <f t="shared" si="32"/>
        <v>95.696023211999972</v>
      </c>
      <c r="BC21" s="476">
        <f t="shared" si="33"/>
        <v>24047.066666666658</v>
      </c>
      <c r="BD21" s="484">
        <f t="shared" si="34"/>
        <v>14135.634217356146</v>
      </c>
      <c r="BE21" s="474">
        <f t="shared" si="35"/>
        <v>12023.533333333331</v>
      </c>
      <c r="BF21" s="471">
        <f t="shared" si="36"/>
        <v>2112.1008840228142</v>
      </c>
      <c r="BG21" s="475">
        <f t="shared" si="37"/>
        <v>0.06</v>
      </c>
      <c r="BH21" s="471">
        <f t="shared" si="53"/>
        <v>2040</v>
      </c>
      <c r="BI21" s="471">
        <f t="shared" si="38"/>
        <v>65.073295784159981</v>
      </c>
      <c r="BJ21" s="473">
        <f t="shared" si="39"/>
        <v>12023.533333333327</v>
      </c>
      <c r="BK21" s="479">
        <f t="shared" si="40"/>
        <v>58047.066666666666</v>
      </c>
      <c r="BL21" s="480">
        <f t="shared" si="40"/>
        <v>11252.825168930107</v>
      </c>
      <c r="BM21" s="480">
        <f t="shared" si="41"/>
        <v>7650</v>
      </c>
      <c r="BN21" s="480">
        <f t="shared" si="41"/>
        <v>333.0473189961599</v>
      </c>
      <c r="BO21" s="480">
        <f t="shared" si="42"/>
        <v>69299.891835596776</v>
      </c>
      <c r="BP21" s="480">
        <f t="shared" si="43"/>
        <v>77282.939154592939</v>
      </c>
      <c r="BQ21" s="480">
        <f t="shared" si="44"/>
        <v>69299.891835596776</v>
      </c>
      <c r="BR21" s="480">
        <f t="shared" si="45"/>
        <v>0</v>
      </c>
      <c r="BS21" s="480">
        <f t="shared" si="46"/>
        <v>-24047.066666666666</v>
      </c>
      <c r="BT21" s="480">
        <f t="shared" si="47"/>
        <v>36070.599999999991</v>
      </c>
      <c r="BU21" s="480">
        <f t="shared" si="48"/>
        <v>12023.533333333326</v>
      </c>
      <c r="BV21" s="480">
        <f t="shared" si="49"/>
        <v>0</v>
      </c>
      <c r="BW21" s="41"/>
      <c r="BX21" s="39">
        <f t="shared" si="54"/>
        <v>1285.3849843974892</v>
      </c>
      <c r="BY21" s="39">
        <f t="shared" si="55"/>
        <v>1221.4159155242521</v>
      </c>
      <c r="BZ21" s="39">
        <f t="shared" si="56"/>
        <v>1157.3533466510148</v>
      </c>
      <c r="CA21" s="40" t="s">
        <v>374</v>
      </c>
      <c r="CB21" s="40"/>
      <c r="CC21" s="40"/>
    </row>
    <row r="22" spans="1:81" ht="15">
      <c r="A22" s="453">
        <f t="shared" si="57"/>
        <v>13</v>
      </c>
      <c r="B22" s="454" t="s">
        <v>382</v>
      </c>
      <c r="C22" s="494" t="s">
        <v>388</v>
      </c>
      <c r="D22" s="456"/>
      <c r="E22" s="457" t="s">
        <v>381</v>
      </c>
      <c r="F22" s="458"/>
      <c r="G22" s="459">
        <v>3</v>
      </c>
      <c r="H22" s="460">
        <v>3</v>
      </c>
      <c r="I22" s="461" t="s">
        <v>373</v>
      </c>
      <c r="J22" s="462">
        <v>45000</v>
      </c>
      <c r="K22" s="463"/>
      <c r="L22" s="493">
        <f>ARM!C67+ARM!D67</f>
        <v>9</v>
      </c>
      <c r="M22" s="465"/>
      <c r="N22" s="465"/>
      <c r="O22" s="465"/>
      <c r="P22" s="465"/>
      <c r="Q22" s="467">
        <f t="shared" si="6"/>
        <v>45000</v>
      </c>
      <c r="R22" s="483">
        <f t="shared" si="7"/>
        <v>46350</v>
      </c>
      <c r="S22" s="483">
        <f t="shared" si="7"/>
        <v>47740.5</v>
      </c>
      <c r="T22" s="483">
        <f t="shared" si="7"/>
        <v>49172.714999999997</v>
      </c>
      <c r="U22" s="483">
        <f t="shared" si="7"/>
        <v>50647.896449999993</v>
      </c>
      <c r="V22" s="468">
        <f t="shared" si="8"/>
        <v>405000</v>
      </c>
      <c r="W22" s="468">
        <f t="shared" si="8"/>
        <v>0</v>
      </c>
      <c r="X22" s="468">
        <f t="shared" si="8"/>
        <v>0</v>
      </c>
      <c r="Y22" s="468">
        <f t="shared" si="8"/>
        <v>0</v>
      </c>
      <c r="Z22" s="468">
        <f t="shared" si="8"/>
        <v>0</v>
      </c>
      <c r="AA22" s="469">
        <f t="shared" si="9"/>
        <v>405000</v>
      </c>
      <c r="AB22" s="470">
        <f t="shared" si="10"/>
        <v>170571.94188740582</v>
      </c>
      <c r="AC22" s="471">
        <f t="shared" si="11"/>
        <v>135000</v>
      </c>
      <c r="AD22" s="471">
        <f t="shared" si="12"/>
        <v>35571.941887405803</v>
      </c>
      <c r="AE22" s="472">
        <v>0.03</v>
      </c>
      <c r="AF22" s="471">
        <f t="shared" si="13"/>
        <v>12150</v>
      </c>
      <c r="AG22" s="471">
        <f t="shared" si="14"/>
        <v>1012.5</v>
      </c>
      <c r="AH22" s="473">
        <f t="shared" si="15"/>
        <v>270000</v>
      </c>
      <c r="AI22" s="484">
        <f t="shared" si="16"/>
        <v>158714.6279249372</v>
      </c>
      <c r="AJ22" s="474">
        <f t="shared" si="17"/>
        <v>135000</v>
      </c>
      <c r="AK22" s="471">
        <f t="shared" si="18"/>
        <v>23714.627924937202</v>
      </c>
      <c r="AL22" s="475">
        <f t="shared" si="19"/>
        <v>3.7499999999999999E-2</v>
      </c>
      <c r="AM22" s="471">
        <f t="shared" si="50"/>
        <v>15187.5</v>
      </c>
      <c r="AN22" s="471">
        <f t="shared" si="20"/>
        <v>688.5</v>
      </c>
      <c r="AO22" s="476">
        <f t="shared" si="21"/>
        <v>135000</v>
      </c>
      <c r="AP22" s="484">
        <f t="shared" si="22"/>
        <v>146857.31396246859</v>
      </c>
      <c r="AQ22" s="485">
        <f t="shared" si="23"/>
        <v>135000</v>
      </c>
      <c r="AR22" s="471">
        <f t="shared" si="24"/>
        <v>11857.313962468601</v>
      </c>
      <c r="AS22" s="475">
        <f t="shared" si="25"/>
        <v>4.4999999999999998E-2</v>
      </c>
      <c r="AT22" s="471">
        <f t="shared" si="51"/>
        <v>18225</v>
      </c>
      <c r="AU22" s="471">
        <f t="shared" si="26"/>
        <v>351.13499999999999</v>
      </c>
      <c r="AV22" s="476">
        <f t="shared" si="27"/>
        <v>429664.5</v>
      </c>
      <c r="AW22" s="484">
        <f t="shared" si="28"/>
        <v>180959.77314834882</v>
      </c>
      <c r="AX22" s="485">
        <f t="shared" si="29"/>
        <v>143221.5</v>
      </c>
      <c r="AY22" s="471">
        <f t="shared" si="30"/>
        <v>37738.273148348817</v>
      </c>
      <c r="AZ22" s="475">
        <f t="shared" si="31"/>
        <v>5.2499999999999998E-2</v>
      </c>
      <c r="BA22" s="471">
        <f t="shared" si="52"/>
        <v>21262.5</v>
      </c>
      <c r="BB22" s="471">
        <f t="shared" si="32"/>
        <v>1139.9085117899999</v>
      </c>
      <c r="BC22" s="476">
        <f t="shared" si="33"/>
        <v>286443</v>
      </c>
      <c r="BD22" s="484">
        <f t="shared" si="34"/>
        <v>168380.34876556587</v>
      </c>
      <c r="BE22" s="474">
        <f t="shared" si="35"/>
        <v>143221.5</v>
      </c>
      <c r="BF22" s="471">
        <f t="shared" si="36"/>
        <v>25158.848765565876</v>
      </c>
      <c r="BG22" s="475">
        <f t="shared" si="37"/>
        <v>0.06</v>
      </c>
      <c r="BH22" s="471">
        <f t="shared" si="53"/>
        <v>24300</v>
      </c>
      <c r="BI22" s="471">
        <f t="shared" si="38"/>
        <v>775.13778801720002</v>
      </c>
      <c r="BJ22" s="473">
        <f t="shared" si="39"/>
        <v>143221.5</v>
      </c>
      <c r="BK22" s="479">
        <f t="shared" si="40"/>
        <v>691443</v>
      </c>
      <c r="BL22" s="480">
        <f t="shared" si="40"/>
        <v>134041.00568872629</v>
      </c>
      <c r="BM22" s="480">
        <f t="shared" si="41"/>
        <v>91125</v>
      </c>
      <c r="BN22" s="480">
        <f t="shared" si="41"/>
        <v>3967.1812998072</v>
      </c>
      <c r="BO22" s="480">
        <f t="shared" si="42"/>
        <v>825484.00568872632</v>
      </c>
      <c r="BP22" s="480">
        <f t="shared" si="43"/>
        <v>920576.18698853347</v>
      </c>
      <c r="BQ22" s="480">
        <f t="shared" si="44"/>
        <v>825484.00568872632</v>
      </c>
      <c r="BR22" s="480">
        <f t="shared" si="45"/>
        <v>0</v>
      </c>
      <c r="BS22" s="480">
        <f t="shared" si="46"/>
        <v>-286443</v>
      </c>
      <c r="BT22" s="480">
        <f t="shared" si="47"/>
        <v>429664.5</v>
      </c>
      <c r="BU22" s="480">
        <f t="shared" si="48"/>
        <v>143221.5</v>
      </c>
      <c r="BV22" s="480">
        <f t="shared" si="49"/>
        <v>0</v>
      </c>
      <c r="BW22" s="41"/>
      <c r="BX22" s="39">
        <f t="shared" si="54"/>
        <v>15311.203490617152</v>
      </c>
      <c r="BY22" s="39">
        <f t="shared" si="55"/>
        <v>14549.218993744767</v>
      </c>
      <c r="BZ22" s="39">
        <f t="shared" si="56"/>
        <v>13786.120746872382</v>
      </c>
      <c r="CA22" s="40" t="s">
        <v>374</v>
      </c>
      <c r="CB22" s="40"/>
      <c r="CC22" s="40"/>
    </row>
    <row r="23" spans="1:81" ht="15" hidden="1">
      <c r="A23" s="453">
        <f t="shared" si="57"/>
        <v>14</v>
      </c>
      <c r="B23" s="454" t="s">
        <v>382</v>
      </c>
      <c r="C23" s="494" t="s">
        <v>389</v>
      </c>
      <c r="D23" s="456"/>
      <c r="E23" s="457" t="s">
        <v>381</v>
      </c>
      <c r="F23" s="458"/>
      <c r="G23" s="459">
        <v>3</v>
      </c>
      <c r="H23" s="460">
        <v>3</v>
      </c>
      <c r="I23" s="461" t="s">
        <v>373</v>
      </c>
      <c r="J23" s="462">
        <v>25000</v>
      </c>
      <c r="K23" s="463"/>
      <c r="L23" s="464">
        <v>0</v>
      </c>
      <c r="M23" s="465"/>
      <c r="N23" s="465"/>
      <c r="O23" s="465"/>
      <c r="P23" s="465"/>
      <c r="Q23" s="467">
        <f t="shared" si="6"/>
        <v>25000</v>
      </c>
      <c r="R23" s="483">
        <f>Q23*R$3+Q23</f>
        <v>25750</v>
      </c>
      <c r="S23" s="483">
        <f>R23*S$3+R23</f>
        <v>26522.5</v>
      </c>
      <c r="T23" s="483">
        <f>S23*T$3+S23</f>
        <v>27318.174999999999</v>
      </c>
      <c r="U23" s="483">
        <f>T23*U$3+T23</f>
        <v>28137.720249999998</v>
      </c>
      <c r="V23" s="468">
        <f t="shared" si="8"/>
        <v>0</v>
      </c>
      <c r="W23" s="468">
        <f t="shared" si="8"/>
        <v>0</v>
      </c>
      <c r="X23" s="468">
        <f t="shared" si="8"/>
        <v>0</v>
      </c>
      <c r="Y23" s="468">
        <f t="shared" si="8"/>
        <v>0</v>
      </c>
      <c r="Z23" s="468">
        <f t="shared" si="8"/>
        <v>0</v>
      </c>
      <c r="AA23" s="469">
        <f t="shared" si="9"/>
        <v>0</v>
      </c>
      <c r="AB23" s="470">
        <f t="shared" si="10"/>
        <v>0</v>
      </c>
      <c r="AC23" s="471">
        <f t="shared" si="11"/>
        <v>0</v>
      </c>
      <c r="AD23" s="471">
        <f t="shared" si="12"/>
        <v>0</v>
      </c>
      <c r="AE23" s="472">
        <v>0.05</v>
      </c>
      <c r="AF23" s="471">
        <f t="shared" si="13"/>
        <v>0</v>
      </c>
      <c r="AG23" s="471">
        <f t="shared" si="14"/>
        <v>0</v>
      </c>
      <c r="AH23" s="473">
        <f t="shared" si="15"/>
        <v>0</v>
      </c>
      <c r="AI23" s="484">
        <f t="shared" si="16"/>
        <v>0</v>
      </c>
      <c r="AJ23" s="474">
        <f t="shared" si="17"/>
        <v>0</v>
      </c>
      <c r="AK23" s="471">
        <f t="shared" si="18"/>
        <v>0</v>
      </c>
      <c r="AL23" s="475">
        <f t="shared" si="19"/>
        <v>5.7500000000000002E-2</v>
      </c>
      <c r="AM23" s="471">
        <f t="shared" si="50"/>
        <v>0</v>
      </c>
      <c r="AN23" s="471">
        <f t="shared" si="20"/>
        <v>0</v>
      </c>
      <c r="AO23" s="476">
        <f t="shared" si="21"/>
        <v>0</v>
      </c>
      <c r="AP23" s="484">
        <f t="shared" si="22"/>
        <v>0</v>
      </c>
      <c r="AQ23" s="485">
        <f t="shared" si="23"/>
        <v>0</v>
      </c>
      <c r="AR23" s="471">
        <f t="shared" si="24"/>
        <v>0</v>
      </c>
      <c r="AS23" s="475">
        <f t="shared" si="25"/>
        <v>6.5000000000000002E-2</v>
      </c>
      <c r="AT23" s="471">
        <f t="shared" si="51"/>
        <v>0</v>
      </c>
      <c r="AU23" s="471">
        <f t="shared" si="26"/>
        <v>0</v>
      </c>
      <c r="AV23" s="476">
        <f t="shared" si="27"/>
        <v>0</v>
      </c>
      <c r="AW23" s="484">
        <f t="shared" si="28"/>
        <v>0</v>
      </c>
      <c r="AX23" s="485">
        <f t="shared" si="29"/>
        <v>0</v>
      </c>
      <c r="AY23" s="471">
        <f t="shared" si="30"/>
        <v>0</v>
      </c>
      <c r="AZ23" s="475">
        <f t="shared" si="31"/>
        <v>7.2500000000000009E-2</v>
      </c>
      <c r="BA23" s="471">
        <f t="shared" si="52"/>
        <v>0</v>
      </c>
      <c r="BB23" s="471">
        <f t="shared" si="32"/>
        <v>0</v>
      </c>
      <c r="BC23" s="476">
        <f t="shared" si="33"/>
        <v>0</v>
      </c>
      <c r="BD23" s="484">
        <f t="shared" si="34"/>
        <v>0</v>
      </c>
      <c r="BE23" s="474">
        <f t="shared" si="35"/>
        <v>0</v>
      </c>
      <c r="BF23" s="471">
        <f t="shared" si="36"/>
        <v>0</v>
      </c>
      <c r="BG23" s="475">
        <f t="shared" si="37"/>
        <v>8.0000000000000016E-2</v>
      </c>
      <c r="BH23" s="471">
        <f t="shared" si="53"/>
        <v>0</v>
      </c>
      <c r="BI23" s="471">
        <f t="shared" si="38"/>
        <v>0</v>
      </c>
      <c r="BJ23" s="473">
        <f t="shared" si="39"/>
        <v>0</v>
      </c>
      <c r="BK23" s="479">
        <f t="shared" si="40"/>
        <v>0</v>
      </c>
      <c r="BL23" s="480">
        <f t="shared" si="40"/>
        <v>0</v>
      </c>
      <c r="BM23" s="480">
        <f t="shared" si="41"/>
        <v>0</v>
      </c>
      <c r="BN23" s="480">
        <f t="shared" si="41"/>
        <v>0</v>
      </c>
      <c r="BO23" s="480">
        <f t="shared" si="42"/>
        <v>0</v>
      </c>
      <c r="BP23" s="480">
        <f t="shared" si="43"/>
        <v>0</v>
      </c>
      <c r="BQ23" s="480">
        <f t="shared" si="44"/>
        <v>0</v>
      </c>
      <c r="BR23" s="480">
        <f t="shared" si="45"/>
        <v>0</v>
      </c>
      <c r="BS23" s="480">
        <f t="shared" si="46"/>
        <v>0</v>
      </c>
      <c r="BT23" s="480">
        <f t="shared" si="47"/>
        <v>0</v>
      </c>
      <c r="BU23" s="480">
        <f t="shared" si="48"/>
        <v>0</v>
      </c>
      <c r="BV23" s="480">
        <f t="shared" si="49"/>
        <v>0</v>
      </c>
      <c r="BW23" s="41"/>
      <c r="BX23" s="39">
        <f t="shared" si="54"/>
        <v>0</v>
      </c>
      <c r="BY23" s="39">
        <f t="shared" si="55"/>
        <v>0</v>
      </c>
      <c r="BZ23" s="39">
        <f t="shared" si="56"/>
        <v>0</v>
      </c>
      <c r="CA23" s="40"/>
      <c r="CB23" s="40"/>
      <c r="CC23" s="40"/>
    </row>
    <row r="24" spans="1:81" ht="15" hidden="1">
      <c r="A24" s="453">
        <f t="shared" si="57"/>
        <v>15</v>
      </c>
      <c r="B24" s="454" t="s">
        <v>382</v>
      </c>
      <c r="C24" s="494" t="s">
        <v>390</v>
      </c>
      <c r="D24" s="456"/>
      <c r="E24" s="457" t="s">
        <v>381</v>
      </c>
      <c r="F24" s="458"/>
      <c r="G24" s="459">
        <v>3</v>
      </c>
      <c r="H24" s="459">
        <v>3</v>
      </c>
      <c r="I24" s="461" t="s">
        <v>373</v>
      </c>
      <c r="J24" s="462">
        <v>210000</v>
      </c>
      <c r="K24" s="463"/>
      <c r="L24" s="493">
        <v>0</v>
      </c>
      <c r="M24" s="466"/>
      <c r="N24" s="466"/>
      <c r="O24" s="466"/>
      <c r="P24" s="466"/>
      <c r="Q24" s="467">
        <f t="shared" si="6"/>
        <v>210000</v>
      </c>
      <c r="R24" s="483">
        <f t="shared" si="7"/>
        <v>216300</v>
      </c>
      <c r="S24" s="483">
        <f t="shared" si="7"/>
        <v>222789</v>
      </c>
      <c r="T24" s="483">
        <f t="shared" si="7"/>
        <v>229472.67</v>
      </c>
      <c r="U24" s="483">
        <f t="shared" si="7"/>
        <v>236356.85010000001</v>
      </c>
      <c r="V24" s="468">
        <f t="shared" si="8"/>
        <v>0</v>
      </c>
      <c r="W24" s="468">
        <f t="shared" si="8"/>
        <v>0</v>
      </c>
      <c r="X24" s="468">
        <f t="shared" si="8"/>
        <v>0</v>
      </c>
      <c r="Y24" s="468">
        <f t="shared" si="8"/>
        <v>0</v>
      </c>
      <c r="Z24" s="468">
        <f t="shared" si="8"/>
        <v>0</v>
      </c>
      <c r="AA24" s="469">
        <f t="shared" si="9"/>
        <v>0</v>
      </c>
      <c r="AB24" s="470">
        <f t="shared" si="10"/>
        <v>0</v>
      </c>
      <c r="AC24" s="471">
        <f t="shared" si="11"/>
        <v>0</v>
      </c>
      <c r="AD24" s="471">
        <f t="shared" si="12"/>
        <v>0</v>
      </c>
      <c r="AE24" s="472">
        <v>0.05</v>
      </c>
      <c r="AF24" s="471">
        <f t="shared" si="13"/>
        <v>0</v>
      </c>
      <c r="AG24" s="471">
        <f t="shared" si="14"/>
        <v>0</v>
      </c>
      <c r="AH24" s="473">
        <f t="shared" si="15"/>
        <v>0</v>
      </c>
      <c r="AI24" s="484">
        <f t="shared" si="16"/>
        <v>0</v>
      </c>
      <c r="AJ24" s="474">
        <f t="shared" si="17"/>
        <v>0</v>
      </c>
      <c r="AK24" s="471">
        <f t="shared" si="18"/>
        <v>0</v>
      </c>
      <c r="AL24" s="475">
        <f t="shared" si="19"/>
        <v>5.7500000000000002E-2</v>
      </c>
      <c r="AM24" s="471">
        <f t="shared" si="50"/>
        <v>0</v>
      </c>
      <c r="AN24" s="471">
        <f t="shared" si="20"/>
        <v>0</v>
      </c>
      <c r="AO24" s="476">
        <f t="shared" si="21"/>
        <v>0</v>
      </c>
      <c r="AP24" s="484">
        <f t="shared" si="22"/>
        <v>0</v>
      </c>
      <c r="AQ24" s="485">
        <f t="shared" si="23"/>
        <v>0</v>
      </c>
      <c r="AR24" s="471">
        <f t="shared" si="24"/>
        <v>0</v>
      </c>
      <c r="AS24" s="475">
        <f t="shared" si="25"/>
        <v>6.5000000000000002E-2</v>
      </c>
      <c r="AT24" s="471">
        <f t="shared" si="51"/>
        <v>0</v>
      </c>
      <c r="AU24" s="471">
        <f t="shared" si="26"/>
        <v>0</v>
      </c>
      <c r="AV24" s="476">
        <f t="shared" si="27"/>
        <v>0</v>
      </c>
      <c r="AW24" s="484">
        <f t="shared" si="28"/>
        <v>0</v>
      </c>
      <c r="AX24" s="485">
        <f t="shared" si="29"/>
        <v>0</v>
      </c>
      <c r="AY24" s="471">
        <f t="shared" si="30"/>
        <v>0</v>
      </c>
      <c r="AZ24" s="475">
        <f t="shared" si="31"/>
        <v>7.2500000000000009E-2</v>
      </c>
      <c r="BA24" s="471">
        <f t="shared" si="52"/>
        <v>0</v>
      </c>
      <c r="BB24" s="471">
        <f t="shared" si="32"/>
        <v>0</v>
      </c>
      <c r="BC24" s="476">
        <f t="shared" si="33"/>
        <v>0</v>
      </c>
      <c r="BD24" s="484">
        <f t="shared" si="34"/>
        <v>0</v>
      </c>
      <c r="BE24" s="474">
        <f t="shared" si="35"/>
        <v>0</v>
      </c>
      <c r="BF24" s="471">
        <f t="shared" si="36"/>
        <v>0</v>
      </c>
      <c r="BG24" s="475">
        <f t="shared" si="37"/>
        <v>8.0000000000000016E-2</v>
      </c>
      <c r="BH24" s="471">
        <f t="shared" si="53"/>
        <v>0</v>
      </c>
      <c r="BI24" s="471">
        <f t="shared" si="38"/>
        <v>0</v>
      </c>
      <c r="BJ24" s="473">
        <f t="shared" si="39"/>
        <v>0</v>
      </c>
      <c r="BK24" s="479">
        <f t="shared" si="40"/>
        <v>0</v>
      </c>
      <c r="BL24" s="480">
        <f t="shared" si="40"/>
        <v>0</v>
      </c>
      <c r="BM24" s="480">
        <f t="shared" si="41"/>
        <v>0</v>
      </c>
      <c r="BN24" s="480">
        <f t="shared" si="41"/>
        <v>0</v>
      </c>
      <c r="BO24" s="480">
        <f t="shared" si="42"/>
        <v>0</v>
      </c>
      <c r="BP24" s="480">
        <f t="shared" si="43"/>
        <v>0</v>
      </c>
      <c r="BQ24" s="480">
        <f t="shared" si="44"/>
        <v>0</v>
      </c>
      <c r="BR24" s="480">
        <f t="shared" si="45"/>
        <v>0</v>
      </c>
      <c r="BS24" s="480">
        <f t="shared" si="46"/>
        <v>0</v>
      </c>
      <c r="BT24" s="480">
        <f t="shared" si="47"/>
        <v>0</v>
      </c>
      <c r="BU24" s="480">
        <f t="shared" si="48"/>
        <v>0</v>
      </c>
      <c r="BV24" s="480">
        <f t="shared" si="49"/>
        <v>0</v>
      </c>
      <c r="BW24" s="41"/>
      <c r="BX24" s="39">
        <f t="shared" si="54"/>
        <v>0</v>
      </c>
      <c r="BY24" s="39">
        <f t="shared" si="55"/>
        <v>0</v>
      </c>
      <c r="BZ24" s="39">
        <f t="shared" si="56"/>
        <v>0</v>
      </c>
      <c r="CA24" s="40" t="s">
        <v>374</v>
      </c>
      <c r="CB24" s="40"/>
      <c r="CC24" s="40"/>
    </row>
    <row r="25" spans="1:81" ht="15" hidden="1">
      <c r="A25" s="453">
        <f t="shared" si="57"/>
        <v>16</v>
      </c>
      <c r="B25" s="454" t="s">
        <v>382</v>
      </c>
      <c r="C25" s="494" t="s">
        <v>391</v>
      </c>
      <c r="D25" s="456"/>
      <c r="E25" s="457" t="s">
        <v>381</v>
      </c>
      <c r="F25" s="458"/>
      <c r="G25" s="459">
        <v>3</v>
      </c>
      <c r="H25" s="459">
        <v>3</v>
      </c>
      <c r="I25" s="461" t="s">
        <v>373</v>
      </c>
      <c r="J25" s="462">
        <v>70000</v>
      </c>
      <c r="K25" s="463"/>
      <c r="L25" s="495">
        <v>0</v>
      </c>
      <c r="M25" s="491"/>
      <c r="N25" s="491"/>
      <c r="O25" s="496"/>
      <c r="P25" s="496"/>
      <c r="Q25" s="467">
        <f t="shared" si="6"/>
        <v>70000</v>
      </c>
      <c r="R25" s="483">
        <f t="shared" si="7"/>
        <v>72100</v>
      </c>
      <c r="S25" s="483">
        <f t="shared" si="7"/>
        <v>74263</v>
      </c>
      <c r="T25" s="483">
        <f t="shared" si="7"/>
        <v>76490.89</v>
      </c>
      <c r="U25" s="483">
        <f t="shared" si="7"/>
        <v>78785.616699999999</v>
      </c>
      <c r="V25" s="468">
        <f t="shared" si="8"/>
        <v>0</v>
      </c>
      <c r="W25" s="468">
        <f t="shared" si="8"/>
        <v>0</v>
      </c>
      <c r="X25" s="468">
        <f t="shared" si="8"/>
        <v>0</v>
      </c>
      <c r="Y25" s="468">
        <f t="shared" si="8"/>
        <v>0</v>
      </c>
      <c r="Z25" s="468">
        <f t="shared" si="8"/>
        <v>0</v>
      </c>
      <c r="AA25" s="469">
        <f t="shared" si="9"/>
        <v>0</v>
      </c>
      <c r="AB25" s="470">
        <f t="shared" si="10"/>
        <v>0</v>
      </c>
      <c r="AC25" s="471">
        <f t="shared" si="11"/>
        <v>0</v>
      </c>
      <c r="AD25" s="471">
        <f t="shared" si="12"/>
        <v>0</v>
      </c>
      <c r="AE25" s="472">
        <v>0.05</v>
      </c>
      <c r="AF25" s="471">
        <f t="shared" si="13"/>
        <v>0</v>
      </c>
      <c r="AG25" s="471">
        <f t="shared" si="14"/>
        <v>0</v>
      </c>
      <c r="AH25" s="473">
        <f t="shared" si="15"/>
        <v>0</v>
      </c>
      <c r="AI25" s="484">
        <f t="shared" si="16"/>
        <v>0</v>
      </c>
      <c r="AJ25" s="474">
        <f t="shared" si="17"/>
        <v>0</v>
      </c>
      <c r="AK25" s="471">
        <f t="shared" si="18"/>
        <v>0</v>
      </c>
      <c r="AL25" s="475">
        <f t="shared" si="19"/>
        <v>5.7500000000000002E-2</v>
      </c>
      <c r="AM25" s="471">
        <f t="shared" si="50"/>
        <v>0</v>
      </c>
      <c r="AN25" s="471">
        <f t="shared" si="20"/>
        <v>0</v>
      </c>
      <c r="AO25" s="476">
        <f t="shared" si="21"/>
        <v>0</v>
      </c>
      <c r="AP25" s="484">
        <f t="shared" si="22"/>
        <v>0</v>
      </c>
      <c r="AQ25" s="485">
        <f t="shared" si="23"/>
        <v>0</v>
      </c>
      <c r="AR25" s="471">
        <f t="shared" si="24"/>
        <v>0</v>
      </c>
      <c r="AS25" s="475">
        <f t="shared" si="25"/>
        <v>6.5000000000000002E-2</v>
      </c>
      <c r="AT25" s="471">
        <f t="shared" si="51"/>
        <v>0</v>
      </c>
      <c r="AU25" s="471">
        <f t="shared" si="26"/>
        <v>0</v>
      </c>
      <c r="AV25" s="476">
        <f t="shared" si="27"/>
        <v>0</v>
      </c>
      <c r="AW25" s="484">
        <f t="shared" si="28"/>
        <v>0</v>
      </c>
      <c r="AX25" s="485">
        <f t="shared" si="29"/>
        <v>0</v>
      </c>
      <c r="AY25" s="471">
        <f t="shared" si="30"/>
        <v>0</v>
      </c>
      <c r="AZ25" s="475">
        <f t="shared" si="31"/>
        <v>7.2500000000000009E-2</v>
      </c>
      <c r="BA25" s="471">
        <f t="shared" si="52"/>
        <v>0</v>
      </c>
      <c r="BB25" s="471">
        <f t="shared" si="32"/>
        <v>0</v>
      </c>
      <c r="BC25" s="476">
        <f t="shared" si="33"/>
        <v>0</v>
      </c>
      <c r="BD25" s="484">
        <f t="shared" si="34"/>
        <v>0</v>
      </c>
      <c r="BE25" s="474">
        <f t="shared" si="35"/>
        <v>0</v>
      </c>
      <c r="BF25" s="471">
        <f t="shared" si="36"/>
        <v>0</v>
      </c>
      <c r="BG25" s="475">
        <f t="shared" si="37"/>
        <v>8.0000000000000016E-2</v>
      </c>
      <c r="BH25" s="471">
        <f t="shared" si="53"/>
        <v>0</v>
      </c>
      <c r="BI25" s="471">
        <f t="shared" si="38"/>
        <v>0</v>
      </c>
      <c r="BJ25" s="473">
        <f t="shared" si="39"/>
        <v>0</v>
      </c>
      <c r="BK25" s="479">
        <f t="shared" si="40"/>
        <v>0</v>
      </c>
      <c r="BL25" s="480">
        <f t="shared" si="40"/>
        <v>0</v>
      </c>
      <c r="BM25" s="480">
        <f t="shared" si="41"/>
        <v>0</v>
      </c>
      <c r="BN25" s="480">
        <f t="shared" si="41"/>
        <v>0</v>
      </c>
      <c r="BO25" s="480">
        <f t="shared" si="42"/>
        <v>0</v>
      </c>
      <c r="BP25" s="480">
        <f t="shared" si="43"/>
        <v>0</v>
      </c>
      <c r="BQ25" s="480">
        <f t="shared" si="44"/>
        <v>0</v>
      </c>
      <c r="BR25" s="480">
        <f t="shared" si="45"/>
        <v>0</v>
      </c>
      <c r="BS25" s="480">
        <f t="shared" si="46"/>
        <v>0</v>
      </c>
      <c r="BT25" s="480">
        <f t="shared" si="47"/>
        <v>0</v>
      </c>
      <c r="BU25" s="480">
        <f t="shared" si="48"/>
        <v>0</v>
      </c>
      <c r="BV25" s="480">
        <f t="shared" si="49"/>
        <v>0</v>
      </c>
      <c r="BW25" s="41"/>
      <c r="BX25" s="39">
        <f t="shared" si="54"/>
        <v>0</v>
      </c>
      <c r="BY25" s="39">
        <f t="shared" si="55"/>
        <v>0</v>
      </c>
      <c r="BZ25" s="39">
        <f t="shared" si="56"/>
        <v>0</v>
      </c>
      <c r="CA25" s="40" t="s">
        <v>374</v>
      </c>
      <c r="CB25" s="40"/>
      <c r="CC25" s="40"/>
    </row>
    <row r="26" spans="1:81" ht="15" hidden="1">
      <c r="A26" s="453">
        <f t="shared" si="57"/>
        <v>17</v>
      </c>
      <c r="B26" s="454" t="s">
        <v>382</v>
      </c>
      <c r="C26" s="494" t="s">
        <v>392</v>
      </c>
      <c r="D26" s="456"/>
      <c r="E26" s="457" t="s">
        <v>381</v>
      </c>
      <c r="F26" s="458"/>
      <c r="G26" s="459">
        <v>3</v>
      </c>
      <c r="H26" s="459">
        <v>3</v>
      </c>
      <c r="I26" s="461" t="s">
        <v>373</v>
      </c>
      <c r="J26" s="462">
        <v>77000</v>
      </c>
      <c r="K26" s="463"/>
      <c r="L26" s="495">
        <v>0</v>
      </c>
      <c r="M26" s="491"/>
      <c r="N26" s="491"/>
      <c r="O26" s="496"/>
      <c r="P26" s="496"/>
      <c r="Q26" s="467">
        <f t="shared" si="6"/>
        <v>77000</v>
      </c>
      <c r="R26" s="483">
        <f>Q26*R$3+Q26</f>
        <v>79310</v>
      </c>
      <c r="S26" s="483">
        <f>R26*S$3+R26</f>
        <v>81689.3</v>
      </c>
      <c r="T26" s="483">
        <f>S26*T$3+S26</f>
        <v>84139.979000000007</v>
      </c>
      <c r="U26" s="483">
        <f>T26*U$3+T26</f>
        <v>86664.178370000009</v>
      </c>
      <c r="V26" s="468">
        <f>Q26*L26</f>
        <v>0</v>
      </c>
      <c r="W26" s="468">
        <f>R26*M26</f>
        <v>0</v>
      </c>
      <c r="X26" s="468">
        <f>S26*N26</f>
        <v>0</v>
      </c>
      <c r="Y26" s="468">
        <f>T26*O26</f>
        <v>0</v>
      </c>
      <c r="Z26" s="468">
        <f>U26*P26</f>
        <v>0</v>
      </c>
      <c r="AA26" s="469">
        <f t="shared" si="9"/>
        <v>0</v>
      </c>
      <c r="AB26" s="470">
        <f t="shared" si="10"/>
        <v>0</v>
      </c>
      <c r="AC26" s="471">
        <f t="shared" si="11"/>
        <v>0</v>
      </c>
      <c r="AD26" s="471">
        <f t="shared" si="12"/>
        <v>0</v>
      </c>
      <c r="AE26" s="472">
        <v>0.05</v>
      </c>
      <c r="AF26" s="471">
        <f t="shared" si="13"/>
        <v>0</v>
      </c>
      <c r="AG26" s="471">
        <f t="shared" si="14"/>
        <v>0</v>
      </c>
      <c r="AH26" s="473">
        <f t="shared" si="15"/>
        <v>0</v>
      </c>
      <c r="AI26" s="484">
        <f t="shared" si="16"/>
        <v>0</v>
      </c>
      <c r="AJ26" s="474">
        <f t="shared" si="17"/>
        <v>0</v>
      </c>
      <c r="AK26" s="471">
        <f t="shared" si="18"/>
        <v>0</v>
      </c>
      <c r="AL26" s="475">
        <f t="shared" si="19"/>
        <v>5.7500000000000002E-2</v>
      </c>
      <c r="AM26" s="471">
        <f t="shared" si="50"/>
        <v>0</v>
      </c>
      <c r="AN26" s="471">
        <f t="shared" si="20"/>
        <v>0</v>
      </c>
      <c r="AO26" s="476">
        <f t="shared" si="21"/>
        <v>0</v>
      </c>
      <c r="AP26" s="484">
        <f t="shared" si="22"/>
        <v>0</v>
      </c>
      <c r="AQ26" s="485">
        <f t="shared" si="23"/>
        <v>0</v>
      </c>
      <c r="AR26" s="471">
        <f t="shared" si="24"/>
        <v>0</v>
      </c>
      <c r="AS26" s="475">
        <f t="shared" si="25"/>
        <v>6.5000000000000002E-2</v>
      </c>
      <c r="AT26" s="471">
        <f t="shared" si="51"/>
        <v>0</v>
      </c>
      <c r="AU26" s="471">
        <f t="shared" si="26"/>
        <v>0</v>
      </c>
      <c r="AV26" s="476">
        <f t="shared" si="27"/>
        <v>0</v>
      </c>
      <c r="AW26" s="484">
        <f t="shared" si="28"/>
        <v>0</v>
      </c>
      <c r="AX26" s="485">
        <f t="shared" si="29"/>
        <v>0</v>
      </c>
      <c r="AY26" s="471">
        <f t="shared" si="30"/>
        <v>0</v>
      </c>
      <c r="AZ26" s="475">
        <f t="shared" si="31"/>
        <v>7.2500000000000009E-2</v>
      </c>
      <c r="BA26" s="471">
        <f t="shared" si="52"/>
        <v>0</v>
      </c>
      <c r="BB26" s="471">
        <f t="shared" si="32"/>
        <v>0</v>
      </c>
      <c r="BC26" s="476">
        <f t="shared" si="33"/>
        <v>0</v>
      </c>
      <c r="BD26" s="484">
        <f t="shared" si="34"/>
        <v>0</v>
      </c>
      <c r="BE26" s="474">
        <f t="shared" si="35"/>
        <v>0</v>
      </c>
      <c r="BF26" s="471">
        <f t="shared" si="36"/>
        <v>0</v>
      </c>
      <c r="BG26" s="475">
        <f t="shared" si="37"/>
        <v>8.0000000000000016E-2</v>
      </c>
      <c r="BH26" s="471">
        <f t="shared" si="53"/>
        <v>0</v>
      </c>
      <c r="BI26" s="471">
        <f t="shared" si="38"/>
        <v>0</v>
      </c>
      <c r="BJ26" s="473">
        <f t="shared" si="39"/>
        <v>0</v>
      </c>
      <c r="BK26" s="479">
        <f>AC26+AJ26+AQ26+AX26+BE26</f>
        <v>0</v>
      </c>
      <c r="BL26" s="480">
        <f>AD26+AK26+AR26+AY26+BF26</f>
        <v>0</v>
      </c>
      <c r="BM26" s="480">
        <f>BH26+BA26+AT26++AM26+AF26</f>
        <v>0</v>
      </c>
      <c r="BN26" s="480">
        <f>BI26+BB26+AU26++AN26+AG26</f>
        <v>0</v>
      </c>
      <c r="BO26" s="480">
        <f t="shared" si="42"/>
        <v>0</v>
      </c>
      <c r="BP26" s="480">
        <f t="shared" si="43"/>
        <v>0</v>
      </c>
      <c r="BQ26" s="480">
        <f t="shared" si="44"/>
        <v>0</v>
      </c>
      <c r="BR26" s="480">
        <f t="shared" si="45"/>
        <v>0</v>
      </c>
      <c r="BS26" s="480">
        <f t="shared" si="46"/>
        <v>0</v>
      </c>
      <c r="BT26" s="480">
        <f t="shared" si="47"/>
        <v>0</v>
      </c>
      <c r="BU26" s="480">
        <f t="shared" si="48"/>
        <v>0</v>
      </c>
      <c r="BV26" s="480">
        <f t="shared" si="49"/>
        <v>0</v>
      </c>
      <c r="BW26" s="41"/>
      <c r="BX26" s="39">
        <f t="shared" si="54"/>
        <v>0</v>
      </c>
      <c r="BY26" s="39">
        <f t="shared" si="55"/>
        <v>0</v>
      </c>
      <c r="BZ26" s="39">
        <f t="shared" si="56"/>
        <v>0</v>
      </c>
      <c r="CA26" s="40" t="s">
        <v>374</v>
      </c>
      <c r="CB26" s="40"/>
      <c r="CC26" s="40"/>
    </row>
    <row r="27" spans="1:81" ht="15" hidden="1">
      <c r="A27" s="453">
        <f t="shared" si="57"/>
        <v>18</v>
      </c>
      <c r="B27" s="454" t="s">
        <v>382</v>
      </c>
      <c r="C27" s="494" t="s">
        <v>393</v>
      </c>
      <c r="D27" s="456"/>
      <c r="E27" s="457" t="s">
        <v>381</v>
      </c>
      <c r="F27" s="458"/>
      <c r="G27" s="459">
        <v>3</v>
      </c>
      <c r="H27" s="459">
        <v>3</v>
      </c>
      <c r="I27" s="461" t="s">
        <v>394</v>
      </c>
      <c r="J27" s="462">
        <v>10</v>
      </c>
      <c r="K27" s="463"/>
      <c r="L27" s="497">
        <v>0</v>
      </c>
      <c r="M27" s="466"/>
      <c r="N27" s="466"/>
      <c r="O27" s="466"/>
      <c r="P27" s="466"/>
      <c r="Q27" s="467">
        <f t="shared" si="6"/>
        <v>10</v>
      </c>
      <c r="R27" s="483">
        <f t="shared" si="7"/>
        <v>10.3</v>
      </c>
      <c r="S27" s="483">
        <f t="shared" si="7"/>
        <v>10.609</v>
      </c>
      <c r="T27" s="483">
        <f t="shared" si="7"/>
        <v>10.92727</v>
      </c>
      <c r="U27" s="483">
        <f t="shared" si="7"/>
        <v>11.2550881</v>
      </c>
      <c r="V27" s="468">
        <f t="shared" si="8"/>
        <v>0</v>
      </c>
      <c r="W27" s="468">
        <f t="shared" si="8"/>
        <v>0</v>
      </c>
      <c r="X27" s="468">
        <f t="shared" si="8"/>
        <v>0</v>
      </c>
      <c r="Y27" s="468">
        <f t="shared" si="8"/>
        <v>0</v>
      </c>
      <c r="Z27" s="468">
        <f t="shared" si="8"/>
        <v>0</v>
      </c>
      <c r="AA27" s="469">
        <f t="shared" si="9"/>
        <v>0</v>
      </c>
      <c r="AB27" s="470">
        <f t="shared" si="10"/>
        <v>0</v>
      </c>
      <c r="AC27" s="471">
        <f t="shared" si="11"/>
        <v>0</v>
      </c>
      <c r="AD27" s="471">
        <f t="shared" si="12"/>
        <v>0</v>
      </c>
      <c r="AE27" s="472">
        <v>0.05</v>
      </c>
      <c r="AF27" s="471">
        <f t="shared" si="13"/>
        <v>0</v>
      </c>
      <c r="AG27" s="471">
        <f t="shared" si="14"/>
        <v>0</v>
      </c>
      <c r="AH27" s="473">
        <f t="shared" si="15"/>
        <v>0</v>
      </c>
      <c r="AI27" s="484">
        <f t="shared" si="16"/>
        <v>0</v>
      </c>
      <c r="AJ27" s="474">
        <f t="shared" si="17"/>
        <v>0</v>
      </c>
      <c r="AK27" s="471">
        <f t="shared" si="18"/>
        <v>0</v>
      </c>
      <c r="AL27" s="475">
        <f t="shared" si="19"/>
        <v>5.7500000000000002E-2</v>
      </c>
      <c r="AM27" s="471">
        <f t="shared" si="50"/>
        <v>0</v>
      </c>
      <c r="AN27" s="471">
        <f t="shared" si="20"/>
        <v>0</v>
      </c>
      <c r="AO27" s="476">
        <f t="shared" si="21"/>
        <v>0</v>
      </c>
      <c r="AP27" s="484">
        <f t="shared" si="22"/>
        <v>0</v>
      </c>
      <c r="AQ27" s="485">
        <f t="shared" si="23"/>
        <v>0</v>
      </c>
      <c r="AR27" s="471">
        <f t="shared" si="24"/>
        <v>0</v>
      </c>
      <c r="AS27" s="475">
        <f t="shared" si="25"/>
        <v>6.5000000000000002E-2</v>
      </c>
      <c r="AT27" s="471">
        <f t="shared" si="51"/>
        <v>0</v>
      </c>
      <c r="AU27" s="471">
        <f t="shared" si="26"/>
        <v>0</v>
      </c>
      <c r="AV27" s="476">
        <f t="shared" si="27"/>
        <v>0</v>
      </c>
      <c r="AW27" s="484">
        <f t="shared" si="28"/>
        <v>0</v>
      </c>
      <c r="AX27" s="485">
        <f t="shared" si="29"/>
        <v>0</v>
      </c>
      <c r="AY27" s="471">
        <f t="shared" si="30"/>
        <v>0</v>
      </c>
      <c r="AZ27" s="475">
        <f t="shared" si="31"/>
        <v>7.2500000000000009E-2</v>
      </c>
      <c r="BA27" s="471">
        <f t="shared" si="52"/>
        <v>0</v>
      </c>
      <c r="BB27" s="471">
        <f t="shared" si="32"/>
        <v>0</v>
      </c>
      <c r="BC27" s="476">
        <f t="shared" si="33"/>
        <v>0</v>
      </c>
      <c r="BD27" s="484">
        <f t="shared" si="34"/>
        <v>0</v>
      </c>
      <c r="BE27" s="474">
        <f t="shared" si="35"/>
        <v>0</v>
      </c>
      <c r="BF27" s="471">
        <f t="shared" si="36"/>
        <v>0</v>
      </c>
      <c r="BG27" s="475">
        <f t="shared" si="37"/>
        <v>8.0000000000000016E-2</v>
      </c>
      <c r="BH27" s="471">
        <f t="shared" si="53"/>
        <v>0</v>
      </c>
      <c r="BI27" s="471">
        <f t="shared" si="38"/>
        <v>0</v>
      </c>
      <c r="BJ27" s="473">
        <f t="shared" si="39"/>
        <v>0</v>
      </c>
      <c r="BK27" s="479">
        <f t="shared" si="40"/>
        <v>0</v>
      </c>
      <c r="BL27" s="480">
        <f t="shared" si="40"/>
        <v>0</v>
      </c>
      <c r="BM27" s="480">
        <f t="shared" si="41"/>
        <v>0</v>
      </c>
      <c r="BN27" s="480">
        <f t="shared" si="41"/>
        <v>0</v>
      </c>
      <c r="BO27" s="480">
        <f t="shared" si="42"/>
        <v>0</v>
      </c>
      <c r="BP27" s="480">
        <f t="shared" si="43"/>
        <v>0</v>
      </c>
      <c r="BQ27" s="480">
        <f t="shared" si="44"/>
        <v>0</v>
      </c>
      <c r="BR27" s="480">
        <f t="shared" si="45"/>
        <v>0</v>
      </c>
      <c r="BS27" s="480">
        <f t="shared" si="46"/>
        <v>0</v>
      </c>
      <c r="BT27" s="480">
        <f t="shared" si="47"/>
        <v>0</v>
      </c>
      <c r="BU27" s="480">
        <f t="shared" si="48"/>
        <v>0</v>
      </c>
      <c r="BV27" s="480">
        <f t="shared" si="49"/>
        <v>0</v>
      </c>
      <c r="BW27" s="41"/>
      <c r="BX27" s="39">
        <f t="shared" si="54"/>
        <v>0</v>
      </c>
      <c r="BY27" s="39">
        <f t="shared" si="55"/>
        <v>0</v>
      </c>
      <c r="BZ27" s="39">
        <f t="shared" si="56"/>
        <v>0</v>
      </c>
      <c r="CA27" s="40" t="s">
        <v>374</v>
      </c>
      <c r="CB27" s="40"/>
      <c r="CC27" s="40"/>
    </row>
    <row r="28" spans="1:81" ht="15">
      <c r="A28" s="453">
        <f t="shared" si="57"/>
        <v>19</v>
      </c>
      <c r="B28" s="454" t="s">
        <v>370</v>
      </c>
      <c r="C28" s="492" t="s">
        <v>395</v>
      </c>
      <c r="D28" s="456"/>
      <c r="E28" s="457" t="s">
        <v>381</v>
      </c>
      <c r="F28" s="458"/>
      <c r="G28" s="459">
        <v>5</v>
      </c>
      <c r="H28" s="460">
        <v>5</v>
      </c>
      <c r="I28" s="461" t="s">
        <v>373</v>
      </c>
      <c r="J28" s="462">
        <v>6500</v>
      </c>
      <c r="K28" s="463"/>
      <c r="L28" s="497">
        <v>5</v>
      </c>
      <c r="M28" s="465"/>
      <c r="N28" s="465"/>
      <c r="O28" s="465"/>
      <c r="P28" s="465"/>
      <c r="Q28" s="467">
        <f t="shared" si="6"/>
        <v>6500</v>
      </c>
      <c r="R28" s="483">
        <f t="shared" si="7"/>
        <v>6695</v>
      </c>
      <c r="S28" s="483">
        <f t="shared" si="7"/>
        <v>6895.85</v>
      </c>
      <c r="T28" s="483">
        <f t="shared" si="7"/>
        <v>7102.7255000000005</v>
      </c>
      <c r="U28" s="483">
        <f t="shared" si="7"/>
        <v>7315.8072650000004</v>
      </c>
      <c r="V28" s="468">
        <f t="shared" si="8"/>
        <v>32500</v>
      </c>
      <c r="W28" s="468">
        <f t="shared" si="8"/>
        <v>0</v>
      </c>
      <c r="X28" s="468">
        <f t="shared" si="8"/>
        <v>0</v>
      </c>
      <c r="Y28" s="468">
        <f t="shared" si="8"/>
        <v>0</v>
      </c>
      <c r="Z28" s="468">
        <f t="shared" si="8"/>
        <v>0</v>
      </c>
      <c r="AA28" s="469">
        <f t="shared" si="9"/>
        <v>32500</v>
      </c>
      <c r="AB28" s="470">
        <f t="shared" si="10"/>
        <v>9536.6254594391103</v>
      </c>
      <c r="AC28" s="471">
        <f t="shared" si="11"/>
        <v>6500</v>
      </c>
      <c r="AD28" s="471">
        <f t="shared" si="12"/>
        <v>3036.6254594391103</v>
      </c>
      <c r="AE28" s="472">
        <v>0.05</v>
      </c>
      <c r="AF28" s="471">
        <f t="shared" si="13"/>
        <v>1625</v>
      </c>
      <c r="AG28" s="471">
        <f t="shared" si="14"/>
        <v>81.25</v>
      </c>
      <c r="AH28" s="473">
        <f t="shared" si="15"/>
        <v>26000</v>
      </c>
      <c r="AI28" s="484">
        <f t="shared" si="16"/>
        <v>8929.3003675512882</v>
      </c>
      <c r="AJ28" s="474">
        <f t="shared" si="17"/>
        <v>6500</v>
      </c>
      <c r="AK28" s="471">
        <f t="shared" si="18"/>
        <v>2429.3003675512887</v>
      </c>
      <c r="AL28" s="475">
        <f t="shared" si="19"/>
        <v>5.7500000000000002E-2</v>
      </c>
      <c r="AM28" s="471">
        <f t="shared" si="50"/>
        <v>1868.75</v>
      </c>
      <c r="AN28" s="471">
        <f t="shared" si="20"/>
        <v>66.300000000000011</v>
      </c>
      <c r="AO28" s="476">
        <f t="shared" si="21"/>
        <v>19500</v>
      </c>
      <c r="AP28" s="484">
        <f t="shared" si="22"/>
        <v>8321.9752756634662</v>
      </c>
      <c r="AQ28" s="485">
        <f t="shared" si="23"/>
        <v>6500</v>
      </c>
      <c r="AR28" s="471">
        <f t="shared" si="24"/>
        <v>1821.9752756634662</v>
      </c>
      <c r="AS28" s="475">
        <f t="shared" si="25"/>
        <v>6.5000000000000002E-2</v>
      </c>
      <c r="AT28" s="471">
        <f t="shared" si="51"/>
        <v>2112.5</v>
      </c>
      <c r="AU28" s="471">
        <f t="shared" si="26"/>
        <v>50.719500000000004</v>
      </c>
      <c r="AV28" s="476">
        <f t="shared" si="27"/>
        <v>13000</v>
      </c>
      <c r="AW28" s="484">
        <f t="shared" si="28"/>
        <v>7714.6501837756441</v>
      </c>
      <c r="AX28" s="474">
        <f t="shared" si="29"/>
        <v>6500</v>
      </c>
      <c r="AY28" s="471">
        <f t="shared" si="30"/>
        <v>1214.6501837756443</v>
      </c>
      <c r="AZ28" s="475">
        <f t="shared" si="31"/>
        <v>7.2500000000000009E-2</v>
      </c>
      <c r="BA28" s="471">
        <f t="shared" si="52"/>
        <v>2356.2500000000005</v>
      </c>
      <c r="BB28" s="471">
        <f t="shared" si="32"/>
        <v>34.489260000000002</v>
      </c>
      <c r="BC28" s="476">
        <f t="shared" si="33"/>
        <v>6500</v>
      </c>
      <c r="BD28" s="484">
        <f t="shared" si="34"/>
        <v>7107.3250918878221</v>
      </c>
      <c r="BE28" s="474">
        <f t="shared" si="35"/>
        <v>6500</v>
      </c>
      <c r="BF28" s="471">
        <f t="shared" si="36"/>
        <v>607.32509188782217</v>
      </c>
      <c r="BG28" s="475">
        <f t="shared" si="37"/>
        <v>8.0000000000000016E-2</v>
      </c>
      <c r="BH28" s="471">
        <f t="shared" si="53"/>
        <v>2600.0000000000005</v>
      </c>
      <c r="BI28" s="471">
        <f t="shared" si="38"/>
        <v>17.589522600000002</v>
      </c>
      <c r="BJ28" s="473">
        <f t="shared" si="39"/>
        <v>0</v>
      </c>
      <c r="BK28" s="479">
        <f t="shared" si="40"/>
        <v>32500</v>
      </c>
      <c r="BL28" s="480">
        <f t="shared" si="40"/>
        <v>9109.8763783173308</v>
      </c>
      <c r="BM28" s="480">
        <f t="shared" si="41"/>
        <v>10562.5</v>
      </c>
      <c r="BN28" s="480">
        <f t="shared" si="41"/>
        <v>250.3482826</v>
      </c>
      <c r="BO28" s="480">
        <f t="shared" si="42"/>
        <v>41609.876378317334</v>
      </c>
      <c r="BP28" s="480">
        <f t="shared" si="43"/>
        <v>52422.724660917331</v>
      </c>
      <c r="BQ28" s="480">
        <f t="shared" si="44"/>
        <v>41609.876378317334</v>
      </c>
      <c r="BR28" s="480">
        <f t="shared" si="45"/>
        <v>0</v>
      </c>
      <c r="BS28" s="480">
        <f t="shared" si="46"/>
        <v>0</v>
      </c>
      <c r="BT28" s="480">
        <f t="shared" si="47"/>
        <v>0</v>
      </c>
      <c r="BU28" s="480">
        <f t="shared" si="48"/>
        <v>0</v>
      </c>
      <c r="BV28" s="480">
        <f t="shared" si="49"/>
        <v>0</v>
      </c>
      <c r="BW28" s="41"/>
      <c r="BX28" s="39">
        <f t="shared" si="54"/>
        <v>936.90628828659248</v>
      </c>
      <c r="BY28" s="39">
        <f t="shared" si="55"/>
        <v>905.36253062927392</v>
      </c>
      <c r="BZ28" s="39">
        <f t="shared" si="56"/>
        <v>873.76623130528878</v>
      </c>
      <c r="CA28" s="40" t="s">
        <v>374</v>
      </c>
      <c r="CB28" s="40"/>
      <c r="CC28" s="40"/>
    </row>
    <row r="29" spans="1:81" ht="15">
      <c r="A29" s="453">
        <f t="shared" si="57"/>
        <v>20</v>
      </c>
      <c r="B29" s="454" t="s">
        <v>370</v>
      </c>
      <c r="C29" s="492" t="s">
        <v>396</v>
      </c>
      <c r="D29" s="456"/>
      <c r="E29" s="457" t="s">
        <v>381</v>
      </c>
      <c r="F29" s="458"/>
      <c r="G29" s="459">
        <v>5</v>
      </c>
      <c r="H29" s="460">
        <v>5</v>
      </c>
      <c r="I29" s="461" t="s">
        <v>373</v>
      </c>
      <c r="J29" s="462">
        <v>2500</v>
      </c>
      <c r="K29" s="463"/>
      <c r="L29" s="497">
        <f>'Manpower Summary'!C14</f>
        <v>8</v>
      </c>
      <c r="M29" s="466"/>
      <c r="N29" s="466"/>
      <c r="O29" s="466"/>
      <c r="P29" s="466"/>
      <c r="Q29" s="467">
        <f t="shared" si="6"/>
        <v>2500</v>
      </c>
      <c r="R29" s="483">
        <f t="shared" si="7"/>
        <v>2575</v>
      </c>
      <c r="S29" s="483">
        <f t="shared" si="7"/>
        <v>2652.25</v>
      </c>
      <c r="T29" s="483">
        <f t="shared" si="7"/>
        <v>2731.8175000000001</v>
      </c>
      <c r="U29" s="483">
        <f t="shared" si="7"/>
        <v>2813.7720250000002</v>
      </c>
      <c r="V29" s="468">
        <f t="shared" si="8"/>
        <v>20000</v>
      </c>
      <c r="W29" s="468">
        <f t="shared" si="8"/>
        <v>0</v>
      </c>
      <c r="X29" s="468">
        <f t="shared" si="8"/>
        <v>0</v>
      </c>
      <c r="Y29" s="468">
        <f t="shared" si="8"/>
        <v>0</v>
      </c>
      <c r="Z29" s="468">
        <f t="shared" si="8"/>
        <v>0</v>
      </c>
      <c r="AA29" s="469">
        <f t="shared" si="9"/>
        <v>20000</v>
      </c>
      <c r="AB29" s="470">
        <f t="shared" si="10"/>
        <v>5868.6925904240679</v>
      </c>
      <c r="AC29" s="471">
        <f t="shared" si="11"/>
        <v>4000</v>
      </c>
      <c r="AD29" s="471">
        <f t="shared" si="12"/>
        <v>1868.6925904240679</v>
      </c>
      <c r="AE29" s="472">
        <v>0.05</v>
      </c>
      <c r="AF29" s="471">
        <f t="shared" si="13"/>
        <v>1000</v>
      </c>
      <c r="AG29" s="471">
        <f t="shared" si="14"/>
        <v>50</v>
      </c>
      <c r="AH29" s="473">
        <f t="shared" si="15"/>
        <v>16000</v>
      </c>
      <c r="AI29" s="484">
        <f t="shared" si="16"/>
        <v>5494.9540723392547</v>
      </c>
      <c r="AJ29" s="474">
        <f t="shared" si="17"/>
        <v>4000</v>
      </c>
      <c r="AK29" s="471">
        <f t="shared" si="18"/>
        <v>1494.9540723392543</v>
      </c>
      <c r="AL29" s="475">
        <f t="shared" si="19"/>
        <v>5.7500000000000002E-2</v>
      </c>
      <c r="AM29" s="471">
        <f t="shared" si="50"/>
        <v>1150</v>
      </c>
      <c r="AN29" s="471">
        <f t="shared" si="20"/>
        <v>40.800000000000004</v>
      </c>
      <c r="AO29" s="476">
        <f t="shared" si="21"/>
        <v>12000</v>
      </c>
      <c r="AP29" s="484">
        <f t="shared" si="22"/>
        <v>5121.2155542544406</v>
      </c>
      <c r="AQ29" s="485">
        <f t="shared" si="23"/>
        <v>4000</v>
      </c>
      <c r="AR29" s="471">
        <f t="shared" si="24"/>
        <v>1121.2155542544406</v>
      </c>
      <c r="AS29" s="475">
        <f t="shared" si="25"/>
        <v>6.5000000000000002E-2</v>
      </c>
      <c r="AT29" s="471">
        <f t="shared" si="51"/>
        <v>1300</v>
      </c>
      <c r="AU29" s="471">
        <f t="shared" si="26"/>
        <v>31.212</v>
      </c>
      <c r="AV29" s="476">
        <f t="shared" si="27"/>
        <v>8000</v>
      </c>
      <c r="AW29" s="484">
        <f t="shared" si="28"/>
        <v>4747.4770361696274</v>
      </c>
      <c r="AX29" s="474">
        <f t="shared" si="29"/>
        <v>4000</v>
      </c>
      <c r="AY29" s="471">
        <f t="shared" si="30"/>
        <v>747.47703616962713</v>
      </c>
      <c r="AZ29" s="475">
        <f t="shared" si="31"/>
        <v>7.2500000000000009E-2</v>
      </c>
      <c r="BA29" s="471">
        <f t="shared" si="52"/>
        <v>1450.0000000000002</v>
      </c>
      <c r="BB29" s="471">
        <f t="shared" si="32"/>
        <v>21.224159999999998</v>
      </c>
      <c r="BC29" s="476">
        <f t="shared" si="33"/>
        <v>4000</v>
      </c>
      <c r="BD29" s="484">
        <f t="shared" si="34"/>
        <v>4373.7385180848132</v>
      </c>
      <c r="BE29" s="474">
        <f t="shared" si="35"/>
        <v>4000</v>
      </c>
      <c r="BF29" s="471">
        <f t="shared" si="36"/>
        <v>373.73851808481356</v>
      </c>
      <c r="BG29" s="475">
        <f t="shared" si="37"/>
        <v>8.0000000000000016E-2</v>
      </c>
      <c r="BH29" s="471">
        <f t="shared" si="53"/>
        <v>1600.0000000000002</v>
      </c>
      <c r="BI29" s="471">
        <f t="shared" si="38"/>
        <v>10.824321600000001</v>
      </c>
      <c r="BJ29" s="473">
        <f t="shared" si="39"/>
        <v>0</v>
      </c>
      <c r="BK29" s="479">
        <f t="shared" si="40"/>
        <v>20000</v>
      </c>
      <c r="BL29" s="480">
        <f t="shared" si="40"/>
        <v>5606.0777712722029</v>
      </c>
      <c r="BM29" s="480">
        <f t="shared" si="41"/>
        <v>6500</v>
      </c>
      <c r="BN29" s="480">
        <f t="shared" si="41"/>
        <v>154.0604816</v>
      </c>
      <c r="BO29" s="480">
        <f t="shared" si="42"/>
        <v>25606.077771272205</v>
      </c>
      <c r="BP29" s="480">
        <f t="shared" si="43"/>
        <v>32260.138252872202</v>
      </c>
      <c r="BQ29" s="480">
        <f t="shared" si="44"/>
        <v>25606.077771272205</v>
      </c>
      <c r="BR29" s="480">
        <f t="shared" si="45"/>
        <v>0</v>
      </c>
      <c r="BS29" s="480">
        <f t="shared" si="46"/>
        <v>0</v>
      </c>
      <c r="BT29" s="480">
        <f t="shared" si="47"/>
        <v>0</v>
      </c>
      <c r="BU29" s="480">
        <f t="shared" si="48"/>
        <v>0</v>
      </c>
      <c r="BV29" s="480">
        <f t="shared" si="49"/>
        <v>0</v>
      </c>
      <c r="BW29" s="41"/>
      <c r="BX29" s="39">
        <f t="shared" si="54"/>
        <v>576.55771586867229</v>
      </c>
      <c r="BY29" s="39">
        <f t="shared" si="55"/>
        <v>557.14617269493795</v>
      </c>
      <c r="BZ29" s="39">
        <f t="shared" si="56"/>
        <v>537.70229618787005</v>
      </c>
      <c r="CA29" s="40" t="s">
        <v>374</v>
      </c>
      <c r="CB29" s="40"/>
      <c r="CC29" s="40"/>
    </row>
    <row r="30" spans="1:81" ht="15">
      <c r="A30" s="453">
        <f t="shared" si="57"/>
        <v>21</v>
      </c>
      <c r="B30" s="454" t="s">
        <v>370</v>
      </c>
      <c r="C30" s="492" t="s">
        <v>397</v>
      </c>
      <c r="D30" s="456"/>
      <c r="E30" s="457" t="s">
        <v>381</v>
      </c>
      <c r="F30" s="458"/>
      <c r="G30" s="459">
        <v>5</v>
      </c>
      <c r="H30" s="460">
        <v>5</v>
      </c>
      <c r="I30" s="461" t="s">
        <v>373</v>
      </c>
      <c r="J30" s="462">
        <v>2500</v>
      </c>
      <c r="K30" s="463"/>
      <c r="L30" s="497">
        <v>3</v>
      </c>
      <c r="M30" s="466"/>
      <c r="N30" s="466"/>
      <c r="O30" s="466"/>
      <c r="P30" s="466"/>
      <c r="Q30" s="467">
        <f t="shared" si="6"/>
        <v>2500</v>
      </c>
      <c r="R30" s="483">
        <f>Q30*R$3+Q30</f>
        <v>2575</v>
      </c>
      <c r="S30" s="483">
        <f>R30*S$3+R30</f>
        <v>2652.25</v>
      </c>
      <c r="T30" s="483">
        <f>S30*T$3+S30</f>
        <v>2731.8175000000001</v>
      </c>
      <c r="U30" s="483">
        <f>T30*U$3+T30</f>
        <v>2813.7720250000002</v>
      </c>
      <c r="V30" s="468">
        <f>Q30*L30</f>
        <v>7500</v>
      </c>
      <c r="W30" s="468">
        <f>R30*M30</f>
        <v>0</v>
      </c>
      <c r="X30" s="468">
        <f>S30*N30</f>
        <v>0</v>
      </c>
      <c r="Y30" s="468">
        <f>T30*O30</f>
        <v>0</v>
      </c>
      <c r="Z30" s="468">
        <f>U30*P30</f>
        <v>0</v>
      </c>
      <c r="AA30" s="469">
        <f t="shared" si="9"/>
        <v>7500</v>
      </c>
      <c r="AB30" s="470">
        <f t="shared" si="10"/>
        <v>2200.7597214090256</v>
      </c>
      <c r="AC30" s="471">
        <f t="shared" si="11"/>
        <v>1500</v>
      </c>
      <c r="AD30" s="471">
        <f t="shared" si="12"/>
        <v>700.75972140902559</v>
      </c>
      <c r="AE30" s="472">
        <v>0.05</v>
      </c>
      <c r="AF30" s="471">
        <f t="shared" si="13"/>
        <v>375</v>
      </c>
      <c r="AG30" s="471">
        <f t="shared" si="14"/>
        <v>18.75</v>
      </c>
      <c r="AH30" s="473">
        <f t="shared" si="15"/>
        <v>6000</v>
      </c>
      <c r="AI30" s="484">
        <f t="shared" si="16"/>
        <v>2060.6077771272203</v>
      </c>
      <c r="AJ30" s="474">
        <f t="shared" si="17"/>
        <v>1500</v>
      </c>
      <c r="AK30" s="471">
        <f t="shared" si="18"/>
        <v>560.60777712722029</v>
      </c>
      <c r="AL30" s="475">
        <f t="shared" si="19"/>
        <v>5.7500000000000002E-2</v>
      </c>
      <c r="AM30" s="471">
        <f t="shared" si="50"/>
        <v>431.25</v>
      </c>
      <c r="AN30" s="471">
        <f t="shared" si="20"/>
        <v>15.3</v>
      </c>
      <c r="AO30" s="476">
        <f t="shared" si="21"/>
        <v>4500</v>
      </c>
      <c r="AP30" s="484">
        <f t="shared" si="22"/>
        <v>1920.4558328454152</v>
      </c>
      <c r="AQ30" s="485">
        <f t="shared" si="23"/>
        <v>1500</v>
      </c>
      <c r="AR30" s="471">
        <f t="shared" si="24"/>
        <v>420.45583284541522</v>
      </c>
      <c r="AS30" s="475">
        <f t="shared" si="25"/>
        <v>6.5000000000000002E-2</v>
      </c>
      <c r="AT30" s="471">
        <f t="shared" si="51"/>
        <v>487.5</v>
      </c>
      <c r="AU30" s="471">
        <f t="shared" si="26"/>
        <v>11.704499999999999</v>
      </c>
      <c r="AV30" s="476">
        <f t="shared" si="27"/>
        <v>3000</v>
      </c>
      <c r="AW30" s="484">
        <f t="shared" si="28"/>
        <v>1780.3038885636101</v>
      </c>
      <c r="AX30" s="474">
        <f t="shared" si="29"/>
        <v>1500</v>
      </c>
      <c r="AY30" s="471">
        <f t="shared" si="30"/>
        <v>280.30388856361014</v>
      </c>
      <c r="AZ30" s="475">
        <f t="shared" si="31"/>
        <v>7.2500000000000009E-2</v>
      </c>
      <c r="BA30" s="471">
        <f t="shared" si="52"/>
        <v>543.75000000000011</v>
      </c>
      <c r="BB30" s="471">
        <f t="shared" si="32"/>
        <v>7.9590599999999991</v>
      </c>
      <c r="BC30" s="476">
        <f t="shared" si="33"/>
        <v>1500</v>
      </c>
      <c r="BD30" s="484">
        <f t="shared" si="34"/>
        <v>1640.1519442818051</v>
      </c>
      <c r="BE30" s="474">
        <f t="shared" si="35"/>
        <v>1500</v>
      </c>
      <c r="BF30" s="471">
        <f t="shared" si="36"/>
        <v>140.15194428180507</v>
      </c>
      <c r="BG30" s="475">
        <f t="shared" si="37"/>
        <v>8.0000000000000016E-2</v>
      </c>
      <c r="BH30" s="471">
        <f t="shared" si="53"/>
        <v>600.00000000000011</v>
      </c>
      <c r="BI30" s="471">
        <f t="shared" si="38"/>
        <v>4.0591206</v>
      </c>
      <c r="BJ30" s="473">
        <f t="shared" si="39"/>
        <v>0</v>
      </c>
      <c r="BK30" s="479">
        <f>AC30+AJ30+AQ30+AX30+BE30</f>
        <v>7500</v>
      </c>
      <c r="BL30" s="480">
        <f>AD30+AK30+AR30+AY30+BF30</f>
        <v>2102.2791642270763</v>
      </c>
      <c r="BM30" s="480">
        <f>BH30+BA30+AT30++AM30+AF30</f>
        <v>2437.5</v>
      </c>
      <c r="BN30" s="480">
        <f>BI30+BB30+AU30++AN30+AG30</f>
        <v>57.772680600000001</v>
      </c>
      <c r="BO30" s="480">
        <f t="shared" si="42"/>
        <v>9602.2791642270768</v>
      </c>
      <c r="BP30" s="480">
        <f t="shared" si="43"/>
        <v>12097.551844827078</v>
      </c>
      <c r="BQ30" s="480">
        <f t="shared" si="44"/>
        <v>9602.2791642270749</v>
      </c>
      <c r="BR30" s="480">
        <f t="shared" si="45"/>
        <v>0</v>
      </c>
      <c r="BS30" s="480">
        <f t="shared" si="46"/>
        <v>0</v>
      </c>
      <c r="BT30" s="480">
        <f t="shared" si="47"/>
        <v>0</v>
      </c>
      <c r="BU30" s="480">
        <f t="shared" si="48"/>
        <v>0</v>
      </c>
      <c r="BV30" s="480">
        <f t="shared" si="49"/>
        <v>0</v>
      </c>
      <c r="BW30" s="41"/>
      <c r="BX30" s="39">
        <f t="shared" si="54"/>
        <v>216.20914345075212</v>
      </c>
      <c r="BY30" s="39">
        <f t="shared" si="55"/>
        <v>208.92981476060172</v>
      </c>
      <c r="BZ30" s="39">
        <f t="shared" si="56"/>
        <v>201.63836107045123</v>
      </c>
      <c r="CA30" s="40" t="s">
        <v>374</v>
      </c>
      <c r="CB30" s="40"/>
      <c r="CC30" s="40"/>
    </row>
    <row r="31" spans="1:81" ht="15" hidden="1">
      <c r="A31" s="453">
        <f t="shared" si="57"/>
        <v>22</v>
      </c>
      <c r="B31" s="454" t="s">
        <v>382</v>
      </c>
      <c r="C31" s="492" t="s">
        <v>398</v>
      </c>
      <c r="D31" s="456"/>
      <c r="E31" s="457" t="s">
        <v>381</v>
      </c>
      <c r="F31" s="458"/>
      <c r="G31" s="459">
        <v>3</v>
      </c>
      <c r="H31" s="460">
        <v>3</v>
      </c>
      <c r="I31" s="461" t="s">
        <v>373</v>
      </c>
      <c r="J31" s="462">
        <v>60000</v>
      </c>
      <c r="K31" s="463"/>
      <c r="L31" s="497">
        <v>0</v>
      </c>
      <c r="M31" s="465"/>
      <c r="N31" s="465"/>
      <c r="O31" s="465"/>
      <c r="P31" s="465"/>
      <c r="Q31" s="467">
        <f t="shared" si="6"/>
        <v>60000</v>
      </c>
      <c r="R31" s="483">
        <f t="shared" si="7"/>
        <v>61800</v>
      </c>
      <c r="S31" s="483">
        <f t="shared" si="7"/>
        <v>63654</v>
      </c>
      <c r="T31" s="483">
        <f t="shared" si="7"/>
        <v>65563.62</v>
      </c>
      <c r="U31" s="483">
        <f t="shared" si="7"/>
        <v>67530.528599999991</v>
      </c>
      <c r="V31" s="468">
        <f t="shared" si="8"/>
        <v>0</v>
      </c>
      <c r="W31" s="468">
        <f t="shared" si="8"/>
        <v>0</v>
      </c>
      <c r="X31" s="468">
        <f t="shared" si="8"/>
        <v>0</v>
      </c>
      <c r="Y31" s="468">
        <f t="shared" si="8"/>
        <v>0</v>
      </c>
      <c r="Z31" s="468">
        <f t="shared" si="8"/>
        <v>0</v>
      </c>
      <c r="AA31" s="469">
        <f t="shared" si="9"/>
        <v>0</v>
      </c>
      <c r="AB31" s="470">
        <f t="shared" si="10"/>
        <v>0</v>
      </c>
      <c r="AC31" s="471">
        <f t="shared" si="11"/>
        <v>0</v>
      </c>
      <c r="AD31" s="471">
        <f t="shared" si="12"/>
        <v>0</v>
      </c>
      <c r="AE31" s="472">
        <v>0.05</v>
      </c>
      <c r="AF31" s="471">
        <f t="shared" si="13"/>
        <v>0</v>
      </c>
      <c r="AG31" s="471">
        <f t="shared" si="14"/>
        <v>0</v>
      </c>
      <c r="AH31" s="473">
        <f t="shared" si="15"/>
        <v>0</v>
      </c>
      <c r="AI31" s="484">
        <f t="shared" si="16"/>
        <v>0</v>
      </c>
      <c r="AJ31" s="474">
        <f t="shared" si="17"/>
        <v>0</v>
      </c>
      <c r="AK31" s="471">
        <f t="shared" si="18"/>
        <v>0</v>
      </c>
      <c r="AL31" s="475">
        <f t="shared" si="19"/>
        <v>5.7500000000000002E-2</v>
      </c>
      <c r="AM31" s="471">
        <f t="shared" si="50"/>
        <v>0</v>
      </c>
      <c r="AN31" s="471">
        <f t="shared" si="20"/>
        <v>0</v>
      </c>
      <c r="AO31" s="476">
        <f t="shared" si="21"/>
        <v>0</v>
      </c>
      <c r="AP31" s="484">
        <f t="shared" si="22"/>
        <v>0</v>
      </c>
      <c r="AQ31" s="485">
        <f t="shared" si="23"/>
        <v>0</v>
      </c>
      <c r="AR31" s="471">
        <f t="shared" si="24"/>
        <v>0</v>
      </c>
      <c r="AS31" s="475">
        <f t="shared" si="25"/>
        <v>6.5000000000000002E-2</v>
      </c>
      <c r="AT31" s="471">
        <f t="shared" si="51"/>
        <v>0</v>
      </c>
      <c r="AU31" s="471">
        <f t="shared" si="26"/>
        <v>0</v>
      </c>
      <c r="AV31" s="476">
        <f t="shared" si="27"/>
        <v>0</v>
      </c>
      <c r="AW31" s="484">
        <f t="shared" si="28"/>
        <v>0</v>
      </c>
      <c r="AX31" s="485">
        <f t="shared" si="29"/>
        <v>0</v>
      </c>
      <c r="AY31" s="471">
        <f t="shared" si="30"/>
        <v>0</v>
      </c>
      <c r="AZ31" s="475">
        <f t="shared" si="31"/>
        <v>7.2500000000000009E-2</v>
      </c>
      <c r="BA31" s="471">
        <f t="shared" si="52"/>
        <v>0</v>
      </c>
      <c r="BB31" s="471">
        <f t="shared" si="32"/>
        <v>0</v>
      </c>
      <c r="BC31" s="476">
        <f t="shared" si="33"/>
        <v>0</v>
      </c>
      <c r="BD31" s="484">
        <f t="shared" si="34"/>
        <v>0</v>
      </c>
      <c r="BE31" s="474">
        <f t="shared" si="35"/>
        <v>0</v>
      </c>
      <c r="BF31" s="471">
        <f t="shared" si="36"/>
        <v>0</v>
      </c>
      <c r="BG31" s="475">
        <f t="shared" si="37"/>
        <v>8.0000000000000016E-2</v>
      </c>
      <c r="BH31" s="471">
        <f t="shared" si="53"/>
        <v>0</v>
      </c>
      <c r="BI31" s="471">
        <f t="shared" si="38"/>
        <v>0</v>
      </c>
      <c r="BJ31" s="473">
        <f t="shared" si="39"/>
        <v>0</v>
      </c>
      <c r="BK31" s="479">
        <f t="shared" si="40"/>
        <v>0</v>
      </c>
      <c r="BL31" s="480">
        <f t="shared" si="40"/>
        <v>0</v>
      </c>
      <c r="BM31" s="480">
        <f t="shared" si="41"/>
        <v>0</v>
      </c>
      <c r="BN31" s="480">
        <f t="shared" si="41"/>
        <v>0</v>
      </c>
      <c r="BO31" s="480">
        <f t="shared" si="42"/>
        <v>0</v>
      </c>
      <c r="BP31" s="480">
        <f t="shared" si="43"/>
        <v>0</v>
      </c>
      <c r="BQ31" s="480">
        <f t="shared" si="44"/>
        <v>0</v>
      </c>
      <c r="BR31" s="480">
        <f t="shared" si="45"/>
        <v>0</v>
      </c>
      <c r="BS31" s="480">
        <f t="shared" si="46"/>
        <v>0</v>
      </c>
      <c r="BT31" s="480">
        <f t="shared" si="47"/>
        <v>0</v>
      </c>
      <c r="BU31" s="480">
        <f t="shared" si="48"/>
        <v>0</v>
      </c>
      <c r="BV31" s="480">
        <f t="shared" si="49"/>
        <v>0</v>
      </c>
      <c r="BW31" s="41"/>
      <c r="BX31" s="39">
        <f t="shared" si="54"/>
        <v>0</v>
      </c>
      <c r="BY31" s="39">
        <f t="shared" si="55"/>
        <v>0</v>
      </c>
      <c r="BZ31" s="39">
        <f t="shared" si="56"/>
        <v>0</v>
      </c>
      <c r="CA31" s="40" t="s">
        <v>374</v>
      </c>
      <c r="CB31" s="40"/>
      <c r="CC31" s="40"/>
    </row>
    <row r="32" spans="1:81" ht="15" hidden="1">
      <c r="A32" s="453">
        <f t="shared" si="57"/>
        <v>23</v>
      </c>
      <c r="B32" s="454" t="s">
        <v>382</v>
      </c>
      <c r="C32" s="498" t="s">
        <v>399</v>
      </c>
      <c r="D32" s="456"/>
      <c r="E32" s="457" t="s">
        <v>381</v>
      </c>
      <c r="F32" s="458"/>
      <c r="G32" s="459">
        <v>3</v>
      </c>
      <c r="H32" s="460">
        <v>3</v>
      </c>
      <c r="I32" s="461" t="s">
        <v>373</v>
      </c>
      <c r="J32" s="499">
        <v>110000</v>
      </c>
      <c r="K32" s="463"/>
      <c r="L32" s="497">
        <v>0</v>
      </c>
      <c r="M32" s="466"/>
      <c r="N32" s="466"/>
      <c r="O32" s="466"/>
      <c r="P32" s="466"/>
      <c r="Q32" s="467">
        <f t="shared" si="6"/>
        <v>110000</v>
      </c>
      <c r="R32" s="483">
        <f t="shared" si="7"/>
        <v>113300</v>
      </c>
      <c r="S32" s="483">
        <f t="shared" si="7"/>
        <v>116699</v>
      </c>
      <c r="T32" s="483">
        <f t="shared" si="7"/>
        <v>120199.97</v>
      </c>
      <c r="U32" s="483">
        <f t="shared" si="7"/>
        <v>123805.9691</v>
      </c>
      <c r="V32" s="468">
        <f t="shared" si="8"/>
        <v>0</v>
      </c>
      <c r="W32" s="468">
        <f t="shared" si="8"/>
        <v>0</v>
      </c>
      <c r="X32" s="468">
        <f t="shared" si="8"/>
        <v>0</v>
      </c>
      <c r="Y32" s="468">
        <f t="shared" si="8"/>
        <v>0</v>
      </c>
      <c r="Z32" s="468">
        <f t="shared" si="8"/>
        <v>0</v>
      </c>
      <c r="AA32" s="469">
        <f t="shared" si="9"/>
        <v>0</v>
      </c>
      <c r="AB32" s="470">
        <f t="shared" si="10"/>
        <v>0</v>
      </c>
      <c r="AC32" s="471">
        <f t="shared" si="11"/>
        <v>0</v>
      </c>
      <c r="AD32" s="471">
        <f t="shared" si="12"/>
        <v>0</v>
      </c>
      <c r="AE32" s="472">
        <v>0.05</v>
      </c>
      <c r="AF32" s="471">
        <f t="shared" si="13"/>
        <v>0</v>
      </c>
      <c r="AG32" s="471">
        <f t="shared" si="14"/>
        <v>0</v>
      </c>
      <c r="AH32" s="473">
        <f t="shared" si="15"/>
        <v>0</v>
      </c>
      <c r="AI32" s="484">
        <f t="shared" si="16"/>
        <v>0</v>
      </c>
      <c r="AJ32" s="474">
        <f t="shared" si="17"/>
        <v>0</v>
      </c>
      <c r="AK32" s="471">
        <f t="shared" si="18"/>
        <v>0</v>
      </c>
      <c r="AL32" s="475">
        <f t="shared" si="19"/>
        <v>5.7500000000000002E-2</v>
      </c>
      <c r="AM32" s="471">
        <f t="shared" si="50"/>
        <v>0</v>
      </c>
      <c r="AN32" s="471">
        <f t="shared" si="20"/>
        <v>0</v>
      </c>
      <c r="AO32" s="476">
        <f t="shared" si="21"/>
        <v>0</v>
      </c>
      <c r="AP32" s="484">
        <f t="shared" si="22"/>
        <v>0</v>
      </c>
      <c r="AQ32" s="485">
        <f t="shared" si="23"/>
        <v>0</v>
      </c>
      <c r="AR32" s="471">
        <f t="shared" si="24"/>
        <v>0</v>
      </c>
      <c r="AS32" s="475">
        <f t="shared" si="25"/>
        <v>6.5000000000000002E-2</v>
      </c>
      <c r="AT32" s="471">
        <f t="shared" si="51"/>
        <v>0</v>
      </c>
      <c r="AU32" s="471">
        <f t="shared" si="26"/>
        <v>0</v>
      </c>
      <c r="AV32" s="476">
        <f t="shared" si="27"/>
        <v>0</v>
      </c>
      <c r="AW32" s="484">
        <f t="shared" si="28"/>
        <v>0</v>
      </c>
      <c r="AX32" s="485">
        <f t="shared" si="29"/>
        <v>0</v>
      </c>
      <c r="AY32" s="471">
        <f t="shared" si="30"/>
        <v>0</v>
      </c>
      <c r="AZ32" s="475">
        <f t="shared" si="31"/>
        <v>7.2500000000000009E-2</v>
      </c>
      <c r="BA32" s="471">
        <f t="shared" si="52"/>
        <v>0</v>
      </c>
      <c r="BB32" s="471">
        <f t="shared" si="32"/>
        <v>0</v>
      </c>
      <c r="BC32" s="476">
        <f t="shared" si="33"/>
        <v>0</v>
      </c>
      <c r="BD32" s="484">
        <f t="shared" si="34"/>
        <v>0</v>
      </c>
      <c r="BE32" s="474">
        <f t="shared" si="35"/>
        <v>0</v>
      </c>
      <c r="BF32" s="471">
        <f t="shared" si="36"/>
        <v>0</v>
      </c>
      <c r="BG32" s="475">
        <f t="shared" si="37"/>
        <v>8.0000000000000016E-2</v>
      </c>
      <c r="BH32" s="471">
        <f t="shared" si="53"/>
        <v>0</v>
      </c>
      <c r="BI32" s="471">
        <f t="shared" si="38"/>
        <v>0</v>
      </c>
      <c r="BJ32" s="473">
        <f t="shared" si="39"/>
        <v>0</v>
      </c>
      <c r="BK32" s="479">
        <f t="shared" si="40"/>
        <v>0</v>
      </c>
      <c r="BL32" s="480">
        <f t="shared" si="40"/>
        <v>0</v>
      </c>
      <c r="BM32" s="480">
        <f t="shared" si="41"/>
        <v>0</v>
      </c>
      <c r="BN32" s="480">
        <f t="shared" si="41"/>
        <v>0</v>
      </c>
      <c r="BO32" s="480">
        <f t="shared" si="42"/>
        <v>0</v>
      </c>
      <c r="BP32" s="480">
        <f t="shared" si="43"/>
        <v>0</v>
      </c>
      <c r="BQ32" s="480">
        <f t="shared" si="44"/>
        <v>0</v>
      </c>
      <c r="BR32" s="480">
        <f t="shared" si="45"/>
        <v>0</v>
      </c>
      <c r="BS32" s="480">
        <f t="shared" si="46"/>
        <v>0</v>
      </c>
      <c r="BT32" s="480">
        <f t="shared" si="47"/>
        <v>0</v>
      </c>
      <c r="BU32" s="480">
        <f t="shared" si="48"/>
        <v>0</v>
      </c>
      <c r="BV32" s="480">
        <f t="shared" si="49"/>
        <v>0</v>
      </c>
      <c r="BW32" s="41"/>
      <c r="BX32" s="39">
        <f t="shared" si="54"/>
        <v>0</v>
      </c>
      <c r="BY32" s="39">
        <f t="shared" si="55"/>
        <v>0</v>
      </c>
      <c r="BZ32" s="39">
        <f t="shared" si="56"/>
        <v>0</v>
      </c>
      <c r="CA32" s="40" t="s">
        <v>374</v>
      </c>
      <c r="CB32" s="40"/>
      <c r="CC32" s="40"/>
    </row>
    <row r="33" spans="1:81" ht="15" hidden="1">
      <c r="A33" s="453">
        <f t="shared" si="57"/>
        <v>24</v>
      </c>
      <c r="B33" s="454" t="s">
        <v>382</v>
      </c>
      <c r="C33" s="492" t="s">
        <v>400</v>
      </c>
      <c r="D33" s="456"/>
      <c r="E33" s="457" t="s">
        <v>381</v>
      </c>
      <c r="F33" s="458"/>
      <c r="G33" s="459">
        <v>3</v>
      </c>
      <c r="H33" s="460">
        <v>3</v>
      </c>
      <c r="I33" s="461" t="s">
        <v>373</v>
      </c>
      <c r="J33" s="462">
        <f>142000+60000</f>
        <v>202000</v>
      </c>
      <c r="K33" s="463"/>
      <c r="L33" s="497">
        <v>0</v>
      </c>
      <c r="M33" s="466"/>
      <c r="N33" s="466"/>
      <c r="O33" s="466"/>
      <c r="P33" s="466"/>
      <c r="Q33" s="467">
        <f t="shared" si="6"/>
        <v>202000</v>
      </c>
      <c r="R33" s="483">
        <f t="shared" si="7"/>
        <v>208060</v>
      </c>
      <c r="S33" s="483">
        <f t="shared" si="7"/>
        <v>214301.8</v>
      </c>
      <c r="T33" s="483">
        <f t="shared" si="7"/>
        <v>220730.85399999999</v>
      </c>
      <c r="U33" s="483">
        <f t="shared" si="7"/>
        <v>227352.77961999999</v>
      </c>
      <c r="V33" s="468">
        <f t="shared" si="8"/>
        <v>0</v>
      </c>
      <c r="W33" s="468">
        <f t="shared" si="8"/>
        <v>0</v>
      </c>
      <c r="X33" s="468">
        <f t="shared" si="8"/>
        <v>0</v>
      </c>
      <c r="Y33" s="468">
        <f t="shared" si="8"/>
        <v>0</v>
      </c>
      <c r="Z33" s="468">
        <f t="shared" si="8"/>
        <v>0</v>
      </c>
      <c r="AA33" s="469">
        <f t="shared" si="9"/>
        <v>0</v>
      </c>
      <c r="AB33" s="470">
        <f t="shared" si="10"/>
        <v>0</v>
      </c>
      <c r="AC33" s="471">
        <f t="shared" si="11"/>
        <v>0</v>
      </c>
      <c r="AD33" s="471">
        <f t="shared" si="12"/>
        <v>0</v>
      </c>
      <c r="AE33" s="472">
        <v>0.05</v>
      </c>
      <c r="AF33" s="471">
        <f t="shared" si="13"/>
        <v>0</v>
      </c>
      <c r="AG33" s="471">
        <f t="shared" si="14"/>
        <v>0</v>
      </c>
      <c r="AH33" s="473">
        <f t="shared" si="15"/>
        <v>0</v>
      </c>
      <c r="AI33" s="484">
        <f t="shared" si="16"/>
        <v>0</v>
      </c>
      <c r="AJ33" s="474">
        <f t="shared" si="17"/>
        <v>0</v>
      </c>
      <c r="AK33" s="471">
        <f t="shared" si="18"/>
        <v>0</v>
      </c>
      <c r="AL33" s="475">
        <f t="shared" si="19"/>
        <v>5.7500000000000002E-2</v>
      </c>
      <c r="AM33" s="471">
        <f t="shared" si="50"/>
        <v>0</v>
      </c>
      <c r="AN33" s="471">
        <f t="shared" si="20"/>
        <v>0</v>
      </c>
      <c r="AO33" s="476">
        <f t="shared" si="21"/>
        <v>0</v>
      </c>
      <c r="AP33" s="484">
        <f t="shared" si="22"/>
        <v>0</v>
      </c>
      <c r="AQ33" s="485">
        <f t="shared" si="23"/>
        <v>0</v>
      </c>
      <c r="AR33" s="471">
        <f t="shared" si="24"/>
        <v>0</v>
      </c>
      <c r="AS33" s="475">
        <f t="shared" si="25"/>
        <v>6.5000000000000002E-2</v>
      </c>
      <c r="AT33" s="471">
        <f t="shared" si="51"/>
        <v>0</v>
      </c>
      <c r="AU33" s="471">
        <f t="shared" si="26"/>
        <v>0</v>
      </c>
      <c r="AV33" s="476">
        <f t="shared" si="27"/>
        <v>0</v>
      </c>
      <c r="AW33" s="484">
        <f t="shared" si="28"/>
        <v>0</v>
      </c>
      <c r="AX33" s="485">
        <f t="shared" si="29"/>
        <v>0</v>
      </c>
      <c r="AY33" s="471">
        <f t="shared" si="30"/>
        <v>0</v>
      </c>
      <c r="AZ33" s="475">
        <f t="shared" si="31"/>
        <v>7.2500000000000009E-2</v>
      </c>
      <c r="BA33" s="471">
        <f t="shared" si="52"/>
        <v>0</v>
      </c>
      <c r="BB33" s="471">
        <f t="shared" si="32"/>
        <v>0</v>
      </c>
      <c r="BC33" s="476">
        <f t="shared" si="33"/>
        <v>0</v>
      </c>
      <c r="BD33" s="484">
        <f t="shared" si="34"/>
        <v>0</v>
      </c>
      <c r="BE33" s="474">
        <f t="shared" si="35"/>
        <v>0</v>
      </c>
      <c r="BF33" s="471">
        <f t="shared" si="36"/>
        <v>0</v>
      </c>
      <c r="BG33" s="475">
        <f t="shared" si="37"/>
        <v>8.0000000000000016E-2</v>
      </c>
      <c r="BH33" s="471">
        <f t="shared" si="53"/>
        <v>0</v>
      </c>
      <c r="BI33" s="471">
        <f t="shared" si="38"/>
        <v>0</v>
      </c>
      <c r="BJ33" s="473">
        <f t="shared" si="39"/>
        <v>0</v>
      </c>
      <c r="BK33" s="479">
        <f t="shared" si="40"/>
        <v>0</v>
      </c>
      <c r="BL33" s="480">
        <f t="shared" si="40"/>
        <v>0</v>
      </c>
      <c r="BM33" s="480">
        <f t="shared" si="41"/>
        <v>0</v>
      </c>
      <c r="BN33" s="480">
        <f t="shared" si="41"/>
        <v>0</v>
      </c>
      <c r="BO33" s="480">
        <f t="shared" si="42"/>
        <v>0</v>
      </c>
      <c r="BP33" s="480">
        <f t="shared" si="43"/>
        <v>0</v>
      </c>
      <c r="BQ33" s="480">
        <f t="shared" si="44"/>
        <v>0</v>
      </c>
      <c r="BR33" s="480">
        <f t="shared" si="45"/>
        <v>0</v>
      </c>
      <c r="BS33" s="480">
        <f t="shared" si="46"/>
        <v>0</v>
      </c>
      <c r="BT33" s="480">
        <f t="shared" si="47"/>
        <v>0</v>
      </c>
      <c r="BU33" s="480">
        <f t="shared" si="48"/>
        <v>0</v>
      </c>
      <c r="BV33" s="480">
        <f t="shared" si="49"/>
        <v>0</v>
      </c>
      <c r="BW33" s="41"/>
      <c r="BX33" s="39">
        <f t="shared" si="54"/>
        <v>0</v>
      </c>
      <c r="BY33" s="39">
        <f t="shared" si="55"/>
        <v>0</v>
      </c>
      <c r="BZ33" s="39">
        <f t="shared" si="56"/>
        <v>0</v>
      </c>
      <c r="CA33" s="40" t="s">
        <v>374</v>
      </c>
      <c r="CB33" s="40"/>
      <c r="CC33" s="40"/>
    </row>
    <row r="34" spans="1:81" ht="15">
      <c r="A34" s="453">
        <f t="shared" si="57"/>
        <v>25</v>
      </c>
      <c r="B34" s="454" t="s">
        <v>382</v>
      </c>
      <c r="C34" s="492" t="s">
        <v>401</v>
      </c>
      <c r="D34" s="456"/>
      <c r="E34" s="457" t="s">
        <v>381</v>
      </c>
      <c r="F34" s="458"/>
      <c r="G34" s="459">
        <v>3</v>
      </c>
      <c r="H34" s="460">
        <v>3</v>
      </c>
      <c r="I34" s="461" t="s">
        <v>373</v>
      </c>
      <c r="J34" s="462">
        <f>365000+100000</f>
        <v>465000</v>
      </c>
      <c r="K34" s="463"/>
      <c r="L34" s="497">
        <v>1</v>
      </c>
      <c r="M34" s="466"/>
      <c r="N34" s="466"/>
      <c r="O34" s="466"/>
      <c r="P34" s="466"/>
      <c r="Q34" s="467">
        <f t="shared" si="6"/>
        <v>465000</v>
      </c>
      <c r="R34" s="483">
        <f t="shared" si="7"/>
        <v>478950</v>
      </c>
      <c r="S34" s="483">
        <f t="shared" si="7"/>
        <v>493318.5</v>
      </c>
      <c r="T34" s="483">
        <f t="shared" si="7"/>
        <v>508118.05499999999</v>
      </c>
      <c r="U34" s="483">
        <f t="shared" si="7"/>
        <v>523361.59664999996</v>
      </c>
      <c r="V34" s="468">
        <f t="shared" si="8"/>
        <v>465000</v>
      </c>
      <c r="W34" s="468">
        <f t="shared" si="8"/>
        <v>0</v>
      </c>
      <c r="X34" s="468">
        <f t="shared" si="8"/>
        <v>0</v>
      </c>
      <c r="Y34" s="468">
        <f t="shared" si="8"/>
        <v>0</v>
      </c>
      <c r="Z34" s="468">
        <f t="shared" si="8"/>
        <v>0</v>
      </c>
      <c r="AA34" s="469">
        <f t="shared" si="9"/>
        <v>465000</v>
      </c>
      <c r="AB34" s="470">
        <f t="shared" si="10"/>
        <v>195841.85920405851</v>
      </c>
      <c r="AC34" s="471">
        <f t="shared" si="11"/>
        <v>155000</v>
      </c>
      <c r="AD34" s="471">
        <f t="shared" si="12"/>
        <v>40841.859204058514</v>
      </c>
      <c r="AE34" s="472">
        <v>0.05</v>
      </c>
      <c r="AF34" s="471">
        <f t="shared" si="13"/>
        <v>23250</v>
      </c>
      <c r="AG34" s="471">
        <f t="shared" si="14"/>
        <v>1162.5</v>
      </c>
      <c r="AH34" s="473">
        <f t="shared" si="15"/>
        <v>310000</v>
      </c>
      <c r="AI34" s="484">
        <f t="shared" si="16"/>
        <v>182227.906136039</v>
      </c>
      <c r="AJ34" s="474">
        <f t="shared" si="17"/>
        <v>155000</v>
      </c>
      <c r="AK34" s="471">
        <f t="shared" si="18"/>
        <v>27227.906136039011</v>
      </c>
      <c r="AL34" s="475">
        <f t="shared" si="19"/>
        <v>5.7500000000000002E-2</v>
      </c>
      <c r="AM34" s="471">
        <f t="shared" si="50"/>
        <v>26737.5</v>
      </c>
      <c r="AN34" s="471">
        <f t="shared" si="20"/>
        <v>790.5</v>
      </c>
      <c r="AO34" s="476">
        <f t="shared" si="21"/>
        <v>155000</v>
      </c>
      <c r="AP34" s="484">
        <f t="shared" si="22"/>
        <v>168613.9530680195</v>
      </c>
      <c r="AQ34" s="485">
        <f t="shared" si="23"/>
        <v>155000</v>
      </c>
      <c r="AR34" s="471">
        <f t="shared" si="24"/>
        <v>13613.953068019506</v>
      </c>
      <c r="AS34" s="475">
        <f t="shared" si="25"/>
        <v>6.5000000000000002E-2</v>
      </c>
      <c r="AT34" s="471">
        <f t="shared" si="51"/>
        <v>30225</v>
      </c>
      <c r="AU34" s="471">
        <f t="shared" si="26"/>
        <v>403.15500000000003</v>
      </c>
      <c r="AV34" s="476">
        <f t="shared" si="27"/>
        <v>493318.5</v>
      </c>
      <c r="AW34" s="484">
        <f t="shared" si="28"/>
        <v>207768.62842958566</v>
      </c>
      <c r="AX34" s="485">
        <f t="shared" si="29"/>
        <v>164439.5</v>
      </c>
      <c r="AY34" s="471">
        <f t="shared" si="30"/>
        <v>43329.128429585675</v>
      </c>
      <c r="AZ34" s="475">
        <f t="shared" si="31"/>
        <v>7.2500000000000009E-2</v>
      </c>
      <c r="BA34" s="471">
        <f t="shared" si="52"/>
        <v>33712.500000000007</v>
      </c>
      <c r="BB34" s="471">
        <f t="shared" si="32"/>
        <v>1308.7838468699999</v>
      </c>
      <c r="BC34" s="476">
        <f t="shared" si="33"/>
        <v>328879</v>
      </c>
      <c r="BD34" s="484">
        <f t="shared" si="34"/>
        <v>193325.58561972377</v>
      </c>
      <c r="BE34" s="474">
        <f t="shared" si="35"/>
        <v>164439.5</v>
      </c>
      <c r="BF34" s="471">
        <f t="shared" si="36"/>
        <v>28886.085619723788</v>
      </c>
      <c r="BG34" s="475">
        <f t="shared" si="37"/>
        <v>8.0000000000000016E-2</v>
      </c>
      <c r="BH34" s="471">
        <f t="shared" si="53"/>
        <v>37200.000000000007</v>
      </c>
      <c r="BI34" s="471">
        <f t="shared" si="38"/>
        <v>889.97301587160007</v>
      </c>
      <c r="BJ34" s="473">
        <f t="shared" si="39"/>
        <v>164439.5</v>
      </c>
      <c r="BK34" s="479">
        <f t="shared" si="40"/>
        <v>793879</v>
      </c>
      <c r="BL34" s="480">
        <f t="shared" si="40"/>
        <v>153898.9324574265</v>
      </c>
      <c r="BM34" s="480">
        <f t="shared" si="41"/>
        <v>151125</v>
      </c>
      <c r="BN34" s="480">
        <f t="shared" si="41"/>
        <v>4554.9118627416001</v>
      </c>
      <c r="BO34" s="480">
        <f t="shared" si="42"/>
        <v>947777.93245742656</v>
      </c>
      <c r="BP34" s="480">
        <f t="shared" si="43"/>
        <v>1103457.8443201683</v>
      </c>
      <c r="BQ34" s="480">
        <f t="shared" si="44"/>
        <v>947777.93245742645</v>
      </c>
      <c r="BR34" s="480">
        <f t="shared" si="45"/>
        <v>0</v>
      </c>
      <c r="BS34" s="480">
        <f t="shared" si="46"/>
        <v>-328879</v>
      </c>
      <c r="BT34" s="480">
        <f t="shared" si="47"/>
        <v>493318.5</v>
      </c>
      <c r="BU34" s="480">
        <f t="shared" si="48"/>
        <v>164439.5</v>
      </c>
      <c r="BV34" s="480">
        <f t="shared" si="49"/>
        <v>0</v>
      </c>
      <c r="BW34" s="41"/>
      <c r="BX34" s="39">
        <f t="shared" si="54"/>
        <v>18354.529933671543</v>
      </c>
      <c r="BY34" s="39">
        <f t="shared" si="55"/>
        <v>17479.658844669917</v>
      </c>
      <c r="BZ34" s="39">
        <f t="shared" si="56"/>
        <v>16603.509005668293</v>
      </c>
      <c r="CA34" s="40" t="s">
        <v>374</v>
      </c>
      <c r="CB34" s="40"/>
      <c r="CC34" s="40"/>
    </row>
    <row r="35" spans="1:81" ht="15" hidden="1">
      <c r="A35" s="453">
        <f t="shared" si="57"/>
        <v>26</v>
      </c>
      <c r="B35" s="454" t="s">
        <v>382</v>
      </c>
      <c r="C35" s="492" t="s">
        <v>402</v>
      </c>
      <c r="D35" s="456"/>
      <c r="E35" s="457" t="s">
        <v>381</v>
      </c>
      <c r="F35" s="458"/>
      <c r="G35" s="459">
        <v>3</v>
      </c>
      <c r="H35" s="460">
        <v>3</v>
      </c>
      <c r="I35" s="461" t="s">
        <v>373</v>
      </c>
      <c r="J35" s="462">
        <f>510000+150000</f>
        <v>660000</v>
      </c>
      <c r="K35" s="463"/>
      <c r="L35" s="497">
        <v>0</v>
      </c>
      <c r="M35" s="466"/>
      <c r="N35" s="466"/>
      <c r="O35" s="466"/>
      <c r="P35" s="466"/>
      <c r="Q35" s="467">
        <f t="shared" si="6"/>
        <v>660000</v>
      </c>
      <c r="R35" s="483">
        <f t="shared" si="7"/>
        <v>679800</v>
      </c>
      <c r="S35" s="483">
        <f t="shared" si="7"/>
        <v>700194</v>
      </c>
      <c r="T35" s="483">
        <f t="shared" si="7"/>
        <v>721199.82</v>
      </c>
      <c r="U35" s="483">
        <f t="shared" si="7"/>
        <v>742835.81459999993</v>
      </c>
      <c r="V35" s="468">
        <f t="shared" si="8"/>
        <v>0</v>
      </c>
      <c r="W35" s="468">
        <f t="shared" si="8"/>
        <v>0</v>
      </c>
      <c r="X35" s="468">
        <f t="shared" si="8"/>
        <v>0</v>
      </c>
      <c r="Y35" s="468">
        <f t="shared" si="8"/>
        <v>0</v>
      </c>
      <c r="Z35" s="468">
        <f t="shared" si="8"/>
        <v>0</v>
      </c>
      <c r="AA35" s="469">
        <f t="shared" si="9"/>
        <v>0</v>
      </c>
      <c r="AB35" s="470">
        <f t="shared" si="10"/>
        <v>0</v>
      </c>
      <c r="AC35" s="471">
        <f t="shared" si="11"/>
        <v>0</v>
      </c>
      <c r="AD35" s="471">
        <f t="shared" si="12"/>
        <v>0</v>
      </c>
      <c r="AE35" s="472">
        <v>0.05</v>
      </c>
      <c r="AF35" s="471">
        <f t="shared" si="13"/>
        <v>0</v>
      </c>
      <c r="AG35" s="471">
        <f t="shared" si="14"/>
        <v>0</v>
      </c>
      <c r="AH35" s="473">
        <f t="shared" si="15"/>
        <v>0</v>
      </c>
      <c r="AI35" s="484">
        <f t="shared" si="16"/>
        <v>0</v>
      </c>
      <c r="AJ35" s="474">
        <f t="shared" si="17"/>
        <v>0</v>
      </c>
      <c r="AK35" s="471">
        <f t="shared" si="18"/>
        <v>0</v>
      </c>
      <c r="AL35" s="475">
        <f t="shared" si="19"/>
        <v>5.7500000000000002E-2</v>
      </c>
      <c r="AM35" s="471">
        <f t="shared" si="50"/>
        <v>0</v>
      </c>
      <c r="AN35" s="471">
        <f t="shared" si="20"/>
        <v>0</v>
      </c>
      <c r="AO35" s="476">
        <f t="shared" si="21"/>
        <v>0</v>
      </c>
      <c r="AP35" s="484">
        <f t="shared" si="22"/>
        <v>0</v>
      </c>
      <c r="AQ35" s="485">
        <f t="shared" si="23"/>
        <v>0</v>
      </c>
      <c r="AR35" s="471">
        <f t="shared" si="24"/>
        <v>0</v>
      </c>
      <c r="AS35" s="475">
        <f t="shared" si="25"/>
        <v>6.5000000000000002E-2</v>
      </c>
      <c r="AT35" s="471">
        <f t="shared" si="51"/>
        <v>0</v>
      </c>
      <c r="AU35" s="471">
        <f t="shared" si="26"/>
        <v>0</v>
      </c>
      <c r="AV35" s="476">
        <f t="shared" si="27"/>
        <v>0</v>
      </c>
      <c r="AW35" s="484">
        <f t="shared" si="28"/>
        <v>0</v>
      </c>
      <c r="AX35" s="485">
        <f t="shared" si="29"/>
        <v>0</v>
      </c>
      <c r="AY35" s="471">
        <f t="shared" si="30"/>
        <v>0</v>
      </c>
      <c r="AZ35" s="475">
        <f t="shared" si="31"/>
        <v>7.2500000000000009E-2</v>
      </c>
      <c r="BA35" s="471">
        <f t="shared" si="52"/>
        <v>0</v>
      </c>
      <c r="BB35" s="471">
        <f t="shared" si="32"/>
        <v>0</v>
      </c>
      <c r="BC35" s="476">
        <f t="shared" si="33"/>
        <v>0</v>
      </c>
      <c r="BD35" s="484">
        <f t="shared" si="34"/>
        <v>0</v>
      </c>
      <c r="BE35" s="474">
        <f t="shared" si="35"/>
        <v>0</v>
      </c>
      <c r="BF35" s="471">
        <f t="shared" si="36"/>
        <v>0</v>
      </c>
      <c r="BG35" s="475">
        <f t="shared" si="37"/>
        <v>8.0000000000000016E-2</v>
      </c>
      <c r="BH35" s="471">
        <f t="shared" si="53"/>
        <v>0</v>
      </c>
      <c r="BI35" s="471">
        <f t="shared" si="38"/>
        <v>0</v>
      </c>
      <c r="BJ35" s="473">
        <f t="shared" si="39"/>
        <v>0</v>
      </c>
      <c r="BK35" s="479">
        <f t="shared" si="40"/>
        <v>0</v>
      </c>
      <c r="BL35" s="480">
        <f t="shared" si="40"/>
        <v>0</v>
      </c>
      <c r="BM35" s="480">
        <f t="shared" si="41"/>
        <v>0</v>
      </c>
      <c r="BN35" s="480">
        <f t="shared" si="41"/>
        <v>0</v>
      </c>
      <c r="BO35" s="480">
        <f t="shared" si="42"/>
        <v>0</v>
      </c>
      <c r="BP35" s="480">
        <f t="shared" si="43"/>
        <v>0</v>
      </c>
      <c r="BQ35" s="480">
        <f t="shared" si="44"/>
        <v>0</v>
      </c>
      <c r="BR35" s="480">
        <f t="shared" si="45"/>
        <v>0</v>
      </c>
      <c r="BS35" s="480">
        <f t="shared" si="46"/>
        <v>0</v>
      </c>
      <c r="BT35" s="480">
        <f t="shared" si="47"/>
        <v>0</v>
      </c>
      <c r="BU35" s="480">
        <f t="shared" si="48"/>
        <v>0</v>
      </c>
      <c r="BV35" s="480">
        <f t="shared" si="49"/>
        <v>0</v>
      </c>
      <c r="BW35" s="41"/>
      <c r="BX35" s="39">
        <f t="shared" si="54"/>
        <v>0</v>
      </c>
      <c r="BY35" s="39">
        <f t="shared" si="55"/>
        <v>0</v>
      </c>
      <c r="BZ35" s="39">
        <f t="shared" si="56"/>
        <v>0</v>
      </c>
      <c r="CA35" s="40" t="s">
        <v>374</v>
      </c>
      <c r="CB35" s="40"/>
      <c r="CC35" s="40"/>
    </row>
    <row r="36" spans="1:81" ht="15">
      <c r="A36" s="453">
        <f t="shared" si="57"/>
        <v>27</v>
      </c>
      <c r="B36" s="454" t="s">
        <v>370</v>
      </c>
      <c r="C36" s="492" t="s">
        <v>403</v>
      </c>
      <c r="D36" s="456"/>
      <c r="E36" s="457" t="s">
        <v>381</v>
      </c>
      <c r="F36" s="458"/>
      <c r="G36" s="459">
        <v>5</v>
      </c>
      <c r="H36" s="460">
        <v>5</v>
      </c>
      <c r="I36" s="461" t="s">
        <v>373</v>
      </c>
      <c r="J36" s="462">
        <v>10000</v>
      </c>
      <c r="K36" s="463"/>
      <c r="L36" s="464">
        <f>ARM!C51+ARM!C48+ARM!C45</f>
        <v>3</v>
      </c>
      <c r="M36" s="466"/>
      <c r="N36" s="466"/>
      <c r="O36" s="466"/>
      <c r="P36" s="466"/>
      <c r="Q36" s="467">
        <f t="shared" si="6"/>
        <v>10000</v>
      </c>
      <c r="R36" s="483">
        <f t="shared" si="7"/>
        <v>10300</v>
      </c>
      <c r="S36" s="483">
        <f t="shared" si="7"/>
        <v>10609</v>
      </c>
      <c r="T36" s="483">
        <f t="shared" si="7"/>
        <v>10927.27</v>
      </c>
      <c r="U36" s="483">
        <f t="shared" si="7"/>
        <v>11255.088100000001</v>
      </c>
      <c r="V36" s="468">
        <f t="shared" si="8"/>
        <v>30000</v>
      </c>
      <c r="W36" s="468">
        <f t="shared" si="8"/>
        <v>0</v>
      </c>
      <c r="X36" s="468">
        <f t="shared" si="8"/>
        <v>0</v>
      </c>
      <c r="Y36" s="468">
        <f t="shared" si="8"/>
        <v>0</v>
      </c>
      <c r="Z36" s="468">
        <f t="shared" si="8"/>
        <v>0</v>
      </c>
      <c r="AA36" s="469">
        <f t="shared" si="9"/>
        <v>30000</v>
      </c>
      <c r="AB36" s="470">
        <f t="shared" si="10"/>
        <v>8803.0388856361023</v>
      </c>
      <c r="AC36" s="471">
        <f t="shared" si="11"/>
        <v>6000</v>
      </c>
      <c r="AD36" s="471">
        <f t="shared" si="12"/>
        <v>2803.0388856361023</v>
      </c>
      <c r="AE36" s="472">
        <v>0.05</v>
      </c>
      <c r="AF36" s="471">
        <f t="shared" si="13"/>
        <v>1500</v>
      </c>
      <c r="AG36" s="471">
        <f t="shared" si="14"/>
        <v>75</v>
      </c>
      <c r="AH36" s="473">
        <f t="shared" si="15"/>
        <v>24000</v>
      </c>
      <c r="AI36" s="484">
        <f t="shared" si="16"/>
        <v>8242.4311085088812</v>
      </c>
      <c r="AJ36" s="474">
        <f t="shared" si="17"/>
        <v>6000</v>
      </c>
      <c r="AK36" s="471">
        <f t="shared" si="18"/>
        <v>2242.4311085088812</v>
      </c>
      <c r="AL36" s="475">
        <f t="shared" si="19"/>
        <v>5.7500000000000002E-2</v>
      </c>
      <c r="AM36" s="471">
        <f t="shared" si="50"/>
        <v>1725</v>
      </c>
      <c r="AN36" s="471">
        <f t="shared" si="20"/>
        <v>61.2</v>
      </c>
      <c r="AO36" s="476">
        <f t="shared" si="21"/>
        <v>18000</v>
      </c>
      <c r="AP36" s="484">
        <f t="shared" si="22"/>
        <v>7681.8233313816609</v>
      </c>
      <c r="AQ36" s="485">
        <f t="shared" si="23"/>
        <v>6000</v>
      </c>
      <c r="AR36" s="471">
        <f t="shared" si="24"/>
        <v>1681.8233313816609</v>
      </c>
      <c r="AS36" s="475">
        <f t="shared" si="25"/>
        <v>6.5000000000000002E-2</v>
      </c>
      <c r="AT36" s="471">
        <f t="shared" si="51"/>
        <v>1950</v>
      </c>
      <c r="AU36" s="471">
        <f t="shared" si="26"/>
        <v>46.817999999999998</v>
      </c>
      <c r="AV36" s="476">
        <f t="shared" si="27"/>
        <v>12000</v>
      </c>
      <c r="AW36" s="484">
        <f t="shared" si="28"/>
        <v>7121.2155542544406</v>
      </c>
      <c r="AX36" s="485">
        <f t="shared" si="29"/>
        <v>6000</v>
      </c>
      <c r="AY36" s="471">
        <f t="shared" si="30"/>
        <v>1121.2155542544406</v>
      </c>
      <c r="AZ36" s="475">
        <f t="shared" si="31"/>
        <v>7.2500000000000009E-2</v>
      </c>
      <c r="BA36" s="471">
        <f t="shared" si="52"/>
        <v>2175.0000000000005</v>
      </c>
      <c r="BB36" s="471">
        <f t="shared" si="32"/>
        <v>31.836239999999997</v>
      </c>
      <c r="BC36" s="476">
        <f t="shared" si="33"/>
        <v>6000</v>
      </c>
      <c r="BD36" s="484">
        <f t="shared" si="34"/>
        <v>6560.6077771272203</v>
      </c>
      <c r="BE36" s="474">
        <f t="shared" si="35"/>
        <v>6000</v>
      </c>
      <c r="BF36" s="471">
        <f t="shared" si="36"/>
        <v>560.60777712722029</v>
      </c>
      <c r="BG36" s="475">
        <f t="shared" si="37"/>
        <v>8.0000000000000016E-2</v>
      </c>
      <c r="BH36" s="471">
        <f t="shared" si="53"/>
        <v>2400.0000000000005</v>
      </c>
      <c r="BI36" s="471">
        <f t="shared" si="38"/>
        <v>16.2364824</v>
      </c>
      <c r="BJ36" s="473">
        <f t="shared" si="39"/>
        <v>0</v>
      </c>
      <c r="BK36" s="479">
        <f t="shared" si="40"/>
        <v>30000</v>
      </c>
      <c r="BL36" s="480">
        <f t="shared" si="40"/>
        <v>8409.1166569083052</v>
      </c>
      <c r="BM36" s="480">
        <f t="shared" si="41"/>
        <v>9750</v>
      </c>
      <c r="BN36" s="480">
        <f t="shared" si="41"/>
        <v>231.0907224</v>
      </c>
      <c r="BO36" s="480">
        <f t="shared" si="42"/>
        <v>38409.116656908307</v>
      </c>
      <c r="BP36" s="480">
        <f t="shared" si="43"/>
        <v>48390.207379308311</v>
      </c>
      <c r="BQ36" s="480">
        <f t="shared" si="44"/>
        <v>38409.1166569083</v>
      </c>
      <c r="BR36" s="480">
        <f t="shared" si="45"/>
        <v>0</v>
      </c>
      <c r="BS36" s="480">
        <f t="shared" si="46"/>
        <v>0</v>
      </c>
      <c r="BT36" s="480">
        <f t="shared" si="47"/>
        <v>0</v>
      </c>
      <c r="BU36" s="480">
        <f t="shared" si="48"/>
        <v>0</v>
      </c>
      <c r="BV36" s="480">
        <f t="shared" si="49"/>
        <v>0</v>
      </c>
      <c r="BW36" s="41"/>
      <c r="BX36" s="39">
        <f t="shared" si="54"/>
        <v>864.83657380300849</v>
      </c>
      <c r="BY36" s="39">
        <f t="shared" si="55"/>
        <v>835.71925904240686</v>
      </c>
      <c r="BZ36" s="39">
        <f t="shared" si="56"/>
        <v>806.5534442818049</v>
      </c>
      <c r="CA36" s="40" t="s">
        <v>374</v>
      </c>
      <c r="CB36" s="40"/>
      <c r="CC36" s="40"/>
    </row>
    <row r="37" spans="1:81" ht="15" hidden="1">
      <c r="A37" s="453">
        <f t="shared" si="57"/>
        <v>28</v>
      </c>
      <c r="B37" s="454" t="s">
        <v>382</v>
      </c>
      <c r="C37" s="492" t="s">
        <v>404</v>
      </c>
      <c r="D37" s="456"/>
      <c r="E37" s="457" t="s">
        <v>381</v>
      </c>
      <c r="F37" s="458"/>
      <c r="G37" s="459">
        <v>5</v>
      </c>
      <c r="H37" s="460">
        <v>5</v>
      </c>
      <c r="I37" s="461" t="s">
        <v>373</v>
      </c>
      <c r="J37" s="462">
        <v>150000</v>
      </c>
      <c r="K37" s="463"/>
      <c r="L37" s="464">
        <v>0</v>
      </c>
      <c r="M37" s="466"/>
      <c r="N37" s="466"/>
      <c r="O37" s="466"/>
      <c r="P37" s="466"/>
      <c r="Q37" s="467">
        <f t="shared" si="6"/>
        <v>150000</v>
      </c>
      <c r="R37" s="483">
        <f t="shared" si="7"/>
        <v>154500</v>
      </c>
      <c r="S37" s="483">
        <f t="shared" si="7"/>
        <v>159135</v>
      </c>
      <c r="T37" s="483">
        <f t="shared" si="7"/>
        <v>163909.04999999999</v>
      </c>
      <c r="U37" s="483">
        <f t="shared" si="7"/>
        <v>168826.32149999999</v>
      </c>
      <c r="V37" s="468">
        <f t="shared" si="8"/>
        <v>0</v>
      </c>
      <c r="W37" s="468">
        <f t="shared" si="8"/>
        <v>0</v>
      </c>
      <c r="X37" s="468">
        <f t="shared" si="8"/>
        <v>0</v>
      </c>
      <c r="Y37" s="468">
        <f t="shared" si="8"/>
        <v>0</v>
      </c>
      <c r="Z37" s="468">
        <f t="shared" si="8"/>
        <v>0</v>
      </c>
      <c r="AA37" s="469">
        <f t="shared" si="9"/>
        <v>0</v>
      </c>
      <c r="AB37" s="470">
        <f t="shared" si="10"/>
        <v>0</v>
      </c>
      <c r="AC37" s="471">
        <f t="shared" si="11"/>
        <v>0</v>
      </c>
      <c r="AD37" s="471">
        <f t="shared" si="12"/>
        <v>0</v>
      </c>
      <c r="AE37" s="472">
        <v>0.05</v>
      </c>
      <c r="AF37" s="471">
        <f t="shared" si="13"/>
        <v>0</v>
      </c>
      <c r="AG37" s="471">
        <f t="shared" si="14"/>
        <v>0</v>
      </c>
      <c r="AH37" s="473">
        <f t="shared" si="15"/>
        <v>0</v>
      </c>
      <c r="AI37" s="484">
        <f t="shared" si="16"/>
        <v>0</v>
      </c>
      <c r="AJ37" s="474">
        <f t="shared" si="17"/>
        <v>0</v>
      </c>
      <c r="AK37" s="471">
        <f t="shared" si="18"/>
        <v>0</v>
      </c>
      <c r="AL37" s="475">
        <f t="shared" si="19"/>
        <v>5.7500000000000002E-2</v>
      </c>
      <c r="AM37" s="471">
        <f t="shared" si="50"/>
        <v>0</v>
      </c>
      <c r="AN37" s="471">
        <f t="shared" si="20"/>
        <v>0</v>
      </c>
      <c r="AO37" s="476">
        <f t="shared" si="21"/>
        <v>0</v>
      </c>
      <c r="AP37" s="484">
        <f t="shared" si="22"/>
        <v>0</v>
      </c>
      <c r="AQ37" s="485">
        <f t="shared" si="23"/>
        <v>0</v>
      </c>
      <c r="AR37" s="471">
        <f t="shared" si="24"/>
        <v>0</v>
      </c>
      <c r="AS37" s="475">
        <f t="shared" si="25"/>
        <v>6.5000000000000002E-2</v>
      </c>
      <c r="AT37" s="471">
        <f t="shared" si="51"/>
        <v>0</v>
      </c>
      <c r="AU37" s="471">
        <f t="shared" si="26"/>
        <v>0</v>
      </c>
      <c r="AV37" s="476">
        <f t="shared" si="27"/>
        <v>0</v>
      </c>
      <c r="AW37" s="484">
        <f t="shared" si="28"/>
        <v>0</v>
      </c>
      <c r="AX37" s="485">
        <f t="shared" si="29"/>
        <v>0</v>
      </c>
      <c r="AY37" s="471">
        <f t="shared" si="30"/>
        <v>0</v>
      </c>
      <c r="AZ37" s="475">
        <f t="shared" si="31"/>
        <v>7.2500000000000009E-2</v>
      </c>
      <c r="BA37" s="471">
        <f t="shared" si="52"/>
        <v>0</v>
      </c>
      <c r="BB37" s="471">
        <f t="shared" si="32"/>
        <v>0</v>
      </c>
      <c r="BC37" s="476">
        <f t="shared" si="33"/>
        <v>0</v>
      </c>
      <c r="BD37" s="484">
        <f t="shared" si="34"/>
        <v>0</v>
      </c>
      <c r="BE37" s="474">
        <f t="shared" si="35"/>
        <v>0</v>
      </c>
      <c r="BF37" s="471">
        <f t="shared" si="36"/>
        <v>0</v>
      </c>
      <c r="BG37" s="475">
        <f t="shared" si="37"/>
        <v>8.0000000000000016E-2</v>
      </c>
      <c r="BH37" s="471">
        <f t="shared" si="53"/>
        <v>0</v>
      </c>
      <c r="BI37" s="471">
        <f t="shared" si="38"/>
        <v>0</v>
      </c>
      <c r="BJ37" s="473">
        <f t="shared" si="39"/>
        <v>0</v>
      </c>
      <c r="BK37" s="479">
        <f t="shared" si="40"/>
        <v>0</v>
      </c>
      <c r="BL37" s="480">
        <f t="shared" si="40"/>
        <v>0</v>
      </c>
      <c r="BM37" s="480">
        <f t="shared" si="41"/>
        <v>0</v>
      </c>
      <c r="BN37" s="480">
        <f t="shared" si="41"/>
        <v>0</v>
      </c>
      <c r="BO37" s="480">
        <f t="shared" si="42"/>
        <v>0</v>
      </c>
      <c r="BP37" s="480">
        <f t="shared" si="43"/>
        <v>0</v>
      </c>
      <c r="BQ37" s="480">
        <f t="shared" si="44"/>
        <v>0</v>
      </c>
      <c r="BR37" s="480">
        <f t="shared" si="45"/>
        <v>0</v>
      </c>
      <c r="BS37" s="480">
        <f t="shared" si="46"/>
        <v>0</v>
      </c>
      <c r="BT37" s="480">
        <f t="shared" si="47"/>
        <v>0</v>
      </c>
      <c r="BU37" s="480">
        <f t="shared" si="48"/>
        <v>0</v>
      </c>
      <c r="BV37" s="480">
        <f t="shared" si="49"/>
        <v>0</v>
      </c>
      <c r="BW37" s="41"/>
      <c r="BX37" s="39">
        <f t="shared" si="54"/>
        <v>0</v>
      </c>
      <c r="BY37" s="39">
        <f t="shared" si="55"/>
        <v>0</v>
      </c>
      <c r="BZ37" s="39">
        <f t="shared" si="56"/>
        <v>0</v>
      </c>
      <c r="CA37" s="40"/>
      <c r="CB37" s="40"/>
      <c r="CC37" s="40"/>
    </row>
    <row r="38" spans="1:81" ht="15" hidden="1">
      <c r="A38" s="453">
        <f t="shared" si="57"/>
        <v>29</v>
      </c>
      <c r="B38" s="454" t="s">
        <v>382</v>
      </c>
      <c r="C38" s="492" t="s">
        <v>405</v>
      </c>
      <c r="D38" s="456"/>
      <c r="E38" s="457" t="s">
        <v>381</v>
      </c>
      <c r="F38" s="458"/>
      <c r="G38" s="459">
        <v>5</v>
      </c>
      <c r="H38" s="460">
        <v>5</v>
      </c>
      <c r="I38" s="461" t="s">
        <v>373</v>
      </c>
      <c r="J38" s="462">
        <v>20000</v>
      </c>
      <c r="K38" s="463"/>
      <c r="L38" s="464">
        <v>0</v>
      </c>
      <c r="M38" s="466"/>
      <c r="N38" s="466"/>
      <c r="O38" s="466"/>
      <c r="P38" s="466"/>
      <c r="Q38" s="467">
        <f t="shared" si="6"/>
        <v>20000</v>
      </c>
      <c r="R38" s="483">
        <f t="shared" si="7"/>
        <v>20600</v>
      </c>
      <c r="S38" s="483">
        <f t="shared" si="7"/>
        <v>21218</v>
      </c>
      <c r="T38" s="483">
        <f t="shared" si="7"/>
        <v>21854.54</v>
      </c>
      <c r="U38" s="483">
        <f t="shared" si="7"/>
        <v>22510.176200000002</v>
      </c>
      <c r="V38" s="468">
        <f t="shared" si="8"/>
        <v>0</v>
      </c>
      <c r="W38" s="468">
        <f t="shared" si="8"/>
        <v>0</v>
      </c>
      <c r="X38" s="468">
        <f t="shared" si="8"/>
        <v>0</v>
      </c>
      <c r="Y38" s="468">
        <f t="shared" si="8"/>
        <v>0</v>
      </c>
      <c r="Z38" s="468">
        <f t="shared" si="8"/>
        <v>0</v>
      </c>
      <c r="AA38" s="469">
        <f t="shared" si="9"/>
        <v>0</v>
      </c>
      <c r="AB38" s="470">
        <f t="shared" si="10"/>
        <v>0</v>
      </c>
      <c r="AC38" s="471">
        <f t="shared" si="11"/>
        <v>0</v>
      </c>
      <c r="AD38" s="471">
        <f t="shared" si="12"/>
        <v>0</v>
      </c>
      <c r="AE38" s="472">
        <v>0.02</v>
      </c>
      <c r="AF38" s="471">
        <f t="shared" si="13"/>
        <v>0</v>
      </c>
      <c r="AG38" s="471">
        <f t="shared" si="14"/>
        <v>0</v>
      </c>
      <c r="AH38" s="473">
        <f t="shared" si="15"/>
        <v>0</v>
      </c>
      <c r="AI38" s="484">
        <f t="shared" si="16"/>
        <v>0</v>
      </c>
      <c r="AJ38" s="474">
        <f t="shared" si="17"/>
        <v>0</v>
      </c>
      <c r="AK38" s="471">
        <f t="shared" si="18"/>
        <v>0</v>
      </c>
      <c r="AL38" s="475">
        <f t="shared" si="19"/>
        <v>2.75E-2</v>
      </c>
      <c r="AM38" s="471">
        <f t="shared" si="50"/>
        <v>0</v>
      </c>
      <c r="AN38" s="471">
        <f t="shared" si="20"/>
        <v>0</v>
      </c>
      <c r="AO38" s="476">
        <f t="shared" si="21"/>
        <v>0</v>
      </c>
      <c r="AP38" s="484">
        <f t="shared" si="22"/>
        <v>0</v>
      </c>
      <c r="AQ38" s="485">
        <f t="shared" si="23"/>
        <v>0</v>
      </c>
      <c r="AR38" s="471">
        <f t="shared" si="24"/>
        <v>0</v>
      </c>
      <c r="AS38" s="475">
        <f t="shared" si="25"/>
        <v>3.5000000000000003E-2</v>
      </c>
      <c r="AT38" s="471">
        <f t="shared" si="51"/>
        <v>0</v>
      </c>
      <c r="AU38" s="471">
        <f t="shared" si="26"/>
        <v>0</v>
      </c>
      <c r="AV38" s="476">
        <f t="shared" si="27"/>
        <v>0</v>
      </c>
      <c r="AW38" s="484">
        <f t="shared" si="28"/>
        <v>0</v>
      </c>
      <c r="AX38" s="485">
        <f t="shared" si="29"/>
        <v>0</v>
      </c>
      <c r="AY38" s="471">
        <f t="shared" si="30"/>
        <v>0</v>
      </c>
      <c r="AZ38" s="475">
        <f t="shared" si="31"/>
        <v>4.2500000000000003E-2</v>
      </c>
      <c r="BA38" s="471">
        <f t="shared" si="52"/>
        <v>0</v>
      </c>
      <c r="BB38" s="471">
        <f t="shared" si="32"/>
        <v>0</v>
      </c>
      <c r="BC38" s="476">
        <f t="shared" si="33"/>
        <v>0</v>
      </c>
      <c r="BD38" s="484">
        <f t="shared" si="34"/>
        <v>0</v>
      </c>
      <c r="BE38" s="474">
        <f t="shared" si="35"/>
        <v>0</v>
      </c>
      <c r="BF38" s="471">
        <f t="shared" si="36"/>
        <v>0</v>
      </c>
      <c r="BG38" s="475">
        <f t="shared" si="37"/>
        <v>0.05</v>
      </c>
      <c r="BH38" s="471">
        <f t="shared" si="53"/>
        <v>0</v>
      </c>
      <c r="BI38" s="471">
        <f t="shared" si="38"/>
        <v>0</v>
      </c>
      <c r="BJ38" s="473">
        <f t="shared" si="39"/>
        <v>0</v>
      </c>
      <c r="BK38" s="479">
        <f t="shared" si="40"/>
        <v>0</v>
      </c>
      <c r="BL38" s="480">
        <f t="shared" si="40"/>
        <v>0</v>
      </c>
      <c r="BM38" s="480">
        <f t="shared" si="41"/>
        <v>0</v>
      </c>
      <c r="BN38" s="480">
        <f t="shared" si="41"/>
        <v>0</v>
      </c>
      <c r="BO38" s="480">
        <f t="shared" si="42"/>
        <v>0</v>
      </c>
      <c r="BP38" s="480">
        <f t="shared" si="43"/>
        <v>0</v>
      </c>
      <c r="BQ38" s="480">
        <f t="shared" si="44"/>
        <v>0</v>
      </c>
      <c r="BR38" s="480">
        <f t="shared" si="45"/>
        <v>0</v>
      </c>
      <c r="BS38" s="480">
        <f t="shared" si="46"/>
        <v>0</v>
      </c>
      <c r="BT38" s="480">
        <f t="shared" si="47"/>
        <v>0</v>
      </c>
      <c r="BU38" s="480">
        <f t="shared" si="48"/>
        <v>0</v>
      </c>
      <c r="BV38" s="480">
        <f t="shared" si="49"/>
        <v>0</v>
      </c>
      <c r="BW38" s="41"/>
      <c r="BX38" s="39">
        <f t="shared" si="54"/>
        <v>0</v>
      </c>
      <c r="BY38" s="39">
        <f t="shared" si="55"/>
        <v>0</v>
      </c>
      <c r="BZ38" s="39">
        <f t="shared" si="56"/>
        <v>0</v>
      </c>
      <c r="CA38" s="40"/>
      <c r="CB38" s="40"/>
      <c r="CC38" s="40"/>
    </row>
    <row r="39" spans="1:81" ht="15">
      <c r="A39" s="453">
        <f t="shared" si="57"/>
        <v>30</v>
      </c>
      <c r="B39" s="454" t="s">
        <v>370</v>
      </c>
      <c r="C39" s="492" t="s">
        <v>406</v>
      </c>
      <c r="D39" s="456"/>
      <c r="E39" s="457" t="s">
        <v>381</v>
      </c>
      <c r="F39" s="458"/>
      <c r="G39" s="459">
        <v>5</v>
      </c>
      <c r="H39" s="460">
        <v>5</v>
      </c>
      <c r="I39" s="461" t="s">
        <v>373</v>
      </c>
      <c r="J39" s="462">
        <v>18000</v>
      </c>
      <c r="K39" s="463"/>
      <c r="L39" s="497">
        <v>4</v>
      </c>
      <c r="M39" s="465"/>
      <c r="N39" s="465"/>
      <c r="O39" s="465"/>
      <c r="P39" s="465"/>
      <c r="Q39" s="467">
        <f t="shared" si="6"/>
        <v>18000</v>
      </c>
      <c r="R39" s="483">
        <f t="shared" si="7"/>
        <v>18540</v>
      </c>
      <c r="S39" s="483">
        <f t="shared" si="7"/>
        <v>19096.2</v>
      </c>
      <c r="T39" s="483">
        <f t="shared" si="7"/>
        <v>19669.085999999999</v>
      </c>
      <c r="U39" s="483">
        <f t="shared" si="7"/>
        <v>20259.158579999999</v>
      </c>
      <c r="V39" s="468">
        <f t="shared" si="8"/>
        <v>72000</v>
      </c>
      <c r="W39" s="468">
        <f t="shared" si="8"/>
        <v>0</v>
      </c>
      <c r="X39" s="468">
        <f t="shared" si="8"/>
        <v>0</v>
      </c>
      <c r="Y39" s="468">
        <f t="shared" si="8"/>
        <v>0</v>
      </c>
      <c r="Z39" s="468">
        <f t="shared" si="8"/>
        <v>0</v>
      </c>
      <c r="AA39" s="469">
        <f t="shared" si="9"/>
        <v>72000</v>
      </c>
      <c r="AB39" s="470">
        <f t="shared" si="10"/>
        <v>21127.293325526643</v>
      </c>
      <c r="AC39" s="471">
        <f t="shared" si="11"/>
        <v>14400</v>
      </c>
      <c r="AD39" s="471">
        <f t="shared" si="12"/>
        <v>6727.2933255266435</v>
      </c>
      <c r="AE39" s="472">
        <v>0.02</v>
      </c>
      <c r="AF39" s="471">
        <f t="shared" si="13"/>
        <v>1440</v>
      </c>
      <c r="AG39" s="471">
        <f t="shared" si="14"/>
        <v>180</v>
      </c>
      <c r="AH39" s="473">
        <f t="shared" si="15"/>
        <v>57600</v>
      </c>
      <c r="AI39" s="484">
        <f t="shared" si="16"/>
        <v>19781.834660421315</v>
      </c>
      <c r="AJ39" s="474">
        <f t="shared" si="17"/>
        <v>14400</v>
      </c>
      <c r="AK39" s="471">
        <f t="shared" si="18"/>
        <v>5381.8346604213157</v>
      </c>
      <c r="AL39" s="475">
        <f t="shared" si="19"/>
        <v>2.75E-2</v>
      </c>
      <c r="AM39" s="471">
        <f t="shared" si="50"/>
        <v>1980</v>
      </c>
      <c r="AN39" s="471">
        <f t="shared" si="20"/>
        <v>146.88000000000002</v>
      </c>
      <c r="AO39" s="476">
        <f t="shared" si="21"/>
        <v>43200</v>
      </c>
      <c r="AP39" s="484">
        <f t="shared" si="22"/>
        <v>18436.375995315986</v>
      </c>
      <c r="AQ39" s="485">
        <f t="shared" si="23"/>
        <v>14400</v>
      </c>
      <c r="AR39" s="471">
        <f t="shared" si="24"/>
        <v>4036.375995315987</v>
      </c>
      <c r="AS39" s="475">
        <f t="shared" si="25"/>
        <v>3.5000000000000003E-2</v>
      </c>
      <c r="AT39" s="471">
        <f t="shared" si="51"/>
        <v>2520.0000000000005</v>
      </c>
      <c r="AU39" s="471">
        <f t="shared" si="26"/>
        <v>112.36320000000001</v>
      </c>
      <c r="AV39" s="476">
        <f t="shared" si="27"/>
        <v>28800</v>
      </c>
      <c r="AW39" s="484">
        <f t="shared" si="28"/>
        <v>17090.917330210657</v>
      </c>
      <c r="AX39" s="485">
        <f t="shared" si="29"/>
        <v>14400</v>
      </c>
      <c r="AY39" s="471">
        <f t="shared" si="30"/>
        <v>2690.9173302106578</v>
      </c>
      <c r="AZ39" s="475">
        <f t="shared" si="31"/>
        <v>4.2500000000000003E-2</v>
      </c>
      <c r="BA39" s="471">
        <f t="shared" si="52"/>
        <v>3060</v>
      </c>
      <c r="BB39" s="471">
        <f t="shared" si="32"/>
        <v>76.406976</v>
      </c>
      <c r="BC39" s="476">
        <f t="shared" si="33"/>
        <v>14400</v>
      </c>
      <c r="BD39" s="484">
        <f t="shared" si="34"/>
        <v>15745.458665105329</v>
      </c>
      <c r="BE39" s="474">
        <f t="shared" si="35"/>
        <v>14400</v>
      </c>
      <c r="BF39" s="471">
        <f t="shared" si="36"/>
        <v>1345.4586651053289</v>
      </c>
      <c r="BG39" s="475">
        <f t="shared" si="37"/>
        <v>0.05</v>
      </c>
      <c r="BH39" s="471">
        <f t="shared" si="53"/>
        <v>3600</v>
      </c>
      <c r="BI39" s="471">
        <f t="shared" si="38"/>
        <v>38.967557760000005</v>
      </c>
      <c r="BJ39" s="473">
        <f t="shared" si="39"/>
        <v>0</v>
      </c>
      <c r="BK39" s="479">
        <f t="shared" si="40"/>
        <v>72000</v>
      </c>
      <c r="BL39" s="480">
        <f t="shared" si="40"/>
        <v>20181.87997657993</v>
      </c>
      <c r="BM39" s="480">
        <f t="shared" si="41"/>
        <v>12600</v>
      </c>
      <c r="BN39" s="480">
        <f t="shared" si="41"/>
        <v>554.61773376000008</v>
      </c>
      <c r="BO39" s="480">
        <f t="shared" si="42"/>
        <v>92181.879976579934</v>
      </c>
      <c r="BP39" s="480">
        <f t="shared" si="43"/>
        <v>105336.49771033993</v>
      </c>
      <c r="BQ39" s="480">
        <f t="shared" si="44"/>
        <v>92181.879976579934</v>
      </c>
      <c r="BR39" s="480">
        <f t="shared" si="45"/>
        <v>0</v>
      </c>
      <c r="BS39" s="480">
        <f t="shared" si="46"/>
        <v>0</v>
      </c>
      <c r="BT39" s="480">
        <f t="shared" si="47"/>
        <v>0</v>
      </c>
      <c r="BU39" s="480">
        <f t="shared" si="48"/>
        <v>0</v>
      </c>
      <c r="BV39" s="480">
        <f t="shared" si="49"/>
        <v>0</v>
      </c>
      <c r="BW39" s="41"/>
      <c r="BX39" s="39">
        <f t="shared" si="54"/>
        <v>1895.6077771272203</v>
      </c>
      <c r="BY39" s="39">
        <f t="shared" si="55"/>
        <v>1825.7262217017762</v>
      </c>
      <c r="BZ39" s="39">
        <f t="shared" si="56"/>
        <v>1755.7282662763321</v>
      </c>
      <c r="CA39" s="40"/>
      <c r="CB39" s="40"/>
      <c r="CC39" s="40"/>
    </row>
    <row r="40" spans="1:81" ht="15" hidden="1">
      <c r="A40" s="453">
        <f t="shared" si="57"/>
        <v>31</v>
      </c>
      <c r="B40" s="454" t="s">
        <v>370</v>
      </c>
      <c r="C40" s="492" t="s">
        <v>407</v>
      </c>
      <c r="D40" s="456"/>
      <c r="E40" s="457" t="s">
        <v>381</v>
      </c>
      <c r="F40" s="458"/>
      <c r="G40" s="459">
        <v>5</v>
      </c>
      <c r="H40" s="460">
        <v>5</v>
      </c>
      <c r="I40" s="461" t="s">
        <v>373</v>
      </c>
      <c r="J40" s="462">
        <v>6500</v>
      </c>
      <c r="K40" s="463"/>
      <c r="L40" s="464">
        <v>0</v>
      </c>
      <c r="M40" s="466"/>
      <c r="N40" s="466"/>
      <c r="O40" s="466"/>
      <c r="P40" s="466"/>
      <c r="Q40" s="467">
        <f t="shared" si="6"/>
        <v>6500</v>
      </c>
      <c r="R40" s="483">
        <f t="shared" si="7"/>
        <v>6695</v>
      </c>
      <c r="S40" s="483">
        <f t="shared" si="7"/>
        <v>6895.85</v>
      </c>
      <c r="T40" s="483">
        <f t="shared" si="7"/>
        <v>7102.7255000000005</v>
      </c>
      <c r="U40" s="483">
        <f t="shared" si="7"/>
        <v>7315.8072650000004</v>
      </c>
      <c r="V40" s="468">
        <f t="shared" si="8"/>
        <v>0</v>
      </c>
      <c r="W40" s="468">
        <f t="shared" si="8"/>
        <v>0</v>
      </c>
      <c r="X40" s="468">
        <f t="shared" si="8"/>
        <v>0</v>
      </c>
      <c r="Y40" s="468">
        <f t="shared" si="8"/>
        <v>0</v>
      </c>
      <c r="Z40" s="468">
        <f t="shared" si="8"/>
        <v>0</v>
      </c>
      <c r="AA40" s="469">
        <f t="shared" si="9"/>
        <v>0</v>
      </c>
      <c r="AB40" s="470">
        <f t="shared" si="10"/>
        <v>0</v>
      </c>
      <c r="AC40" s="471">
        <f t="shared" si="11"/>
        <v>0</v>
      </c>
      <c r="AD40" s="471">
        <f t="shared" si="12"/>
        <v>0</v>
      </c>
      <c r="AE40" s="472">
        <v>0.02</v>
      </c>
      <c r="AF40" s="471">
        <f t="shared" si="13"/>
        <v>0</v>
      </c>
      <c r="AG40" s="471">
        <f t="shared" si="14"/>
        <v>0</v>
      </c>
      <c r="AH40" s="473">
        <f t="shared" si="15"/>
        <v>0</v>
      </c>
      <c r="AI40" s="484">
        <f t="shared" si="16"/>
        <v>0</v>
      </c>
      <c r="AJ40" s="474">
        <f t="shared" si="17"/>
        <v>0</v>
      </c>
      <c r="AK40" s="471">
        <f t="shared" si="18"/>
        <v>0</v>
      </c>
      <c r="AL40" s="475">
        <f t="shared" si="19"/>
        <v>2.75E-2</v>
      </c>
      <c r="AM40" s="471">
        <f t="shared" si="50"/>
        <v>0</v>
      </c>
      <c r="AN40" s="471">
        <f t="shared" si="20"/>
        <v>0</v>
      </c>
      <c r="AO40" s="476">
        <f t="shared" si="21"/>
        <v>0</v>
      </c>
      <c r="AP40" s="484">
        <f t="shared" si="22"/>
        <v>0</v>
      </c>
      <c r="AQ40" s="485">
        <f t="shared" si="23"/>
        <v>0</v>
      </c>
      <c r="AR40" s="471">
        <f t="shared" si="24"/>
        <v>0</v>
      </c>
      <c r="AS40" s="475">
        <f t="shared" si="25"/>
        <v>3.5000000000000003E-2</v>
      </c>
      <c r="AT40" s="471">
        <f t="shared" si="51"/>
        <v>0</v>
      </c>
      <c r="AU40" s="471">
        <f t="shared" si="26"/>
        <v>0</v>
      </c>
      <c r="AV40" s="476">
        <f t="shared" si="27"/>
        <v>0</v>
      </c>
      <c r="AW40" s="484">
        <f t="shared" si="28"/>
        <v>0</v>
      </c>
      <c r="AX40" s="474">
        <f t="shared" si="29"/>
        <v>0</v>
      </c>
      <c r="AY40" s="471">
        <f t="shared" si="30"/>
        <v>0</v>
      </c>
      <c r="AZ40" s="475">
        <f t="shared" si="31"/>
        <v>4.2500000000000003E-2</v>
      </c>
      <c r="BA40" s="471">
        <f t="shared" si="52"/>
        <v>0</v>
      </c>
      <c r="BB40" s="471">
        <f t="shared" si="32"/>
        <v>0</v>
      </c>
      <c r="BC40" s="476">
        <f t="shared" si="33"/>
        <v>0</v>
      </c>
      <c r="BD40" s="484">
        <f t="shared" si="34"/>
        <v>0</v>
      </c>
      <c r="BE40" s="474">
        <f t="shared" si="35"/>
        <v>0</v>
      </c>
      <c r="BF40" s="471">
        <f t="shared" si="36"/>
        <v>0</v>
      </c>
      <c r="BG40" s="475">
        <f t="shared" si="37"/>
        <v>0.05</v>
      </c>
      <c r="BH40" s="471">
        <f t="shared" si="53"/>
        <v>0</v>
      </c>
      <c r="BI40" s="471">
        <f t="shared" si="38"/>
        <v>0</v>
      </c>
      <c r="BJ40" s="473">
        <f t="shared" si="39"/>
        <v>0</v>
      </c>
      <c r="BK40" s="479">
        <f t="shared" si="40"/>
        <v>0</v>
      </c>
      <c r="BL40" s="480">
        <f t="shared" si="40"/>
        <v>0</v>
      </c>
      <c r="BM40" s="480">
        <f t="shared" si="41"/>
        <v>0</v>
      </c>
      <c r="BN40" s="480">
        <f t="shared" si="41"/>
        <v>0</v>
      </c>
      <c r="BO40" s="480">
        <f t="shared" si="42"/>
        <v>0</v>
      </c>
      <c r="BP40" s="480">
        <f t="shared" si="43"/>
        <v>0</v>
      </c>
      <c r="BQ40" s="480">
        <f t="shared" si="44"/>
        <v>0</v>
      </c>
      <c r="BR40" s="480">
        <f t="shared" si="45"/>
        <v>0</v>
      </c>
      <c r="BS40" s="480">
        <f t="shared" si="46"/>
        <v>0</v>
      </c>
      <c r="BT40" s="480">
        <f t="shared" si="47"/>
        <v>0</v>
      </c>
      <c r="BU40" s="480">
        <f t="shared" si="48"/>
        <v>0</v>
      </c>
      <c r="BV40" s="480">
        <f t="shared" si="49"/>
        <v>0</v>
      </c>
      <c r="BW40" s="41"/>
      <c r="BX40" s="39">
        <f t="shared" si="54"/>
        <v>0</v>
      </c>
      <c r="BY40" s="39">
        <f t="shared" si="55"/>
        <v>0</v>
      </c>
      <c r="BZ40" s="39">
        <f t="shared" si="56"/>
        <v>0</v>
      </c>
      <c r="CA40" s="40" t="s">
        <v>374</v>
      </c>
      <c r="CB40" s="40"/>
      <c r="CC40" s="40"/>
    </row>
    <row r="41" spans="1:81" ht="15">
      <c r="A41" s="453">
        <f t="shared" si="57"/>
        <v>32</v>
      </c>
      <c r="B41" s="454" t="s">
        <v>382</v>
      </c>
      <c r="C41" s="492" t="s">
        <v>408</v>
      </c>
      <c r="D41" s="456"/>
      <c r="E41" s="457" t="s">
        <v>381</v>
      </c>
      <c r="F41" s="458"/>
      <c r="G41" s="459">
        <v>3</v>
      </c>
      <c r="H41" s="460">
        <v>3</v>
      </c>
      <c r="I41" s="461" t="s">
        <v>373</v>
      </c>
      <c r="J41" s="462">
        <v>500000</v>
      </c>
      <c r="K41" s="463"/>
      <c r="L41" s="497">
        <v>1</v>
      </c>
      <c r="M41" s="466"/>
      <c r="N41" s="466"/>
      <c r="O41" s="466"/>
      <c r="P41" s="466"/>
      <c r="Q41" s="467">
        <f t="shared" si="6"/>
        <v>500000</v>
      </c>
      <c r="R41" s="483">
        <f t="shared" si="7"/>
        <v>515000</v>
      </c>
      <c r="S41" s="483">
        <f t="shared" si="7"/>
        <v>530450</v>
      </c>
      <c r="T41" s="483">
        <f t="shared" si="7"/>
        <v>546363.5</v>
      </c>
      <c r="U41" s="483">
        <f t="shared" si="7"/>
        <v>562754.40500000003</v>
      </c>
      <c r="V41" s="468">
        <f t="shared" si="8"/>
        <v>500000</v>
      </c>
      <c r="W41" s="468">
        <f t="shared" si="8"/>
        <v>0</v>
      </c>
      <c r="X41" s="468">
        <f t="shared" si="8"/>
        <v>0</v>
      </c>
      <c r="Y41" s="468">
        <f t="shared" si="8"/>
        <v>0</v>
      </c>
      <c r="Z41" s="468">
        <f t="shared" si="8"/>
        <v>0</v>
      </c>
      <c r="AA41" s="469">
        <f t="shared" si="9"/>
        <v>500000</v>
      </c>
      <c r="AB41" s="470">
        <f t="shared" si="10"/>
        <v>210582.64430543926</v>
      </c>
      <c r="AC41" s="471">
        <f t="shared" si="11"/>
        <v>166666.66666666666</v>
      </c>
      <c r="AD41" s="471">
        <f t="shared" si="12"/>
        <v>43915.977638772601</v>
      </c>
      <c r="AE41" s="472">
        <v>0.02</v>
      </c>
      <c r="AF41" s="471">
        <f t="shared" si="13"/>
        <v>10000</v>
      </c>
      <c r="AG41" s="471">
        <f t="shared" si="14"/>
        <v>1250</v>
      </c>
      <c r="AH41" s="473">
        <f t="shared" si="15"/>
        <v>333333.33333333337</v>
      </c>
      <c r="AI41" s="484">
        <f t="shared" si="16"/>
        <v>195943.98509251507</v>
      </c>
      <c r="AJ41" s="474">
        <f t="shared" si="17"/>
        <v>166666.66666666666</v>
      </c>
      <c r="AK41" s="471">
        <f t="shared" si="18"/>
        <v>29277.318425848396</v>
      </c>
      <c r="AL41" s="475">
        <f t="shared" si="19"/>
        <v>2.75E-2</v>
      </c>
      <c r="AM41" s="471">
        <f t="shared" si="50"/>
        <v>13750</v>
      </c>
      <c r="AN41" s="471">
        <f t="shared" si="20"/>
        <v>850.00000000000011</v>
      </c>
      <c r="AO41" s="476">
        <f t="shared" si="21"/>
        <v>166666.66666666672</v>
      </c>
      <c r="AP41" s="484">
        <f t="shared" si="22"/>
        <v>181305.32587959085</v>
      </c>
      <c r="AQ41" s="485">
        <f t="shared" si="23"/>
        <v>166666.66666666666</v>
      </c>
      <c r="AR41" s="471">
        <f t="shared" si="24"/>
        <v>14638.659212924204</v>
      </c>
      <c r="AS41" s="475">
        <f t="shared" si="25"/>
        <v>3.5000000000000003E-2</v>
      </c>
      <c r="AT41" s="471">
        <f t="shared" si="51"/>
        <v>17500</v>
      </c>
      <c r="AU41" s="471">
        <f t="shared" si="26"/>
        <v>433.50000000000011</v>
      </c>
      <c r="AV41" s="476">
        <f t="shared" si="27"/>
        <v>530450</v>
      </c>
      <c r="AW41" s="484">
        <f t="shared" si="28"/>
        <v>223407.12734364049</v>
      </c>
      <c r="AX41" s="474">
        <f t="shared" si="29"/>
        <v>176816.66666666666</v>
      </c>
      <c r="AY41" s="471">
        <f t="shared" si="30"/>
        <v>46590.460676973846</v>
      </c>
      <c r="AZ41" s="475">
        <f t="shared" si="31"/>
        <v>4.2500000000000003E-2</v>
      </c>
      <c r="BA41" s="471">
        <f t="shared" si="52"/>
        <v>21250</v>
      </c>
      <c r="BB41" s="471">
        <f t="shared" si="32"/>
        <v>1407.294459</v>
      </c>
      <c r="BC41" s="476">
        <f t="shared" si="33"/>
        <v>353633.33333333337</v>
      </c>
      <c r="BD41" s="484">
        <f t="shared" si="34"/>
        <v>207876.97378464922</v>
      </c>
      <c r="BE41" s="474">
        <f t="shared" si="35"/>
        <v>176816.66666666666</v>
      </c>
      <c r="BF41" s="471">
        <f t="shared" si="36"/>
        <v>31060.307117982571</v>
      </c>
      <c r="BG41" s="475">
        <f t="shared" si="37"/>
        <v>0.05</v>
      </c>
      <c r="BH41" s="471">
        <f t="shared" si="53"/>
        <v>25000</v>
      </c>
      <c r="BI41" s="471">
        <f t="shared" si="38"/>
        <v>956.96023212000011</v>
      </c>
      <c r="BJ41" s="473">
        <f t="shared" si="39"/>
        <v>176816.66666666672</v>
      </c>
      <c r="BK41" s="479">
        <f t="shared" si="40"/>
        <v>853633.33333333326</v>
      </c>
      <c r="BL41" s="480">
        <f t="shared" si="40"/>
        <v>165482.72307250163</v>
      </c>
      <c r="BM41" s="480">
        <f t="shared" si="41"/>
        <v>87500</v>
      </c>
      <c r="BN41" s="480">
        <f t="shared" si="41"/>
        <v>4897.7546911200006</v>
      </c>
      <c r="BO41" s="480">
        <f t="shared" si="42"/>
        <v>1019116.0564058349</v>
      </c>
      <c r="BP41" s="480">
        <f t="shared" si="43"/>
        <v>1111513.8110969549</v>
      </c>
      <c r="BQ41" s="480">
        <f t="shared" si="44"/>
        <v>1019116.0564058349</v>
      </c>
      <c r="BR41" s="480">
        <f t="shared" si="45"/>
        <v>0</v>
      </c>
      <c r="BS41" s="480">
        <f t="shared" si="46"/>
        <v>-353633.33333333326</v>
      </c>
      <c r="BT41" s="480">
        <f t="shared" si="47"/>
        <v>530450</v>
      </c>
      <c r="BU41" s="480">
        <f t="shared" si="48"/>
        <v>176816.66666666674</v>
      </c>
      <c r="BV41" s="480">
        <f t="shared" si="49"/>
        <v>0</v>
      </c>
      <c r="BW41" s="41"/>
      <c r="BX41" s="39">
        <f t="shared" si="54"/>
        <v>18486.053692119938</v>
      </c>
      <c r="BY41" s="39">
        <f t="shared" si="55"/>
        <v>17545.332091042921</v>
      </c>
      <c r="BZ41" s="39">
        <f t="shared" si="56"/>
        <v>16603.235489965904</v>
      </c>
      <c r="CA41" s="40" t="s">
        <v>409</v>
      </c>
      <c r="CB41" s="40"/>
      <c r="CC41" s="40"/>
    </row>
    <row r="42" spans="1:81" ht="15" hidden="1">
      <c r="A42" s="453">
        <f t="shared" si="57"/>
        <v>33</v>
      </c>
      <c r="B42" s="500" t="s">
        <v>198</v>
      </c>
      <c r="C42" s="492" t="s">
        <v>410</v>
      </c>
      <c r="D42" s="456"/>
      <c r="E42" s="457" t="s">
        <v>372</v>
      </c>
      <c r="F42" s="458"/>
      <c r="G42" s="459">
        <v>3</v>
      </c>
      <c r="H42" s="460">
        <v>3</v>
      </c>
      <c r="I42" s="461" t="s">
        <v>373</v>
      </c>
      <c r="J42" s="462">
        <v>800</v>
      </c>
      <c r="K42" s="501"/>
      <c r="L42" s="464">
        <v>0</v>
      </c>
      <c r="M42" s="465"/>
      <c r="N42" s="465"/>
      <c r="O42" s="466"/>
      <c r="P42" s="466"/>
      <c r="Q42" s="467">
        <f t="shared" si="6"/>
        <v>800</v>
      </c>
      <c r="R42" s="483">
        <f t="shared" si="7"/>
        <v>824</v>
      </c>
      <c r="S42" s="483">
        <f t="shared" si="7"/>
        <v>848.72</v>
      </c>
      <c r="T42" s="483">
        <f t="shared" si="7"/>
        <v>874.1816</v>
      </c>
      <c r="U42" s="483">
        <f t="shared" si="7"/>
        <v>900.40704800000003</v>
      </c>
      <c r="V42" s="468">
        <f t="shared" si="8"/>
        <v>0</v>
      </c>
      <c r="W42" s="468">
        <f t="shared" si="8"/>
        <v>0</v>
      </c>
      <c r="X42" s="468">
        <f t="shared" si="8"/>
        <v>0</v>
      </c>
      <c r="Y42" s="468">
        <f t="shared" si="8"/>
        <v>0</v>
      </c>
      <c r="Z42" s="468">
        <f t="shared" si="8"/>
        <v>0</v>
      </c>
      <c r="AA42" s="469">
        <f t="shared" si="9"/>
        <v>0</v>
      </c>
      <c r="AB42" s="470">
        <f t="shared" si="10"/>
        <v>0</v>
      </c>
      <c r="AC42" s="471">
        <f t="shared" si="11"/>
        <v>0</v>
      </c>
      <c r="AD42" s="471">
        <f t="shared" si="12"/>
        <v>0</v>
      </c>
      <c r="AE42" s="472">
        <v>0.03</v>
      </c>
      <c r="AF42" s="471">
        <f t="shared" si="13"/>
        <v>0</v>
      </c>
      <c r="AG42" s="471">
        <f t="shared" si="14"/>
        <v>0</v>
      </c>
      <c r="AH42" s="473">
        <f t="shared" si="15"/>
        <v>0</v>
      </c>
      <c r="AI42" s="484">
        <f t="shared" si="16"/>
        <v>0</v>
      </c>
      <c r="AJ42" s="474">
        <f t="shared" si="17"/>
        <v>0</v>
      </c>
      <c r="AK42" s="471">
        <f t="shared" si="18"/>
        <v>0</v>
      </c>
      <c r="AL42" s="475">
        <f t="shared" si="19"/>
        <v>3.7499999999999999E-2</v>
      </c>
      <c r="AM42" s="471">
        <f t="shared" si="50"/>
        <v>0</v>
      </c>
      <c r="AN42" s="471">
        <f t="shared" si="20"/>
        <v>0</v>
      </c>
      <c r="AO42" s="476">
        <f t="shared" si="21"/>
        <v>0</v>
      </c>
      <c r="AP42" s="484">
        <f t="shared" si="22"/>
        <v>0</v>
      </c>
      <c r="AQ42" s="485">
        <f t="shared" si="23"/>
        <v>0</v>
      </c>
      <c r="AR42" s="471">
        <f t="shared" si="24"/>
        <v>0</v>
      </c>
      <c r="AS42" s="475">
        <f t="shared" si="25"/>
        <v>4.4999999999999998E-2</v>
      </c>
      <c r="AT42" s="471">
        <f t="shared" si="51"/>
        <v>0</v>
      </c>
      <c r="AU42" s="471">
        <f t="shared" si="26"/>
        <v>0</v>
      </c>
      <c r="AV42" s="476">
        <f t="shared" si="27"/>
        <v>0</v>
      </c>
      <c r="AW42" s="484">
        <f t="shared" si="28"/>
        <v>0</v>
      </c>
      <c r="AX42" s="485">
        <f t="shared" si="29"/>
        <v>0</v>
      </c>
      <c r="AY42" s="471">
        <f t="shared" si="30"/>
        <v>0</v>
      </c>
      <c r="AZ42" s="475">
        <f t="shared" si="31"/>
        <v>5.2499999999999998E-2</v>
      </c>
      <c r="BA42" s="471">
        <f t="shared" si="52"/>
        <v>0</v>
      </c>
      <c r="BB42" s="471">
        <f t="shared" si="32"/>
        <v>0</v>
      </c>
      <c r="BC42" s="476">
        <f t="shared" si="33"/>
        <v>0</v>
      </c>
      <c r="BD42" s="484">
        <f t="shared" si="34"/>
        <v>0</v>
      </c>
      <c r="BE42" s="474">
        <f t="shared" si="35"/>
        <v>0</v>
      </c>
      <c r="BF42" s="471">
        <f t="shared" si="36"/>
        <v>0</v>
      </c>
      <c r="BG42" s="475">
        <f t="shared" si="37"/>
        <v>0.06</v>
      </c>
      <c r="BH42" s="471">
        <f t="shared" si="53"/>
        <v>0</v>
      </c>
      <c r="BI42" s="471">
        <f t="shared" si="38"/>
        <v>0</v>
      </c>
      <c r="BJ42" s="473">
        <f t="shared" si="39"/>
        <v>0</v>
      </c>
      <c r="BK42" s="479">
        <f t="shared" si="40"/>
        <v>0</v>
      </c>
      <c r="BL42" s="480">
        <f t="shared" si="40"/>
        <v>0</v>
      </c>
      <c r="BM42" s="480">
        <f t="shared" si="41"/>
        <v>0</v>
      </c>
      <c r="BN42" s="480">
        <f t="shared" si="41"/>
        <v>0</v>
      </c>
      <c r="BO42" s="480">
        <f t="shared" si="42"/>
        <v>0</v>
      </c>
      <c r="BP42" s="480">
        <f t="shared" si="43"/>
        <v>0</v>
      </c>
      <c r="BQ42" s="480">
        <f t="shared" si="44"/>
        <v>0</v>
      </c>
      <c r="BR42" s="480">
        <f t="shared" si="45"/>
        <v>0</v>
      </c>
      <c r="BS42" s="480">
        <f t="shared" si="46"/>
        <v>0</v>
      </c>
      <c r="BT42" s="480">
        <f t="shared" si="47"/>
        <v>0</v>
      </c>
      <c r="BU42" s="480">
        <f t="shared" si="48"/>
        <v>0</v>
      </c>
      <c r="BV42" s="480">
        <f t="shared" si="49"/>
        <v>0</v>
      </c>
      <c r="BW42" s="41"/>
      <c r="BX42" s="39">
        <f t="shared" si="54"/>
        <v>0</v>
      </c>
      <c r="BY42" s="39">
        <f t="shared" si="55"/>
        <v>0</v>
      </c>
      <c r="BZ42" s="39">
        <f t="shared" si="56"/>
        <v>0</v>
      </c>
      <c r="CA42" s="40" t="s">
        <v>374</v>
      </c>
      <c r="CB42" s="40"/>
      <c r="CC42" s="40"/>
    </row>
    <row r="43" spans="1:81" ht="15" hidden="1">
      <c r="A43" s="453">
        <f t="shared" si="57"/>
        <v>34</v>
      </c>
      <c r="B43" s="500" t="s">
        <v>198</v>
      </c>
      <c r="C43" s="492" t="s">
        <v>411</v>
      </c>
      <c r="D43" s="456"/>
      <c r="E43" s="457" t="s">
        <v>372</v>
      </c>
      <c r="F43" s="458"/>
      <c r="G43" s="459">
        <v>3</v>
      </c>
      <c r="H43" s="460">
        <v>3</v>
      </c>
      <c r="I43" s="461" t="s">
        <v>373</v>
      </c>
      <c r="J43" s="462">
        <v>1500</v>
      </c>
      <c r="K43" s="463"/>
      <c r="L43" s="497">
        <v>0</v>
      </c>
      <c r="M43" s="465"/>
      <c r="N43" s="465"/>
      <c r="O43" s="465"/>
      <c r="P43" s="465"/>
      <c r="Q43" s="467">
        <f t="shared" si="6"/>
        <v>1500</v>
      </c>
      <c r="R43" s="483">
        <f t="shared" si="7"/>
        <v>1545</v>
      </c>
      <c r="S43" s="483">
        <f t="shared" si="7"/>
        <v>1591.35</v>
      </c>
      <c r="T43" s="483">
        <f t="shared" si="7"/>
        <v>1639.0904999999998</v>
      </c>
      <c r="U43" s="483">
        <f t="shared" si="7"/>
        <v>1688.2632149999997</v>
      </c>
      <c r="V43" s="468">
        <f>Q43*L43</f>
        <v>0</v>
      </c>
      <c r="W43" s="468">
        <f t="shared" si="8"/>
        <v>0</v>
      </c>
      <c r="X43" s="468">
        <f t="shared" si="8"/>
        <v>0</v>
      </c>
      <c r="Y43" s="468">
        <f t="shared" si="8"/>
        <v>0</v>
      </c>
      <c r="Z43" s="468">
        <f t="shared" si="8"/>
        <v>0</v>
      </c>
      <c r="AA43" s="469">
        <f t="shared" si="9"/>
        <v>0</v>
      </c>
      <c r="AB43" s="470">
        <f t="shared" si="10"/>
        <v>0</v>
      </c>
      <c r="AC43" s="471">
        <f t="shared" si="11"/>
        <v>0</v>
      </c>
      <c r="AD43" s="471">
        <f t="shared" si="12"/>
        <v>0</v>
      </c>
      <c r="AE43" s="472">
        <v>0.1</v>
      </c>
      <c r="AF43" s="471">
        <f t="shared" si="13"/>
        <v>0</v>
      </c>
      <c r="AG43" s="471">
        <f t="shared" si="14"/>
        <v>0</v>
      </c>
      <c r="AH43" s="473">
        <f t="shared" si="15"/>
        <v>0</v>
      </c>
      <c r="AI43" s="484">
        <f t="shared" si="16"/>
        <v>0</v>
      </c>
      <c r="AJ43" s="474">
        <f t="shared" si="17"/>
        <v>0</v>
      </c>
      <c r="AK43" s="471">
        <f t="shared" si="18"/>
        <v>0</v>
      </c>
      <c r="AL43" s="475">
        <f t="shared" si="19"/>
        <v>0.10750000000000001</v>
      </c>
      <c r="AM43" s="471">
        <f t="shared" si="50"/>
        <v>0</v>
      </c>
      <c r="AN43" s="471">
        <f t="shared" si="20"/>
        <v>0</v>
      </c>
      <c r="AO43" s="476">
        <f t="shared" si="21"/>
        <v>0</v>
      </c>
      <c r="AP43" s="484">
        <f t="shared" si="22"/>
        <v>0</v>
      </c>
      <c r="AQ43" s="485">
        <f t="shared" si="23"/>
        <v>0</v>
      </c>
      <c r="AR43" s="471">
        <f t="shared" si="24"/>
        <v>0</v>
      </c>
      <c r="AS43" s="475">
        <f t="shared" si="25"/>
        <v>0.11500000000000002</v>
      </c>
      <c r="AT43" s="471">
        <f t="shared" si="51"/>
        <v>0</v>
      </c>
      <c r="AU43" s="471">
        <f t="shared" si="26"/>
        <v>0</v>
      </c>
      <c r="AV43" s="476">
        <f t="shared" si="27"/>
        <v>0</v>
      </c>
      <c r="AW43" s="484">
        <f t="shared" si="28"/>
        <v>0</v>
      </c>
      <c r="AX43" s="485">
        <f t="shared" si="29"/>
        <v>0</v>
      </c>
      <c r="AY43" s="471">
        <f t="shared" si="30"/>
        <v>0</v>
      </c>
      <c r="AZ43" s="475">
        <f t="shared" si="31"/>
        <v>0.12250000000000003</v>
      </c>
      <c r="BA43" s="471">
        <f t="shared" si="52"/>
        <v>0</v>
      </c>
      <c r="BB43" s="471">
        <f t="shared" si="32"/>
        <v>0</v>
      </c>
      <c r="BC43" s="476">
        <f t="shared" si="33"/>
        <v>0</v>
      </c>
      <c r="BD43" s="484">
        <f t="shared" si="34"/>
        <v>0</v>
      </c>
      <c r="BE43" s="474">
        <f t="shared" si="35"/>
        <v>0</v>
      </c>
      <c r="BF43" s="471">
        <f t="shared" si="36"/>
        <v>0</v>
      </c>
      <c r="BG43" s="475">
        <f t="shared" si="37"/>
        <v>0.13000000000000003</v>
      </c>
      <c r="BH43" s="471">
        <f t="shared" si="53"/>
        <v>0</v>
      </c>
      <c r="BI43" s="471">
        <f t="shared" si="38"/>
        <v>0</v>
      </c>
      <c r="BJ43" s="473">
        <f t="shared" si="39"/>
        <v>0</v>
      </c>
      <c r="BK43" s="479">
        <f t="shared" si="40"/>
        <v>0</v>
      </c>
      <c r="BL43" s="480">
        <f t="shared" si="40"/>
        <v>0</v>
      </c>
      <c r="BM43" s="480">
        <f t="shared" si="41"/>
        <v>0</v>
      </c>
      <c r="BN43" s="480">
        <f t="shared" si="41"/>
        <v>0</v>
      </c>
      <c r="BO43" s="480">
        <f t="shared" si="42"/>
        <v>0</v>
      </c>
      <c r="BP43" s="480">
        <f t="shared" si="43"/>
        <v>0</v>
      </c>
      <c r="BQ43" s="480">
        <f t="shared" si="44"/>
        <v>0</v>
      </c>
      <c r="BR43" s="480">
        <f t="shared" si="45"/>
        <v>0</v>
      </c>
      <c r="BS43" s="480">
        <f t="shared" si="46"/>
        <v>0</v>
      </c>
      <c r="BT43" s="480">
        <f t="shared" si="47"/>
        <v>0</v>
      </c>
      <c r="BU43" s="480">
        <f t="shared" si="48"/>
        <v>0</v>
      </c>
      <c r="BV43" s="480">
        <f t="shared" si="49"/>
        <v>0</v>
      </c>
      <c r="BW43" s="41"/>
      <c r="BX43" s="39">
        <f t="shared" si="54"/>
        <v>0</v>
      </c>
      <c r="BY43" s="39">
        <f t="shared" si="55"/>
        <v>0</v>
      </c>
      <c r="BZ43" s="39">
        <f t="shared" si="56"/>
        <v>0</v>
      </c>
      <c r="CA43" s="40" t="s">
        <v>374</v>
      </c>
      <c r="CB43" s="40"/>
      <c r="CC43" s="40"/>
    </row>
    <row r="44" spans="1:81" ht="15" hidden="1">
      <c r="A44" s="453">
        <f t="shared" si="57"/>
        <v>35</v>
      </c>
      <c r="B44" s="500" t="s">
        <v>198</v>
      </c>
      <c r="C44" s="492" t="s">
        <v>412</v>
      </c>
      <c r="D44" s="456"/>
      <c r="E44" s="457" t="s">
        <v>372</v>
      </c>
      <c r="F44" s="458"/>
      <c r="G44" s="459">
        <v>3</v>
      </c>
      <c r="H44" s="460">
        <v>3</v>
      </c>
      <c r="I44" s="461" t="s">
        <v>373</v>
      </c>
      <c r="J44" s="462">
        <v>1200</v>
      </c>
      <c r="K44" s="501"/>
      <c r="L44" s="464">
        <v>0</v>
      </c>
      <c r="M44" s="466"/>
      <c r="N44" s="466"/>
      <c r="O44" s="466"/>
      <c r="P44" s="466"/>
      <c r="Q44" s="467">
        <f t="shared" si="6"/>
        <v>1200</v>
      </c>
      <c r="R44" s="483">
        <f t="shared" si="7"/>
        <v>1236</v>
      </c>
      <c r="S44" s="483">
        <f t="shared" si="7"/>
        <v>1273.08</v>
      </c>
      <c r="T44" s="483">
        <f t="shared" si="7"/>
        <v>1311.2723999999998</v>
      </c>
      <c r="U44" s="483">
        <f t="shared" si="7"/>
        <v>1350.6105719999998</v>
      </c>
      <c r="V44" s="468">
        <f t="shared" si="8"/>
        <v>0</v>
      </c>
      <c r="W44" s="468">
        <f t="shared" si="8"/>
        <v>0</v>
      </c>
      <c r="X44" s="468">
        <f t="shared" si="8"/>
        <v>0</v>
      </c>
      <c r="Y44" s="468">
        <f t="shared" si="8"/>
        <v>0</v>
      </c>
      <c r="Z44" s="468">
        <f t="shared" si="8"/>
        <v>0</v>
      </c>
      <c r="AA44" s="469">
        <f t="shared" si="9"/>
        <v>0</v>
      </c>
      <c r="AB44" s="470">
        <f t="shared" si="10"/>
        <v>0</v>
      </c>
      <c r="AC44" s="471">
        <f t="shared" si="11"/>
        <v>0</v>
      </c>
      <c r="AD44" s="471">
        <f t="shared" si="12"/>
        <v>0</v>
      </c>
      <c r="AE44" s="472">
        <v>0.05</v>
      </c>
      <c r="AF44" s="471">
        <f t="shared" si="13"/>
        <v>0</v>
      </c>
      <c r="AG44" s="471">
        <f t="shared" si="14"/>
        <v>0</v>
      </c>
      <c r="AH44" s="473">
        <f t="shared" si="15"/>
        <v>0</v>
      </c>
      <c r="AI44" s="484">
        <f t="shared" si="16"/>
        <v>0</v>
      </c>
      <c r="AJ44" s="474">
        <f t="shared" si="17"/>
        <v>0</v>
      </c>
      <c r="AK44" s="471">
        <f t="shared" si="18"/>
        <v>0</v>
      </c>
      <c r="AL44" s="475">
        <f t="shared" si="19"/>
        <v>5.7500000000000002E-2</v>
      </c>
      <c r="AM44" s="471">
        <f t="shared" si="50"/>
        <v>0</v>
      </c>
      <c r="AN44" s="471">
        <f t="shared" si="20"/>
        <v>0</v>
      </c>
      <c r="AO44" s="476">
        <f t="shared" si="21"/>
        <v>0</v>
      </c>
      <c r="AP44" s="484">
        <f t="shared" si="22"/>
        <v>0</v>
      </c>
      <c r="AQ44" s="485">
        <f t="shared" si="23"/>
        <v>0</v>
      </c>
      <c r="AR44" s="471">
        <f t="shared" si="24"/>
        <v>0</v>
      </c>
      <c r="AS44" s="475">
        <f t="shared" si="25"/>
        <v>6.5000000000000002E-2</v>
      </c>
      <c r="AT44" s="471">
        <f t="shared" si="51"/>
        <v>0</v>
      </c>
      <c r="AU44" s="471">
        <f t="shared" si="26"/>
        <v>0</v>
      </c>
      <c r="AV44" s="476">
        <f t="shared" si="27"/>
        <v>0</v>
      </c>
      <c r="AW44" s="484">
        <f t="shared" si="28"/>
        <v>0</v>
      </c>
      <c r="AX44" s="485">
        <f t="shared" si="29"/>
        <v>0</v>
      </c>
      <c r="AY44" s="471">
        <f t="shared" si="30"/>
        <v>0</v>
      </c>
      <c r="AZ44" s="475">
        <f t="shared" si="31"/>
        <v>7.2500000000000009E-2</v>
      </c>
      <c r="BA44" s="471">
        <f t="shared" si="52"/>
        <v>0</v>
      </c>
      <c r="BB44" s="471">
        <f t="shared" si="32"/>
        <v>0</v>
      </c>
      <c r="BC44" s="476">
        <f t="shared" si="33"/>
        <v>0</v>
      </c>
      <c r="BD44" s="484">
        <f t="shared" si="34"/>
        <v>0</v>
      </c>
      <c r="BE44" s="474">
        <f t="shared" si="35"/>
        <v>0</v>
      </c>
      <c r="BF44" s="471">
        <f t="shared" si="36"/>
        <v>0</v>
      </c>
      <c r="BG44" s="475">
        <f t="shared" si="37"/>
        <v>8.0000000000000016E-2</v>
      </c>
      <c r="BH44" s="471">
        <f t="shared" si="53"/>
        <v>0</v>
      </c>
      <c r="BI44" s="471">
        <f t="shared" si="38"/>
        <v>0</v>
      </c>
      <c r="BJ44" s="473">
        <f t="shared" si="39"/>
        <v>0</v>
      </c>
      <c r="BK44" s="479">
        <f t="shared" si="40"/>
        <v>0</v>
      </c>
      <c r="BL44" s="480">
        <f t="shared" si="40"/>
        <v>0</v>
      </c>
      <c r="BM44" s="480">
        <f t="shared" si="41"/>
        <v>0</v>
      </c>
      <c r="BN44" s="480">
        <f t="shared" si="41"/>
        <v>0</v>
      </c>
      <c r="BO44" s="480">
        <f t="shared" si="42"/>
        <v>0</v>
      </c>
      <c r="BP44" s="480">
        <f t="shared" si="43"/>
        <v>0</v>
      </c>
      <c r="BQ44" s="480">
        <f t="shared" si="44"/>
        <v>0</v>
      </c>
      <c r="BR44" s="480">
        <f t="shared" si="45"/>
        <v>0</v>
      </c>
      <c r="BS44" s="480">
        <f t="shared" si="46"/>
        <v>0</v>
      </c>
      <c r="BT44" s="480">
        <f t="shared" si="47"/>
        <v>0</v>
      </c>
      <c r="BU44" s="480">
        <f t="shared" si="48"/>
        <v>0</v>
      </c>
      <c r="BV44" s="480">
        <f t="shared" si="49"/>
        <v>0</v>
      </c>
      <c r="BW44" s="41"/>
      <c r="BX44" s="39">
        <f t="shared" si="54"/>
        <v>0</v>
      </c>
      <c r="BY44" s="39">
        <f t="shared" si="55"/>
        <v>0</v>
      </c>
      <c r="BZ44" s="39">
        <f t="shared" si="56"/>
        <v>0</v>
      </c>
      <c r="CA44" s="40"/>
      <c r="CB44" s="40"/>
      <c r="CC44" s="40"/>
    </row>
    <row r="45" spans="1:81" ht="15" hidden="1">
      <c r="A45" s="453">
        <f t="shared" ref="A45:A92" si="118">A44+1</f>
        <v>36</v>
      </c>
      <c r="B45" s="500" t="s">
        <v>198</v>
      </c>
      <c r="C45" s="492" t="s">
        <v>413</v>
      </c>
      <c r="D45" s="456"/>
      <c r="E45" s="457" t="s">
        <v>372</v>
      </c>
      <c r="F45" s="458"/>
      <c r="G45" s="459">
        <v>3</v>
      </c>
      <c r="H45" s="460">
        <v>3</v>
      </c>
      <c r="I45" s="461" t="s">
        <v>373</v>
      </c>
      <c r="J45" s="462">
        <v>690</v>
      </c>
      <c r="K45" s="463"/>
      <c r="L45" s="464">
        <v>0</v>
      </c>
      <c r="M45" s="466"/>
      <c r="N45" s="466"/>
      <c r="O45" s="466"/>
      <c r="P45" s="466"/>
      <c r="Q45" s="467">
        <f t="shared" si="6"/>
        <v>690</v>
      </c>
      <c r="R45" s="483">
        <f t="shared" si="7"/>
        <v>710.7</v>
      </c>
      <c r="S45" s="483">
        <f t="shared" si="7"/>
        <v>732.02100000000007</v>
      </c>
      <c r="T45" s="483">
        <f t="shared" si="7"/>
        <v>753.98163000000011</v>
      </c>
      <c r="U45" s="483">
        <f t="shared" si="7"/>
        <v>776.60107890000006</v>
      </c>
      <c r="V45" s="468">
        <f t="shared" si="8"/>
        <v>0</v>
      </c>
      <c r="W45" s="468">
        <f t="shared" si="8"/>
        <v>0</v>
      </c>
      <c r="X45" s="468">
        <f t="shared" si="8"/>
        <v>0</v>
      </c>
      <c r="Y45" s="468">
        <f t="shared" si="8"/>
        <v>0</v>
      </c>
      <c r="Z45" s="468">
        <f t="shared" si="8"/>
        <v>0</v>
      </c>
      <c r="AA45" s="469">
        <f t="shared" si="9"/>
        <v>0</v>
      </c>
      <c r="AB45" s="470">
        <f t="shared" si="10"/>
        <v>0</v>
      </c>
      <c r="AC45" s="471">
        <f t="shared" si="11"/>
        <v>0</v>
      </c>
      <c r="AD45" s="471">
        <f t="shared" si="12"/>
        <v>0</v>
      </c>
      <c r="AE45" s="472">
        <v>0.05</v>
      </c>
      <c r="AF45" s="471">
        <f t="shared" si="13"/>
        <v>0</v>
      </c>
      <c r="AG45" s="471">
        <f t="shared" si="14"/>
        <v>0</v>
      </c>
      <c r="AH45" s="473">
        <f t="shared" si="15"/>
        <v>0</v>
      </c>
      <c r="AI45" s="484">
        <f t="shared" si="16"/>
        <v>0</v>
      </c>
      <c r="AJ45" s="474">
        <f t="shared" si="17"/>
        <v>0</v>
      </c>
      <c r="AK45" s="471">
        <f t="shared" si="18"/>
        <v>0</v>
      </c>
      <c r="AL45" s="475">
        <f t="shared" si="19"/>
        <v>5.7500000000000002E-2</v>
      </c>
      <c r="AM45" s="471">
        <f t="shared" si="50"/>
        <v>0</v>
      </c>
      <c r="AN45" s="471">
        <f t="shared" si="20"/>
        <v>0</v>
      </c>
      <c r="AO45" s="476">
        <f t="shared" si="21"/>
        <v>0</v>
      </c>
      <c r="AP45" s="484">
        <f t="shared" si="22"/>
        <v>0</v>
      </c>
      <c r="AQ45" s="485">
        <f t="shared" si="23"/>
        <v>0</v>
      </c>
      <c r="AR45" s="471">
        <f t="shared" si="24"/>
        <v>0</v>
      </c>
      <c r="AS45" s="475">
        <f t="shared" si="25"/>
        <v>6.5000000000000002E-2</v>
      </c>
      <c r="AT45" s="471">
        <f t="shared" si="51"/>
        <v>0</v>
      </c>
      <c r="AU45" s="471">
        <f t="shared" si="26"/>
        <v>0</v>
      </c>
      <c r="AV45" s="476">
        <f t="shared" si="27"/>
        <v>0</v>
      </c>
      <c r="AW45" s="484">
        <f t="shared" si="28"/>
        <v>0</v>
      </c>
      <c r="AX45" s="485">
        <f t="shared" si="29"/>
        <v>0</v>
      </c>
      <c r="AY45" s="471">
        <f t="shared" si="30"/>
        <v>0</v>
      </c>
      <c r="AZ45" s="475">
        <f t="shared" si="31"/>
        <v>7.2500000000000009E-2</v>
      </c>
      <c r="BA45" s="471">
        <f t="shared" si="52"/>
        <v>0</v>
      </c>
      <c r="BB45" s="471">
        <f t="shared" si="32"/>
        <v>0</v>
      </c>
      <c r="BC45" s="476">
        <f t="shared" si="33"/>
        <v>0</v>
      </c>
      <c r="BD45" s="484">
        <f t="shared" si="34"/>
        <v>0</v>
      </c>
      <c r="BE45" s="474">
        <f t="shared" si="35"/>
        <v>0</v>
      </c>
      <c r="BF45" s="471">
        <f t="shared" si="36"/>
        <v>0</v>
      </c>
      <c r="BG45" s="475">
        <f t="shared" si="37"/>
        <v>8.0000000000000016E-2</v>
      </c>
      <c r="BH45" s="471">
        <f t="shared" si="53"/>
        <v>0</v>
      </c>
      <c r="BI45" s="471">
        <f t="shared" si="38"/>
        <v>0</v>
      </c>
      <c r="BJ45" s="473">
        <f t="shared" si="39"/>
        <v>0</v>
      </c>
      <c r="BK45" s="479">
        <f t="shared" si="40"/>
        <v>0</v>
      </c>
      <c r="BL45" s="480">
        <f t="shared" si="40"/>
        <v>0</v>
      </c>
      <c r="BM45" s="480">
        <f t="shared" si="41"/>
        <v>0</v>
      </c>
      <c r="BN45" s="480">
        <f t="shared" si="41"/>
        <v>0</v>
      </c>
      <c r="BO45" s="480">
        <f t="shared" si="42"/>
        <v>0</v>
      </c>
      <c r="BP45" s="480">
        <f t="shared" si="43"/>
        <v>0</v>
      </c>
      <c r="BQ45" s="480">
        <f t="shared" si="44"/>
        <v>0</v>
      </c>
      <c r="BR45" s="480">
        <f t="shared" si="45"/>
        <v>0</v>
      </c>
      <c r="BS45" s="480">
        <f t="shared" si="46"/>
        <v>0</v>
      </c>
      <c r="BT45" s="480">
        <f t="shared" si="47"/>
        <v>0</v>
      </c>
      <c r="BU45" s="480">
        <f t="shared" si="48"/>
        <v>0</v>
      </c>
      <c r="BV45" s="480">
        <f t="shared" si="49"/>
        <v>0</v>
      </c>
      <c r="BW45" s="41"/>
      <c r="BX45" s="39">
        <f t="shared" si="54"/>
        <v>0</v>
      </c>
      <c r="BY45" s="39">
        <f t="shared" si="55"/>
        <v>0</v>
      </c>
      <c r="BZ45" s="39">
        <f t="shared" si="56"/>
        <v>0</v>
      </c>
      <c r="CA45" s="40"/>
      <c r="CB45" s="40"/>
      <c r="CC45" s="40"/>
    </row>
    <row r="46" spans="1:81" ht="15">
      <c r="A46" s="453">
        <f t="shared" si="118"/>
        <v>37</v>
      </c>
      <c r="B46" s="454" t="s">
        <v>370</v>
      </c>
      <c r="C46" s="492" t="s">
        <v>414</v>
      </c>
      <c r="D46" s="456"/>
      <c r="E46" s="457" t="s">
        <v>381</v>
      </c>
      <c r="F46" s="458"/>
      <c r="G46" s="459">
        <v>3</v>
      </c>
      <c r="H46" s="460">
        <v>3</v>
      </c>
      <c r="I46" s="461" t="s">
        <v>373</v>
      </c>
      <c r="J46" s="462">
        <v>4500</v>
      </c>
      <c r="K46" s="463"/>
      <c r="L46" s="464">
        <f>ROUNDUP(L8/10000,0)</f>
        <v>8</v>
      </c>
      <c r="M46" s="465"/>
      <c r="N46" s="465"/>
      <c r="O46" s="465"/>
      <c r="P46" s="465"/>
      <c r="Q46" s="467">
        <f t="shared" si="6"/>
        <v>4500</v>
      </c>
      <c r="R46" s="483">
        <f t="shared" si="7"/>
        <v>4635</v>
      </c>
      <c r="S46" s="483">
        <f t="shared" si="7"/>
        <v>4774.05</v>
      </c>
      <c r="T46" s="483">
        <f t="shared" si="7"/>
        <v>4917.2714999999998</v>
      </c>
      <c r="U46" s="483">
        <f t="shared" si="7"/>
        <v>5064.7896449999998</v>
      </c>
      <c r="V46" s="468">
        <f t="shared" si="8"/>
        <v>36000</v>
      </c>
      <c r="W46" s="468">
        <f t="shared" si="8"/>
        <v>0</v>
      </c>
      <c r="X46" s="468">
        <f t="shared" si="8"/>
        <v>0</v>
      </c>
      <c r="Y46" s="468">
        <f t="shared" si="8"/>
        <v>0</v>
      </c>
      <c r="Z46" s="468">
        <f t="shared" si="8"/>
        <v>0</v>
      </c>
      <c r="AA46" s="469">
        <f t="shared" si="9"/>
        <v>36000</v>
      </c>
      <c r="AB46" s="470">
        <f t="shared" si="10"/>
        <v>15161.950389991627</v>
      </c>
      <c r="AC46" s="471">
        <f t="shared" si="11"/>
        <v>12000</v>
      </c>
      <c r="AD46" s="471">
        <f t="shared" si="12"/>
        <v>3161.9503899916272</v>
      </c>
      <c r="AE46" s="472">
        <v>0.05</v>
      </c>
      <c r="AF46" s="471">
        <f t="shared" si="13"/>
        <v>1800</v>
      </c>
      <c r="AG46" s="471">
        <f t="shared" si="14"/>
        <v>90</v>
      </c>
      <c r="AH46" s="473">
        <f t="shared" si="15"/>
        <v>24000</v>
      </c>
      <c r="AI46" s="484">
        <f t="shared" si="16"/>
        <v>14107.966926661084</v>
      </c>
      <c r="AJ46" s="474">
        <f t="shared" si="17"/>
        <v>12000</v>
      </c>
      <c r="AK46" s="471">
        <f t="shared" si="18"/>
        <v>2107.9669266610845</v>
      </c>
      <c r="AL46" s="475">
        <f t="shared" si="19"/>
        <v>5.7500000000000002E-2</v>
      </c>
      <c r="AM46" s="471">
        <f t="shared" si="50"/>
        <v>2070</v>
      </c>
      <c r="AN46" s="471">
        <f t="shared" si="20"/>
        <v>61.2</v>
      </c>
      <c r="AO46" s="476">
        <f t="shared" si="21"/>
        <v>12000</v>
      </c>
      <c r="AP46" s="484">
        <f t="shared" si="22"/>
        <v>13053.983463330542</v>
      </c>
      <c r="AQ46" s="485">
        <f t="shared" si="23"/>
        <v>12000</v>
      </c>
      <c r="AR46" s="471">
        <f t="shared" si="24"/>
        <v>1053.9834633305422</v>
      </c>
      <c r="AS46" s="475">
        <f t="shared" si="25"/>
        <v>6.5000000000000002E-2</v>
      </c>
      <c r="AT46" s="471">
        <f t="shared" si="51"/>
        <v>2340</v>
      </c>
      <c r="AU46" s="471">
        <f t="shared" si="26"/>
        <v>31.212</v>
      </c>
      <c r="AV46" s="476">
        <f t="shared" si="27"/>
        <v>38192.400000000001</v>
      </c>
      <c r="AW46" s="484">
        <f t="shared" si="28"/>
        <v>16085.313168742117</v>
      </c>
      <c r="AX46" s="485">
        <f t="shared" si="29"/>
        <v>12730.800000000001</v>
      </c>
      <c r="AY46" s="471">
        <f t="shared" si="30"/>
        <v>3354.5131687421167</v>
      </c>
      <c r="AZ46" s="475">
        <f t="shared" si="31"/>
        <v>7.2500000000000009E-2</v>
      </c>
      <c r="BA46" s="471">
        <f t="shared" si="52"/>
        <v>2610.0000000000005</v>
      </c>
      <c r="BB46" s="471">
        <f t="shared" si="32"/>
        <v>101.325201048</v>
      </c>
      <c r="BC46" s="476">
        <f t="shared" si="33"/>
        <v>25461.599999999999</v>
      </c>
      <c r="BD46" s="484">
        <f t="shared" si="34"/>
        <v>14967.142112494745</v>
      </c>
      <c r="BE46" s="474">
        <f t="shared" si="35"/>
        <v>12730.800000000001</v>
      </c>
      <c r="BF46" s="471">
        <f t="shared" si="36"/>
        <v>2236.3421124947445</v>
      </c>
      <c r="BG46" s="475">
        <f t="shared" si="37"/>
        <v>8.0000000000000016E-2</v>
      </c>
      <c r="BH46" s="471">
        <f t="shared" si="53"/>
        <v>2880.0000000000005</v>
      </c>
      <c r="BI46" s="471">
        <f t="shared" si="38"/>
        <v>68.901136712639996</v>
      </c>
      <c r="BJ46" s="473">
        <f t="shared" si="39"/>
        <v>12730.799999999997</v>
      </c>
      <c r="BK46" s="479">
        <f t="shared" si="40"/>
        <v>61461.600000000006</v>
      </c>
      <c r="BL46" s="480">
        <f t="shared" si="40"/>
        <v>11914.756061220116</v>
      </c>
      <c r="BM46" s="480">
        <f t="shared" si="41"/>
        <v>11700</v>
      </c>
      <c r="BN46" s="480">
        <f t="shared" si="41"/>
        <v>352.63833776063996</v>
      </c>
      <c r="BO46" s="480">
        <f t="shared" si="42"/>
        <v>73376.356061220125</v>
      </c>
      <c r="BP46" s="480">
        <f t="shared" si="43"/>
        <v>85428.994398980765</v>
      </c>
      <c r="BQ46" s="480">
        <f t="shared" si="44"/>
        <v>73376.356061220111</v>
      </c>
      <c r="BR46" s="480">
        <f t="shared" si="45"/>
        <v>0</v>
      </c>
      <c r="BS46" s="480">
        <f t="shared" si="46"/>
        <v>-25461.600000000006</v>
      </c>
      <c r="BT46" s="480">
        <f t="shared" si="47"/>
        <v>38192.400000000001</v>
      </c>
      <c r="BU46" s="480">
        <f t="shared" si="48"/>
        <v>12730.799999999996</v>
      </c>
      <c r="BV46" s="480">
        <f t="shared" si="49"/>
        <v>0</v>
      </c>
      <c r="BW46" s="41"/>
      <c r="BX46" s="39">
        <f t="shared" si="54"/>
        <v>1420.9958658326357</v>
      </c>
      <c r="BY46" s="39">
        <f t="shared" si="55"/>
        <v>1353.2639105550904</v>
      </c>
      <c r="BZ46" s="39">
        <f t="shared" si="56"/>
        <v>1285.432955277545</v>
      </c>
      <c r="CA46" s="40"/>
      <c r="CB46" s="40"/>
      <c r="CC46" s="40"/>
    </row>
    <row r="47" spans="1:81" ht="15">
      <c r="A47" s="453">
        <f t="shared" si="118"/>
        <v>38</v>
      </c>
      <c r="B47" s="454" t="s">
        <v>382</v>
      </c>
      <c r="C47" s="492" t="s">
        <v>415</v>
      </c>
      <c r="D47" s="456"/>
      <c r="E47" s="457" t="s">
        <v>372</v>
      </c>
      <c r="F47" s="458"/>
      <c r="G47" s="459">
        <v>3</v>
      </c>
      <c r="H47" s="460">
        <v>3</v>
      </c>
      <c r="I47" s="461" t="s">
        <v>373</v>
      </c>
      <c r="J47" s="462">
        <v>28000</v>
      </c>
      <c r="K47" s="463"/>
      <c r="L47" s="464">
        <f>ROUNDUP(L8/4000,0)+10</f>
        <v>29</v>
      </c>
      <c r="M47" s="465"/>
      <c r="N47" s="465"/>
      <c r="O47" s="465"/>
      <c r="P47" s="465"/>
      <c r="Q47" s="467">
        <f t="shared" si="6"/>
        <v>28000</v>
      </c>
      <c r="R47" s="483">
        <f t="shared" si="7"/>
        <v>28840</v>
      </c>
      <c r="S47" s="483">
        <f t="shared" si="7"/>
        <v>29705.200000000001</v>
      </c>
      <c r="T47" s="483">
        <f t="shared" si="7"/>
        <v>30596.356</v>
      </c>
      <c r="U47" s="483">
        <f t="shared" si="7"/>
        <v>31514.24668</v>
      </c>
      <c r="V47" s="468">
        <f t="shared" si="8"/>
        <v>812000</v>
      </c>
      <c r="W47" s="468">
        <f t="shared" si="8"/>
        <v>0</v>
      </c>
      <c r="X47" s="468">
        <f t="shared" si="8"/>
        <v>0</v>
      </c>
      <c r="Y47" s="468">
        <f t="shared" si="8"/>
        <v>0</v>
      </c>
      <c r="Z47" s="468">
        <f t="shared" si="8"/>
        <v>0</v>
      </c>
      <c r="AA47" s="469">
        <f t="shared" si="9"/>
        <v>812000</v>
      </c>
      <c r="AB47" s="470">
        <f t="shared" si="10"/>
        <v>341986.21435203339</v>
      </c>
      <c r="AC47" s="471">
        <f t="shared" si="11"/>
        <v>270666.66666666669</v>
      </c>
      <c r="AD47" s="471">
        <f t="shared" si="12"/>
        <v>71319.547685366706</v>
      </c>
      <c r="AE47" s="472">
        <v>0.05</v>
      </c>
      <c r="AF47" s="471">
        <f t="shared" si="13"/>
        <v>40600</v>
      </c>
      <c r="AG47" s="471">
        <f t="shared" si="14"/>
        <v>2030</v>
      </c>
      <c r="AH47" s="473">
        <f t="shared" si="15"/>
        <v>541333.33333333326</v>
      </c>
      <c r="AI47" s="484">
        <f t="shared" si="16"/>
        <v>318213.03179024451</v>
      </c>
      <c r="AJ47" s="474">
        <f t="shared" si="17"/>
        <v>270666.66666666669</v>
      </c>
      <c r="AK47" s="471">
        <f t="shared" si="18"/>
        <v>47546.365123577794</v>
      </c>
      <c r="AL47" s="475">
        <f t="shared" si="19"/>
        <v>5.7500000000000002E-2</v>
      </c>
      <c r="AM47" s="471">
        <f t="shared" si="50"/>
        <v>46690</v>
      </c>
      <c r="AN47" s="471">
        <f t="shared" si="20"/>
        <v>1380.3999999999999</v>
      </c>
      <c r="AO47" s="476">
        <f t="shared" si="21"/>
        <v>270666.66666666657</v>
      </c>
      <c r="AP47" s="484">
        <f t="shared" si="22"/>
        <v>294439.84922845557</v>
      </c>
      <c r="AQ47" s="485">
        <f t="shared" si="23"/>
        <v>270666.66666666669</v>
      </c>
      <c r="AR47" s="471">
        <f t="shared" si="24"/>
        <v>23773.18256178889</v>
      </c>
      <c r="AS47" s="475">
        <f t="shared" si="25"/>
        <v>6.5000000000000002E-2</v>
      </c>
      <c r="AT47" s="471">
        <f t="shared" si="51"/>
        <v>52780</v>
      </c>
      <c r="AU47" s="471">
        <f t="shared" si="26"/>
        <v>704.00399999999979</v>
      </c>
      <c r="AV47" s="476">
        <f t="shared" si="27"/>
        <v>861450.79999999993</v>
      </c>
      <c r="AW47" s="484">
        <f t="shared" si="28"/>
        <v>362813.1748060722</v>
      </c>
      <c r="AX47" s="485">
        <f t="shared" si="29"/>
        <v>287150.26666666666</v>
      </c>
      <c r="AY47" s="471">
        <f t="shared" si="30"/>
        <v>75662.908139405525</v>
      </c>
      <c r="AZ47" s="475">
        <f t="shared" si="31"/>
        <v>7.2500000000000009E-2</v>
      </c>
      <c r="BA47" s="471">
        <f t="shared" si="52"/>
        <v>58870.000000000007</v>
      </c>
      <c r="BB47" s="471">
        <f t="shared" si="32"/>
        <v>2285.4462014159999</v>
      </c>
      <c r="BC47" s="476">
        <f t="shared" si="33"/>
        <v>574300.53333333321</v>
      </c>
      <c r="BD47" s="484">
        <f t="shared" si="34"/>
        <v>337592.20542627032</v>
      </c>
      <c r="BE47" s="474">
        <f t="shared" si="35"/>
        <v>287150.26666666666</v>
      </c>
      <c r="BF47" s="471">
        <f t="shared" si="36"/>
        <v>50441.938759603676</v>
      </c>
      <c r="BG47" s="475">
        <f t="shared" si="37"/>
        <v>8.0000000000000016E-2</v>
      </c>
      <c r="BH47" s="471">
        <f t="shared" si="53"/>
        <v>64960.000000000015</v>
      </c>
      <c r="BI47" s="471">
        <f t="shared" si="38"/>
        <v>1554.1034169628797</v>
      </c>
      <c r="BJ47" s="473">
        <f t="shared" si="39"/>
        <v>287150.26666666655</v>
      </c>
      <c r="BK47" s="479">
        <f t="shared" si="40"/>
        <v>1386300.5333333332</v>
      </c>
      <c r="BL47" s="480">
        <f t="shared" si="40"/>
        <v>268743.94226974255</v>
      </c>
      <c r="BM47" s="480">
        <f t="shared" si="41"/>
        <v>263900</v>
      </c>
      <c r="BN47" s="480">
        <f t="shared" si="41"/>
        <v>7953.9536183788787</v>
      </c>
      <c r="BO47" s="480">
        <f t="shared" si="42"/>
        <v>1655044.4756030757</v>
      </c>
      <c r="BP47" s="480">
        <f t="shared" si="43"/>
        <v>1926898.4292214545</v>
      </c>
      <c r="BQ47" s="480">
        <f t="shared" si="44"/>
        <v>1655044.4756030762</v>
      </c>
      <c r="BR47" s="480">
        <f t="shared" si="45"/>
        <v>0</v>
      </c>
      <c r="BS47" s="480">
        <f t="shared" si="46"/>
        <v>-574300.53333333321</v>
      </c>
      <c r="BT47" s="480">
        <f t="shared" si="47"/>
        <v>861450.79999999981</v>
      </c>
      <c r="BU47" s="480">
        <f t="shared" si="48"/>
        <v>287150.2666666666</v>
      </c>
      <c r="BV47" s="480">
        <f t="shared" si="49"/>
        <v>0</v>
      </c>
      <c r="BW47" s="41"/>
      <c r="BX47" s="39">
        <f t="shared" si="54"/>
        <v>32051.351196002783</v>
      </c>
      <c r="BY47" s="39">
        <f t="shared" si="55"/>
        <v>30523.61931585371</v>
      </c>
      <c r="BZ47" s="39">
        <f t="shared" si="56"/>
        <v>28993.654435704633</v>
      </c>
      <c r="CA47" s="40" t="s">
        <v>374</v>
      </c>
      <c r="CB47" s="40"/>
      <c r="CC47" s="40"/>
    </row>
    <row r="48" spans="1:81" ht="15">
      <c r="A48" s="453">
        <f t="shared" si="118"/>
        <v>39</v>
      </c>
      <c r="B48" s="454" t="s">
        <v>370</v>
      </c>
      <c r="C48" s="492" t="s">
        <v>416</v>
      </c>
      <c r="D48" s="456"/>
      <c r="E48" s="457" t="s">
        <v>381</v>
      </c>
      <c r="F48" s="458"/>
      <c r="G48" s="459">
        <v>5</v>
      </c>
      <c r="H48" s="460">
        <v>5</v>
      </c>
      <c r="I48" s="461" t="s">
        <v>373</v>
      </c>
      <c r="J48" s="462">
        <v>45000</v>
      </c>
      <c r="K48" s="463"/>
      <c r="L48" s="464">
        <v>2</v>
      </c>
      <c r="M48" s="502"/>
      <c r="N48" s="466"/>
      <c r="O48" s="466"/>
      <c r="P48" s="466"/>
      <c r="Q48" s="467">
        <f t="shared" si="6"/>
        <v>45000</v>
      </c>
      <c r="R48" s="483">
        <f t="shared" si="7"/>
        <v>46350</v>
      </c>
      <c r="S48" s="483">
        <f t="shared" si="7"/>
        <v>47740.5</v>
      </c>
      <c r="T48" s="483">
        <f t="shared" si="7"/>
        <v>49172.714999999997</v>
      </c>
      <c r="U48" s="483">
        <f t="shared" si="7"/>
        <v>50647.896449999993</v>
      </c>
      <c r="V48" s="468">
        <f t="shared" si="8"/>
        <v>90000</v>
      </c>
      <c r="W48" s="468">
        <f t="shared" si="8"/>
        <v>0</v>
      </c>
      <c r="X48" s="468">
        <f t="shared" si="8"/>
        <v>0</v>
      </c>
      <c r="Y48" s="468">
        <f t="shared" si="8"/>
        <v>0</v>
      </c>
      <c r="Z48" s="468">
        <f t="shared" si="8"/>
        <v>0</v>
      </c>
      <c r="AA48" s="469">
        <f t="shared" si="9"/>
        <v>90000</v>
      </c>
      <c r="AB48" s="470">
        <f t="shared" si="10"/>
        <v>26409.116656908307</v>
      </c>
      <c r="AC48" s="471">
        <f t="shared" si="11"/>
        <v>18000</v>
      </c>
      <c r="AD48" s="471">
        <f t="shared" si="12"/>
        <v>8409.116656908307</v>
      </c>
      <c r="AE48" s="472">
        <v>0.03</v>
      </c>
      <c r="AF48" s="471">
        <f t="shared" si="13"/>
        <v>2700</v>
      </c>
      <c r="AG48" s="471">
        <f t="shared" si="14"/>
        <v>225</v>
      </c>
      <c r="AH48" s="473">
        <f t="shared" si="15"/>
        <v>72000</v>
      </c>
      <c r="AI48" s="484">
        <f t="shared" si="16"/>
        <v>24727.293325526643</v>
      </c>
      <c r="AJ48" s="474">
        <f t="shared" si="17"/>
        <v>18000</v>
      </c>
      <c r="AK48" s="471">
        <f t="shared" si="18"/>
        <v>6727.2933255266435</v>
      </c>
      <c r="AL48" s="475">
        <f t="shared" si="19"/>
        <v>3.7499999999999999E-2</v>
      </c>
      <c r="AM48" s="471">
        <f t="shared" si="50"/>
        <v>3375</v>
      </c>
      <c r="AN48" s="471">
        <f t="shared" si="20"/>
        <v>183.60000000000002</v>
      </c>
      <c r="AO48" s="476">
        <f t="shared" si="21"/>
        <v>54000</v>
      </c>
      <c r="AP48" s="484">
        <f t="shared" si="22"/>
        <v>23045.469994144984</v>
      </c>
      <c r="AQ48" s="485">
        <f t="shared" si="23"/>
        <v>18000</v>
      </c>
      <c r="AR48" s="471">
        <f t="shared" si="24"/>
        <v>5045.4699941449835</v>
      </c>
      <c r="AS48" s="475">
        <f t="shared" si="25"/>
        <v>4.4999999999999998E-2</v>
      </c>
      <c r="AT48" s="471">
        <f t="shared" si="51"/>
        <v>4050</v>
      </c>
      <c r="AU48" s="471">
        <f t="shared" si="26"/>
        <v>140.45400000000001</v>
      </c>
      <c r="AV48" s="476">
        <f t="shared" si="27"/>
        <v>36000</v>
      </c>
      <c r="AW48" s="484">
        <f t="shared" si="28"/>
        <v>21363.64666276332</v>
      </c>
      <c r="AX48" s="485">
        <f t="shared" si="29"/>
        <v>18000</v>
      </c>
      <c r="AY48" s="471">
        <f t="shared" si="30"/>
        <v>3363.6466627633217</v>
      </c>
      <c r="AZ48" s="475">
        <f t="shared" si="31"/>
        <v>5.2499999999999998E-2</v>
      </c>
      <c r="BA48" s="471">
        <f t="shared" si="52"/>
        <v>4725</v>
      </c>
      <c r="BB48" s="471">
        <f t="shared" si="32"/>
        <v>95.508719999999997</v>
      </c>
      <c r="BC48" s="476">
        <f t="shared" si="33"/>
        <v>18000</v>
      </c>
      <c r="BD48" s="484">
        <f t="shared" si="34"/>
        <v>19681.82333138166</v>
      </c>
      <c r="BE48" s="474">
        <f t="shared" si="35"/>
        <v>18000</v>
      </c>
      <c r="BF48" s="471">
        <f t="shared" si="36"/>
        <v>1681.8233313816609</v>
      </c>
      <c r="BG48" s="475">
        <f t="shared" si="37"/>
        <v>0.06</v>
      </c>
      <c r="BH48" s="471">
        <f t="shared" si="53"/>
        <v>5400</v>
      </c>
      <c r="BI48" s="471">
        <f t="shared" si="38"/>
        <v>48.7094472</v>
      </c>
      <c r="BJ48" s="473">
        <f t="shared" si="39"/>
        <v>0</v>
      </c>
      <c r="BK48" s="479">
        <f t="shared" si="40"/>
        <v>90000</v>
      </c>
      <c r="BL48" s="480">
        <f t="shared" si="40"/>
        <v>25227.349970724914</v>
      </c>
      <c r="BM48" s="480">
        <f t="shared" si="41"/>
        <v>20250</v>
      </c>
      <c r="BN48" s="480">
        <f t="shared" si="41"/>
        <v>693.27216720000001</v>
      </c>
      <c r="BO48" s="480">
        <f t="shared" si="42"/>
        <v>115227.34997072491</v>
      </c>
      <c r="BP48" s="480">
        <f t="shared" si="43"/>
        <v>136170.62213792492</v>
      </c>
      <c r="BQ48" s="480">
        <f t="shared" si="44"/>
        <v>115227.34997072491</v>
      </c>
      <c r="BR48" s="480">
        <f t="shared" si="45"/>
        <v>0</v>
      </c>
      <c r="BS48" s="480">
        <f t="shared" si="46"/>
        <v>0</v>
      </c>
      <c r="BT48" s="480">
        <f t="shared" si="47"/>
        <v>0</v>
      </c>
      <c r="BU48" s="480">
        <f t="shared" si="48"/>
        <v>0</v>
      </c>
      <c r="BV48" s="480">
        <f t="shared" si="49"/>
        <v>0</v>
      </c>
      <c r="BW48" s="41"/>
      <c r="BX48" s="39">
        <f t="shared" si="54"/>
        <v>2444.5097214090256</v>
      </c>
      <c r="BY48" s="39">
        <f t="shared" si="55"/>
        <v>2357.15777712722</v>
      </c>
      <c r="BZ48" s="39">
        <f t="shared" si="56"/>
        <v>2269.6603328454153</v>
      </c>
      <c r="CA48" s="40" t="s">
        <v>374</v>
      </c>
      <c r="CB48" s="40"/>
      <c r="CC48" s="40"/>
    </row>
    <row r="49" spans="1:81" ht="15">
      <c r="A49" s="453">
        <f t="shared" si="118"/>
        <v>40</v>
      </c>
      <c r="B49" s="454" t="s">
        <v>370</v>
      </c>
      <c r="C49" s="492" t="s">
        <v>417</v>
      </c>
      <c r="D49" s="456"/>
      <c r="E49" s="457" t="s">
        <v>381</v>
      </c>
      <c r="F49" s="458"/>
      <c r="G49" s="459">
        <v>3</v>
      </c>
      <c r="H49" s="460">
        <v>3</v>
      </c>
      <c r="I49" s="461" t="s">
        <v>373</v>
      </c>
      <c r="J49" s="462">
        <v>2500</v>
      </c>
      <c r="K49" s="463"/>
      <c r="L49" s="464">
        <v>2</v>
      </c>
      <c r="M49" s="502"/>
      <c r="N49" s="466"/>
      <c r="O49" s="466"/>
      <c r="P49" s="466"/>
      <c r="Q49" s="467">
        <f t="shared" si="6"/>
        <v>2500</v>
      </c>
      <c r="R49" s="483">
        <f t="shared" si="7"/>
        <v>2575</v>
      </c>
      <c r="S49" s="483">
        <f t="shared" si="7"/>
        <v>2652.25</v>
      </c>
      <c r="T49" s="483">
        <f t="shared" si="7"/>
        <v>2731.8175000000001</v>
      </c>
      <c r="U49" s="483">
        <f t="shared" si="7"/>
        <v>2813.7720250000002</v>
      </c>
      <c r="V49" s="468">
        <f t="shared" si="8"/>
        <v>5000</v>
      </c>
      <c r="W49" s="468">
        <f t="shared" si="8"/>
        <v>0</v>
      </c>
      <c r="X49" s="468">
        <f t="shared" si="8"/>
        <v>0</v>
      </c>
      <c r="Y49" s="468">
        <f t="shared" si="8"/>
        <v>0</v>
      </c>
      <c r="Z49" s="468">
        <f t="shared" si="8"/>
        <v>0</v>
      </c>
      <c r="AA49" s="469">
        <f t="shared" si="9"/>
        <v>5000</v>
      </c>
      <c r="AB49" s="470">
        <f t="shared" si="10"/>
        <v>2105.8264430543927</v>
      </c>
      <c r="AC49" s="471">
        <f t="shared" si="11"/>
        <v>1666.6666666666667</v>
      </c>
      <c r="AD49" s="471">
        <f t="shared" si="12"/>
        <v>439.15977638772586</v>
      </c>
      <c r="AE49" s="472">
        <v>0.05</v>
      </c>
      <c r="AF49" s="471">
        <f t="shared" si="13"/>
        <v>250</v>
      </c>
      <c r="AG49" s="471">
        <f t="shared" si="14"/>
        <v>12.5</v>
      </c>
      <c r="AH49" s="473">
        <f t="shared" si="15"/>
        <v>3333.333333333333</v>
      </c>
      <c r="AI49" s="484">
        <f t="shared" si="16"/>
        <v>1959.4398509251507</v>
      </c>
      <c r="AJ49" s="474">
        <f t="shared" si="17"/>
        <v>1666.6666666666667</v>
      </c>
      <c r="AK49" s="471">
        <f t="shared" si="18"/>
        <v>292.77318425848398</v>
      </c>
      <c r="AL49" s="475">
        <f t="shared" si="19"/>
        <v>5.7500000000000002E-2</v>
      </c>
      <c r="AM49" s="471">
        <f t="shared" si="50"/>
        <v>287.5</v>
      </c>
      <c r="AN49" s="471">
        <f t="shared" si="20"/>
        <v>8.5</v>
      </c>
      <c r="AO49" s="476">
        <f t="shared" si="21"/>
        <v>1666.6666666666663</v>
      </c>
      <c r="AP49" s="484">
        <f t="shared" si="22"/>
        <v>1813.0532587959087</v>
      </c>
      <c r="AQ49" s="485">
        <f t="shared" si="23"/>
        <v>1666.6666666666667</v>
      </c>
      <c r="AR49" s="471">
        <f t="shared" si="24"/>
        <v>146.38659212924193</v>
      </c>
      <c r="AS49" s="475">
        <f t="shared" si="25"/>
        <v>6.5000000000000002E-2</v>
      </c>
      <c r="AT49" s="471">
        <f t="shared" si="51"/>
        <v>325</v>
      </c>
      <c r="AU49" s="471">
        <f t="shared" si="26"/>
        <v>4.3349999999999991</v>
      </c>
      <c r="AV49" s="476">
        <f t="shared" si="27"/>
        <v>5304.5</v>
      </c>
      <c r="AW49" s="484">
        <f t="shared" si="28"/>
        <v>2234.0712734364051</v>
      </c>
      <c r="AX49" s="485">
        <f t="shared" si="29"/>
        <v>1768.1666666666667</v>
      </c>
      <c r="AY49" s="471">
        <f t="shared" si="30"/>
        <v>465.90460676973845</v>
      </c>
      <c r="AZ49" s="475">
        <f t="shared" si="31"/>
        <v>7.2500000000000009E-2</v>
      </c>
      <c r="BA49" s="471">
        <f t="shared" si="52"/>
        <v>362.50000000000006</v>
      </c>
      <c r="BB49" s="471">
        <f t="shared" si="32"/>
        <v>14.072944589999999</v>
      </c>
      <c r="BC49" s="476">
        <f t="shared" si="33"/>
        <v>3536.333333333333</v>
      </c>
      <c r="BD49" s="484">
        <f t="shared" si="34"/>
        <v>2078.7697378464923</v>
      </c>
      <c r="BE49" s="474">
        <f t="shared" si="35"/>
        <v>1768.1666666666667</v>
      </c>
      <c r="BF49" s="471">
        <f t="shared" si="36"/>
        <v>310.60307117982563</v>
      </c>
      <c r="BG49" s="475">
        <f t="shared" si="37"/>
        <v>8.0000000000000016E-2</v>
      </c>
      <c r="BH49" s="471">
        <f t="shared" si="53"/>
        <v>400.00000000000006</v>
      </c>
      <c r="BI49" s="471">
        <f t="shared" si="38"/>
        <v>9.5696023211999997</v>
      </c>
      <c r="BJ49" s="473">
        <f t="shared" si="39"/>
        <v>1768.1666666666663</v>
      </c>
      <c r="BK49" s="479">
        <f t="shared" si="40"/>
        <v>8536.3333333333339</v>
      </c>
      <c r="BL49" s="480">
        <f t="shared" si="40"/>
        <v>1654.8272307250159</v>
      </c>
      <c r="BM49" s="480">
        <f t="shared" si="41"/>
        <v>1625</v>
      </c>
      <c r="BN49" s="480">
        <f t="shared" si="41"/>
        <v>48.977546911200001</v>
      </c>
      <c r="BO49" s="480">
        <f t="shared" si="42"/>
        <v>10191.160564058349</v>
      </c>
      <c r="BP49" s="480">
        <f t="shared" si="43"/>
        <v>11865.13811096955</v>
      </c>
      <c r="BQ49" s="480">
        <f t="shared" si="44"/>
        <v>10191.160564058349</v>
      </c>
      <c r="BR49" s="480">
        <f t="shared" si="45"/>
        <v>0</v>
      </c>
      <c r="BS49" s="480">
        <f t="shared" si="46"/>
        <v>-3536.3333333333339</v>
      </c>
      <c r="BT49" s="480">
        <f t="shared" si="47"/>
        <v>5304.5</v>
      </c>
      <c r="BU49" s="480">
        <f t="shared" si="48"/>
        <v>1768.1666666666661</v>
      </c>
      <c r="BV49" s="480">
        <f t="shared" si="49"/>
        <v>0</v>
      </c>
      <c r="BW49" s="41"/>
      <c r="BX49" s="39">
        <f t="shared" si="54"/>
        <v>197.36053692119938</v>
      </c>
      <c r="BY49" s="39">
        <f t="shared" si="55"/>
        <v>187.9533209104292</v>
      </c>
      <c r="BZ49" s="39">
        <f t="shared" si="56"/>
        <v>178.53235489965905</v>
      </c>
      <c r="CA49" s="40" t="s">
        <v>374</v>
      </c>
      <c r="CB49" s="40"/>
      <c r="CC49" s="40"/>
    </row>
    <row r="50" spans="1:81" ht="15">
      <c r="A50" s="453">
        <f t="shared" si="118"/>
        <v>41</v>
      </c>
      <c r="B50" s="454" t="s">
        <v>382</v>
      </c>
      <c r="C50" s="492" t="s">
        <v>418</v>
      </c>
      <c r="D50" s="456"/>
      <c r="E50" s="457" t="s">
        <v>381</v>
      </c>
      <c r="F50" s="458"/>
      <c r="G50" s="459">
        <v>3</v>
      </c>
      <c r="H50" s="460">
        <v>3</v>
      </c>
      <c r="I50" s="461" t="s">
        <v>373</v>
      </c>
      <c r="J50" s="462">
        <v>10000</v>
      </c>
      <c r="K50" s="463"/>
      <c r="L50" s="464">
        <v>1</v>
      </c>
      <c r="M50" s="502"/>
      <c r="N50" s="466"/>
      <c r="O50" s="466"/>
      <c r="P50" s="466"/>
      <c r="Q50" s="467">
        <f t="shared" si="6"/>
        <v>10000</v>
      </c>
      <c r="R50" s="483">
        <f t="shared" si="7"/>
        <v>10300</v>
      </c>
      <c r="S50" s="483">
        <f t="shared" si="7"/>
        <v>10609</v>
      </c>
      <c r="T50" s="483">
        <f t="shared" si="7"/>
        <v>10927.27</v>
      </c>
      <c r="U50" s="483">
        <f t="shared" si="7"/>
        <v>11255.088100000001</v>
      </c>
      <c r="V50" s="468">
        <f t="shared" si="8"/>
        <v>10000</v>
      </c>
      <c r="W50" s="468">
        <f t="shared" si="8"/>
        <v>0</v>
      </c>
      <c r="X50" s="468">
        <f t="shared" si="8"/>
        <v>0</v>
      </c>
      <c r="Y50" s="468">
        <f t="shared" si="8"/>
        <v>0</v>
      </c>
      <c r="Z50" s="468">
        <f t="shared" si="8"/>
        <v>0</v>
      </c>
      <c r="AA50" s="469">
        <f t="shared" si="9"/>
        <v>10000</v>
      </c>
      <c r="AB50" s="470">
        <f t="shared" si="10"/>
        <v>4211.6528861087854</v>
      </c>
      <c r="AC50" s="471">
        <f t="shared" si="11"/>
        <v>3333.3333333333335</v>
      </c>
      <c r="AD50" s="471">
        <f t="shared" si="12"/>
        <v>878.31955277545171</v>
      </c>
      <c r="AE50" s="472">
        <v>0</v>
      </c>
      <c r="AF50" s="471">
        <f t="shared" si="13"/>
        <v>0</v>
      </c>
      <c r="AG50" s="471">
        <f t="shared" si="14"/>
        <v>25</v>
      </c>
      <c r="AH50" s="473">
        <f t="shared" si="15"/>
        <v>6666.6666666666661</v>
      </c>
      <c r="AI50" s="484">
        <f t="shared" si="16"/>
        <v>3918.8797018503014</v>
      </c>
      <c r="AJ50" s="503">
        <f t="shared" si="17"/>
        <v>3333.3333333333335</v>
      </c>
      <c r="AK50" s="471">
        <f t="shared" si="18"/>
        <v>585.54636851696796</v>
      </c>
      <c r="AL50" s="475">
        <f t="shared" si="19"/>
        <v>0</v>
      </c>
      <c r="AM50" s="471">
        <f t="shared" si="50"/>
        <v>0</v>
      </c>
      <c r="AN50" s="471">
        <f t="shared" si="20"/>
        <v>17</v>
      </c>
      <c r="AO50" s="477">
        <f t="shared" si="21"/>
        <v>3333.3333333333326</v>
      </c>
      <c r="AP50" s="484">
        <f t="shared" si="22"/>
        <v>3626.1065175918175</v>
      </c>
      <c r="AQ50" s="503">
        <f t="shared" si="23"/>
        <v>3333.3333333333335</v>
      </c>
      <c r="AR50" s="471">
        <f t="shared" si="24"/>
        <v>292.77318425848387</v>
      </c>
      <c r="AS50" s="475">
        <f t="shared" si="25"/>
        <v>0</v>
      </c>
      <c r="AT50" s="471">
        <f t="shared" si="51"/>
        <v>0</v>
      </c>
      <c r="AU50" s="471">
        <f t="shared" si="26"/>
        <v>8.6699999999999982</v>
      </c>
      <c r="AV50" s="477">
        <f t="shared" si="27"/>
        <v>10609</v>
      </c>
      <c r="AW50" s="484">
        <f t="shared" si="28"/>
        <v>4468.1425468728103</v>
      </c>
      <c r="AX50" s="485">
        <f t="shared" si="29"/>
        <v>3536.3333333333335</v>
      </c>
      <c r="AY50" s="471">
        <f t="shared" si="30"/>
        <v>931.8092135394769</v>
      </c>
      <c r="AZ50" s="475">
        <f t="shared" si="31"/>
        <v>0</v>
      </c>
      <c r="BA50" s="471">
        <f t="shared" si="52"/>
        <v>0</v>
      </c>
      <c r="BB50" s="471">
        <f t="shared" si="32"/>
        <v>28.145889179999998</v>
      </c>
      <c r="BC50" s="476">
        <f t="shared" si="33"/>
        <v>7072.6666666666661</v>
      </c>
      <c r="BD50" s="484">
        <f t="shared" si="34"/>
        <v>4157.5394756929845</v>
      </c>
      <c r="BE50" s="474">
        <f t="shared" si="35"/>
        <v>3536.3333333333335</v>
      </c>
      <c r="BF50" s="471">
        <f t="shared" si="36"/>
        <v>621.20614235965127</v>
      </c>
      <c r="BG50" s="475">
        <f t="shared" si="37"/>
        <v>0</v>
      </c>
      <c r="BH50" s="471">
        <f t="shared" si="53"/>
        <v>0</v>
      </c>
      <c r="BI50" s="471">
        <f t="shared" si="38"/>
        <v>19.139204642399999</v>
      </c>
      <c r="BJ50" s="473">
        <f t="shared" si="39"/>
        <v>3536.3333333333326</v>
      </c>
      <c r="BK50" s="479">
        <f t="shared" si="40"/>
        <v>17072.666666666668</v>
      </c>
      <c r="BL50" s="480">
        <f t="shared" si="40"/>
        <v>3309.6544614500317</v>
      </c>
      <c r="BM50" s="480">
        <f t="shared" si="41"/>
        <v>0</v>
      </c>
      <c r="BN50" s="480">
        <f t="shared" si="41"/>
        <v>97.955093822400002</v>
      </c>
      <c r="BO50" s="480">
        <f t="shared" si="42"/>
        <v>20382.321128116699</v>
      </c>
      <c r="BP50" s="480">
        <f t="shared" si="43"/>
        <v>20480.276221939097</v>
      </c>
      <c r="BQ50" s="480">
        <f t="shared" si="44"/>
        <v>20382.321128116699</v>
      </c>
      <c r="BR50" s="480">
        <f t="shared" si="45"/>
        <v>0</v>
      </c>
      <c r="BS50" s="480">
        <f t="shared" si="46"/>
        <v>-7072.6666666666679</v>
      </c>
      <c r="BT50" s="480">
        <f t="shared" si="47"/>
        <v>10609</v>
      </c>
      <c r="BU50" s="480">
        <f t="shared" si="48"/>
        <v>3536.3333333333321</v>
      </c>
      <c r="BV50" s="480">
        <f t="shared" si="49"/>
        <v>0</v>
      </c>
      <c r="BW50" s="41"/>
      <c r="BX50" s="39">
        <f t="shared" si="54"/>
        <v>353.05440717573214</v>
      </c>
      <c r="BY50" s="39">
        <f t="shared" si="55"/>
        <v>327.98997515419177</v>
      </c>
      <c r="BZ50" s="39">
        <f t="shared" si="56"/>
        <v>302.89804313265148</v>
      </c>
      <c r="CA50" s="40" t="s">
        <v>374</v>
      </c>
      <c r="CB50" s="40"/>
      <c r="CC50" s="40"/>
    </row>
    <row r="51" spans="1:81" ht="15">
      <c r="A51" s="453">
        <f t="shared" si="118"/>
        <v>42</v>
      </c>
      <c r="B51" s="454" t="s">
        <v>370</v>
      </c>
      <c r="C51" s="492" t="s">
        <v>419</v>
      </c>
      <c r="D51" s="456"/>
      <c r="E51" s="457" t="s">
        <v>381</v>
      </c>
      <c r="F51" s="458"/>
      <c r="G51" s="459">
        <v>3</v>
      </c>
      <c r="H51" s="460">
        <v>3</v>
      </c>
      <c r="I51" s="461" t="s">
        <v>394</v>
      </c>
      <c r="J51" s="462">
        <v>10</v>
      </c>
      <c r="K51" s="463"/>
      <c r="L51" s="497">
        <f>L8*75%</f>
        <v>54937.5</v>
      </c>
      <c r="M51" s="466"/>
      <c r="N51" s="466"/>
      <c r="O51" s="466"/>
      <c r="P51" s="466"/>
      <c r="Q51" s="467">
        <f t="shared" si="6"/>
        <v>10</v>
      </c>
      <c r="R51" s="483">
        <f>Q51*R$3+Q51</f>
        <v>10.3</v>
      </c>
      <c r="S51" s="483">
        <f>R51*S$3+R51</f>
        <v>10.609</v>
      </c>
      <c r="T51" s="483">
        <f>S51*T$3+S51</f>
        <v>10.92727</v>
      </c>
      <c r="U51" s="483">
        <f>T51*U$3+T51</f>
        <v>11.2550881</v>
      </c>
      <c r="V51" s="468">
        <f>Q51*L51</f>
        <v>549375</v>
      </c>
      <c r="W51" s="468">
        <f>R51*M51</f>
        <v>0</v>
      </c>
      <c r="X51" s="468">
        <f>S51*N51</f>
        <v>0</v>
      </c>
      <c r="Y51" s="468">
        <f>T51*O51</f>
        <v>0</v>
      </c>
      <c r="Z51" s="468">
        <f>U51*P51</f>
        <v>0</v>
      </c>
      <c r="AA51" s="469">
        <f t="shared" si="9"/>
        <v>549375</v>
      </c>
      <c r="AB51" s="470">
        <f t="shared" si="10"/>
        <v>231377.68043060141</v>
      </c>
      <c r="AC51" s="471">
        <f t="shared" si="11"/>
        <v>183125</v>
      </c>
      <c r="AD51" s="471">
        <f t="shared" si="12"/>
        <v>48252.680430601395</v>
      </c>
      <c r="AE51" s="472">
        <v>0.05</v>
      </c>
      <c r="AF51" s="471">
        <f t="shared" si="13"/>
        <v>27468.75</v>
      </c>
      <c r="AG51" s="471">
        <f t="shared" si="14"/>
        <v>1373.4375</v>
      </c>
      <c r="AH51" s="473">
        <f t="shared" si="15"/>
        <v>366250</v>
      </c>
      <c r="AI51" s="484">
        <f t="shared" si="16"/>
        <v>215293.45362040092</v>
      </c>
      <c r="AJ51" s="474">
        <f t="shared" si="17"/>
        <v>183125</v>
      </c>
      <c r="AK51" s="471">
        <f t="shared" si="18"/>
        <v>32168.453620400924</v>
      </c>
      <c r="AL51" s="475">
        <f t="shared" si="19"/>
        <v>5.7500000000000002E-2</v>
      </c>
      <c r="AM51" s="471">
        <f t="shared" si="50"/>
        <v>31589.0625</v>
      </c>
      <c r="AN51" s="471">
        <f t="shared" si="20"/>
        <v>933.93750000000011</v>
      </c>
      <c r="AO51" s="476">
        <f t="shared" si="21"/>
        <v>183125</v>
      </c>
      <c r="AP51" s="484">
        <f t="shared" si="22"/>
        <v>199209.22681020046</v>
      </c>
      <c r="AQ51" s="485">
        <f t="shared" si="23"/>
        <v>183125</v>
      </c>
      <c r="AR51" s="471">
        <f t="shared" si="24"/>
        <v>16084.226810200462</v>
      </c>
      <c r="AS51" s="475">
        <f t="shared" si="25"/>
        <v>6.5000000000000002E-2</v>
      </c>
      <c r="AT51" s="471">
        <f t="shared" si="51"/>
        <v>35709.375</v>
      </c>
      <c r="AU51" s="471">
        <f t="shared" si="26"/>
        <v>476.30812500000002</v>
      </c>
      <c r="AV51" s="476">
        <f t="shared" si="27"/>
        <v>582831.9375</v>
      </c>
      <c r="AW51" s="484">
        <f t="shared" si="28"/>
        <v>245468.58116882501</v>
      </c>
      <c r="AX51" s="485">
        <f t="shared" si="29"/>
        <v>194277.3125</v>
      </c>
      <c r="AY51" s="471">
        <f t="shared" si="30"/>
        <v>51191.268668825018</v>
      </c>
      <c r="AZ51" s="475">
        <f t="shared" si="31"/>
        <v>7.2500000000000009E-2</v>
      </c>
      <c r="BA51" s="471">
        <f t="shared" si="52"/>
        <v>39829.687500000007</v>
      </c>
      <c r="BB51" s="471">
        <f t="shared" si="32"/>
        <v>1546.26478682625</v>
      </c>
      <c r="BC51" s="476">
        <f t="shared" si="33"/>
        <v>388554.625</v>
      </c>
      <c r="BD51" s="484">
        <f t="shared" si="34"/>
        <v>228404.82494588336</v>
      </c>
      <c r="BE51" s="474">
        <f t="shared" si="35"/>
        <v>194277.3125</v>
      </c>
      <c r="BF51" s="471">
        <f t="shared" si="36"/>
        <v>34127.512445883345</v>
      </c>
      <c r="BG51" s="475">
        <f t="shared" si="37"/>
        <v>8.0000000000000016E-2</v>
      </c>
      <c r="BH51" s="471">
        <f t="shared" si="53"/>
        <v>43950.000000000007</v>
      </c>
      <c r="BI51" s="471">
        <f t="shared" si="38"/>
        <v>1051.46005504185</v>
      </c>
      <c r="BJ51" s="473">
        <f t="shared" si="39"/>
        <v>194277.3125</v>
      </c>
      <c r="BK51" s="479">
        <f>AC51+AJ51+AQ51+AX51+BE51</f>
        <v>937929.625</v>
      </c>
      <c r="BL51" s="480">
        <f>AD51+AK51+AR51+AY51+BF51</f>
        <v>181824.14197591116</v>
      </c>
      <c r="BM51" s="480">
        <f>BH51+BA51+AT51++AM51+AF51</f>
        <v>178546.875</v>
      </c>
      <c r="BN51" s="480">
        <f>BI51+BB51+AU51++AN51+AG51</f>
        <v>5381.4079668681006</v>
      </c>
      <c r="BO51" s="480">
        <f t="shared" si="42"/>
        <v>1119753.7669759111</v>
      </c>
      <c r="BP51" s="480">
        <f t="shared" si="43"/>
        <v>1303682.0499427791</v>
      </c>
      <c r="BQ51" s="480">
        <f t="shared" si="44"/>
        <v>1119753.7669759113</v>
      </c>
      <c r="BR51" s="480">
        <f t="shared" si="45"/>
        <v>0</v>
      </c>
      <c r="BS51" s="480">
        <f t="shared" si="46"/>
        <v>-388554.625</v>
      </c>
      <c r="BT51" s="480">
        <f t="shared" si="47"/>
        <v>582831.9375</v>
      </c>
      <c r="BU51" s="480">
        <f t="shared" si="48"/>
        <v>194277.3125</v>
      </c>
      <c r="BV51" s="480">
        <f t="shared" si="49"/>
        <v>0</v>
      </c>
      <c r="BW51" s="41"/>
      <c r="BX51" s="39">
        <f t="shared" si="54"/>
        <v>21684.988994216783</v>
      </c>
      <c r="BY51" s="39">
        <f t="shared" si="55"/>
        <v>20651.371135033409</v>
      </c>
      <c r="BZ51" s="39">
        <f t="shared" si="56"/>
        <v>19616.242494600039</v>
      </c>
      <c r="CA51" s="40" t="s">
        <v>374</v>
      </c>
      <c r="CB51" s="40"/>
      <c r="CC51" s="40"/>
    </row>
    <row r="52" spans="1:81" ht="15">
      <c r="A52" s="453">
        <f t="shared" si="118"/>
        <v>43</v>
      </c>
      <c r="B52" s="454" t="s">
        <v>370</v>
      </c>
      <c r="C52" s="504" t="s">
        <v>420</v>
      </c>
      <c r="D52" s="481"/>
      <c r="E52" s="457" t="s">
        <v>381</v>
      </c>
      <c r="F52" s="458"/>
      <c r="G52" s="459">
        <v>5</v>
      </c>
      <c r="H52" s="460">
        <v>5</v>
      </c>
      <c r="I52" s="461" t="s">
        <v>373</v>
      </c>
      <c r="J52" s="462">
        <v>12000</v>
      </c>
      <c r="K52" s="463"/>
      <c r="L52" s="464">
        <v>2</v>
      </c>
      <c r="M52" s="465"/>
      <c r="N52" s="465"/>
      <c r="O52" s="465"/>
      <c r="P52" s="465"/>
      <c r="Q52" s="467">
        <f t="shared" si="6"/>
        <v>12000</v>
      </c>
      <c r="R52" s="483">
        <f t="shared" si="7"/>
        <v>12360</v>
      </c>
      <c r="S52" s="483">
        <f t="shared" si="7"/>
        <v>12730.8</v>
      </c>
      <c r="T52" s="483">
        <f t="shared" si="7"/>
        <v>13112.723999999998</v>
      </c>
      <c r="U52" s="483">
        <f t="shared" si="7"/>
        <v>13506.105719999998</v>
      </c>
      <c r="V52" s="468">
        <f t="shared" si="8"/>
        <v>24000</v>
      </c>
      <c r="W52" s="468">
        <f t="shared" si="8"/>
        <v>0</v>
      </c>
      <c r="X52" s="468">
        <f t="shared" si="8"/>
        <v>0</v>
      </c>
      <c r="Y52" s="468">
        <f t="shared" si="8"/>
        <v>0</v>
      </c>
      <c r="Z52" s="468">
        <f t="shared" si="8"/>
        <v>0</v>
      </c>
      <c r="AA52" s="469">
        <f t="shared" si="9"/>
        <v>24000</v>
      </c>
      <c r="AB52" s="470">
        <f t="shared" si="10"/>
        <v>7042.4311085088812</v>
      </c>
      <c r="AC52" s="471">
        <f t="shared" si="11"/>
        <v>4800</v>
      </c>
      <c r="AD52" s="471">
        <f t="shared" si="12"/>
        <v>2242.4311085088812</v>
      </c>
      <c r="AE52" s="472">
        <v>0.05</v>
      </c>
      <c r="AF52" s="471">
        <f t="shared" si="13"/>
        <v>1200</v>
      </c>
      <c r="AG52" s="471">
        <f t="shared" si="14"/>
        <v>60</v>
      </c>
      <c r="AH52" s="473">
        <f t="shared" si="15"/>
        <v>19200</v>
      </c>
      <c r="AI52" s="484">
        <f t="shared" si="16"/>
        <v>6593.9448868071049</v>
      </c>
      <c r="AJ52" s="474">
        <f t="shared" si="17"/>
        <v>4800</v>
      </c>
      <c r="AK52" s="471">
        <f t="shared" si="18"/>
        <v>1793.9448868071054</v>
      </c>
      <c r="AL52" s="475">
        <f t="shared" si="19"/>
        <v>5.7500000000000002E-2</v>
      </c>
      <c r="AM52" s="471">
        <f t="shared" si="50"/>
        <v>1380</v>
      </c>
      <c r="AN52" s="471">
        <f t="shared" si="20"/>
        <v>48.96</v>
      </c>
      <c r="AO52" s="476">
        <f t="shared" si="21"/>
        <v>14400</v>
      </c>
      <c r="AP52" s="484">
        <f t="shared" si="22"/>
        <v>6145.4586651053287</v>
      </c>
      <c r="AQ52" s="485">
        <f t="shared" si="23"/>
        <v>4800</v>
      </c>
      <c r="AR52" s="471">
        <f t="shared" si="24"/>
        <v>1345.4586651053289</v>
      </c>
      <c r="AS52" s="475">
        <f t="shared" si="25"/>
        <v>6.5000000000000002E-2</v>
      </c>
      <c r="AT52" s="471">
        <f t="shared" si="51"/>
        <v>1560</v>
      </c>
      <c r="AU52" s="471">
        <f t="shared" si="26"/>
        <v>37.4544</v>
      </c>
      <c r="AV52" s="476">
        <f t="shared" si="27"/>
        <v>9600</v>
      </c>
      <c r="AW52" s="484">
        <f t="shared" si="28"/>
        <v>5696.9724434035525</v>
      </c>
      <c r="AX52" s="474">
        <f t="shared" si="29"/>
        <v>4800</v>
      </c>
      <c r="AY52" s="471">
        <f t="shared" si="30"/>
        <v>896.97244340355269</v>
      </c>
      <c r="AZ52" s="475">
        <f t="shared" si="31"/>
        <v>7.2500000000000009E-2</v>
      </c>
      <c r="BA52" s="471">
        <f t="shared" si="52"/>
        <v>1740.0000000000002</v>
      </c>
      <c r="BB52" s="471">
        <f t="shared" si="32"/>
        <v>25.468992</v>
      </c>
      <c r="BC52" s="476">
        <f t="shared" si="33"/>
        <v>4800</v>
      </c>
      <c r="BD52" s="484">
        <f t="shared" si="34"/>
        <v>5248.4862217017762</v>
      </c>
      <c r="BE52" s="474">
        <f t="shared" si="35"/>
        <v>4800</v>
      </c>
      <c r="BF52" s="471">
        <f t="shared" si="36"/>
        <v>448.48622170177634</v>
      </c>
      <c r="BG52" s="475">
        <f t="shared" si="37"/>
        <v>8.0000000000000016E-2</v>
      </c>
      <c r="BH52" s="471">
        <f t="shared" si="53"/>
        <v>1920.0000000000005</v>
      </c>
      <c r="BI52" s="471">
        <f t="shared" si="38"/>
        <v>12.989185920000001</v>
      </c>
      <c r="BJ52" s="473">
        <f t="shared" si="39"/>
        <v>0</v>
      </c>
      <c r="BK52" s="479">
        <f t="shared" si="40"/>
        <v>24000</v>
      </c>
      <c r="BL52" s="480">
        <f t="shared" si="40"/>
        <v>6727.2933255266444</v>
      </c>
      <c r="BM52" s="480">
        <f t="shared" si="41"/>
        <v>7800.0000000000009</v>
      </c>
      <c r="BN52" s="480">
        <f t="shared" si="41"/>
        <v>184.87257792</v>
      </c>
      <c r="BO52" s="480">
        <f t="shared" si="42"/>
        <v>30727.293325526643</v>
      </c>
      <c r="BP52" s="480">
        <f t="shared" si="43"/>
        <v>38712.165903446643</v>
      </c>
      <c r="BQ52" s="480">
        <f t="shared" si="44"/>
        <v>30727.293325526643</v>
      </c>
      <c r="BR52" s="480">
        <f t="shared" si="45"/>
        <v>0</v>
      </c>
      <c r="BS52" s="480">
        <f t="shared" si="46"/>
        <v>0</v>
      </c>
      <c r="BT52" s="480">
        <f t="shared" si="47"/>
        <v>0</v>
      </c>
      <c r="BU52" s="480">
        <f t="shared" si="48"/>
        <v>0</v>
      </c>
      <c r="BV52" s="480">
        <f t="shared" si="49"/>
        <v>0</v>
      </c>
      <c r="BW52" s="41"/>
      <c r="BX52" s="39">
        <f t="shared" si="54"/>
        <v>691.86925904240672</v>
      </c>
      <c r="BY52" s="39">
        <f t="shared" si="55"/>
        <v>668.57540723392538</v>
      </c>
      <c r="BZ52" s="39">
        <f t="shared" si="56"/>
        <v>645.24275542544399</v>
      </c>
      <c r="CA52" s="40" t="s">
        <v>374</v>
      </c>
      <c r="CB52" s="40"/>
      <c r="CC52" s="40"/>
    </row>
    <row r="53" spans="1:81" ht="15" hidden="1">
      <c r="A53" s="453">
        <f t="shared" si="118"/>
        <v>44</v>
      </c>
      <c r="B53" s="454" t="s">
        <v>370</v>
      </c>
      <c r="C53" s="492" t="s">
        <v>421</v>
      </c>
      <c r="D53" s="456"/>
      <c r="E53" s="457" t="s">
        <v>381</v>
      </c>
      <c r="F53" s="458"/>
      <c r="G53" s="459">
        <v>5</v>
      </c>
      <c r="H53" s="460">
        <v>5</v>
      </c>
      <c r="I53" s="461" t="s">
        <v>373</v>
      </c>
      <c r="J53" s="462">
        <v>12000</v>
      </c>
      <c r="K53" s="463"/>
      <c r="L53" s="464">
        <v>0</v>
      </c>
      <c r="M53" s="466"/>
      <c r="N53" s="466"/>
      <c r="O53" s="466"/>
      <c r="P53" s="466"/>
      <c r="Q53" s="467">
        <f t="shared" si="6"/>
        <v>12000</v>
      </c>
      <c r="R53" s="483">
        <f t="shared" si="7"/>
        <v>12360</v>
      </c>
      <c r="S53" s="483">
        <f t="shared" si="7"/>
        <v>12730.8</v>
      </c>
      <c r="T53" s="483">
        <f t="shared" si="7"/>
        <v>13112.723999999998</v>
      </c>
      <c r="U53" s="483">
        <f t="shared" si="7"/>
        <v>13506.105719999998</v>
      </c>
      <c r="V53" s="468">
        <f t="shared" si="8"/>
        <v>0</v>
      </c>
      <c r="W53" s="468">
        <f t="shared" si="8"/>
        <v>0</v>
      </c>
      <c r="X53" s="468">
        <f t="shared" si="8"/>
        <v>0</v>
      </c>
      <c r="Y53" s="468">
        <f t="shared" si="8"/>
        <v>0</v>
      </c>
      <c r="Z53" s="468">
        <f t="shared" si="8"/>
        <v>0</v>
      </c>
      <c r="AA53" s="469">
        <f t="shared" si="9"/>
        <v>0</v>
      </c>
      <c r="AB53" s="470">
        <f t="shared" si="10"/>
        <v>0</v>
      </c>
      <c r="AC53" s="471">
        <f t="shared" si="11"/>
        <v>0</v>
      </c>
      <c r="AD53" s="471">
        <f t="shared" si="12"/>
        <v>0</v>
      </c>
      <c r="AE53" s="472">
        <v>0.02</v>
      </c>
      <c r="AF53" s="471">
        <f t="shared" si="13"/>
        <v>0</v>
      </c>
      <c r="AG53" s="471">
        <f t="shared" si="14"/>
        <v>0</v>
      </c>
      <c r="AH53" s="473">
        <f t="shared" si="15"/>
        <v>0</v>
      </c>
      <c r="AI53" s="484">
        <f t="shared" si="16"/>
        <v>0</v>
      </c>
      <c r="AJ53" s="474">
        <f t="shared" si="17"/>
        <v>0</v>
      </c>
      <c r="AK53" s="471">
        <f t="shared" si="18"/>
        <v>0</v>
      </c>
      <c r="AL53" s="475">
        <f t="shared" si="19"/>
        <v>2.75E-2</v>
      </c>
      <c r="AM53" s="471">
        <f t="shared" si="50"/>
        <v>0</v>
      </c>
      <c r="AN53" s="471">
        <f t="shared" si="20"/>
        <v>0</v>
      </c>
      <c r="AO53" s="476">
        <f t="shared" si="21"/>
        <v>0</v>
      </c>
      <c r="AP53" s="484">
        <f t="shared" si="22"/>
        <v>0</v>
      </c>
      <c r="AQ53" s="485">
        <f t="shared" si="23"/>
        <v>0</v>
      </c>
      <c r="AR53" s="471">
        <f t="shared" si="24"/>
        <v>0</v>
      </c>
      <c r="AS53" s="475">
        <f t="shared" si="25"/>
        <v>3.5000000000000003E-2</v>
      </c>
      <c r="AT53" s="471">
        <f t="shared" si="51"/>
        <v>0</v>
      </c>
      <c r="AU53" s="471">
        <f t="shared" si="26"/>
        <v>0</v>
      </c>
      <c r="AV53" s="476">
        <f t="shared" si="27"/>
        <v>0</v>
      </c>
      <c r="AW53" s="484">
        <f t="shared" si="28"/>
        <v>0</v>
      </c>
      <c r="AX53" s="474">
        <f t="shared" si="29"/>
        <v>0</v>
      </c>
      <c r="AY53" s="471">
        <f t="shared" si="30"/>
        <v>0</v>
      </c>
      <c r="AZ53" s="475">
        <f t="shared" si="31"/>
        <v>4.2500000000000003E-2</v>
      </c>
      <c r="BA53" s="471">
        <f t="shared" si="52"/>
        <v>0</v>
      </c>
      <c r="BB53" s="471">
        <f t="shared" si="32"/>
        <v>0</v>
      </c>
      <c r="BC53" s="476">
        <f t="shared" si="33"/>
        <v>0</v>
      </c>
      <c r="BD53" s="484">
        <f t="shared" si="34"/>
        <v>0</v>
      </c>
      <c r="BE53" s="474">
        <f t="shared" si="35"/>
        <v>0</v>
      </c>
      <c r="BF53" s="471">
        <f t="shared" si="36"/>
        <v>0</v>
      </c>
      <c r="BG53" s="475">
        <f t="shared" si="37"/>
        <v>0.05</v>
      </c>
      <c r="BH53" s="471">
        <f t="shared" si="53"/>
        <v>0</v>
      </c>
      <c r="BI53" s="471">
        <f t="shared" si="38"/>
        <v>0</v>
      </c>
      <c r="BJ53" s="473">
        <f t="shared" si="39"/>
        <v>0</v>
      </c>
      <c r="BK53" s="479">
        <f t="shared" si="40"/>
        <v>0</v>
      </c>
      <c r="BL53" s="480">
        <f t="shared" si="40"/>
        <v>0</v>
      </c>
      <c r="BM53" s="480">
        <f t="shared" si="41"/>
        <v>0</v>
      </c>
      <c r="BN53" s="480">
        <f t="shared" si="41"/>
        <v>0</v>
      </c>
      <c r="BO53" s="480">
        <f t="shared" si="42"/>
        <v>0</v>
      </c>
      <c r="BP53" s="480">
        <f t="shared" si="43"/>
        <v>0</v>
      </c>
      <c r="BQ53" s="480">
        <f t="shared" si="44"/>
        <v>0</v>
      </c>
      <c r="BR53" s="480">
        <f t="shared" si="45"/>
        <v>0</v>
      </c>
      <c r="BS53" s="480">
        <f t="shared" si="46"/>
        <v>0</v>
      </c>
      <c r="BT53" s="480">
        <f t="shared" si="47"/>
        <v>0</v>
      </c>
      <c r="BU53" s="480">
        <f t="shared" si="48"/>
        <v>0</v>
      </c>
      <c r="BV53" s="480">
        <f t="shared" si="49"/>
        <v>0</v>
      </c>
      <c r="BW53" s="41"/>
      <c r="BX53" s="39">
        <f t="shared" si="54"/>
        <v>0</v>
      </c>
      <c r="BY53" s="39">
        <f t="shared" si="55"/>
        <v>0</v>
      </c>
      <c r="BZ53" s="39">
        <f t="shared" si="56"/>
        <v>0</v>
      </c>
      <c r="CA53" s="40" t="s">
        <v>374</v>
      </c>
      <c r="CB53" s="40"/>
      <c r="CC53" s="40"/>
    </row>
    <row r="54" spans="1:81" ht="15" hidden="1">
      <c r="A54" s="453">
        <f t="shared" si="118"/>
        <v>45</v>
      </c>
      <c r="B54" s="454" t="s">
        <v>370</v>
      </c>
      <c r="C54" s="492" t="s">
        <v>422</v>
      </c>
      <c r="D54" s="456"/>
      <c r="E54" s="457" t="s">
        <v>381</v>
      </c>
      <c r="F54" s="458"/>
      <c r="G54" s="459">
        <v>5</v>
      </c>
      <c r="H54" s="460">
        <v>5</v>
      </c>
      <c r="I54" s="461" t="s">
        <v>373</v>
      </c>
      <c r="J54" s="462">
        <v>15000</v>
      </c>
      <c r="K54" s="463"/>
      <c r="L54" s="464">
        <v>0</v>
      </c>
      <c r="M54" s="465"/>
      <c r="N54" s="465"/>
      <c r="O54" s="465"/>
      <c r="P54" s="465"/>
      <c r="Q54" s="467">
        <f t="shared" si="6"/>
        <v>15000</v>
      </c>
      <c r="R54" s="483">
        <f t="shared" ref="R54:U69" si="119">Q54*R$3+Q54</f>
        <v>15450</v>
      </c>
      <c r="S54" s="483">
        <f t="shared" si="119"/>
        <v>15913.5</v>
      </c>
      <c r="T54" s="483">
        <f t="shared" si="119"/>
        <v>16390.904999999999</v>
      </c>
      <c r="U54" s="483">
        <f t="shared" si="119"/>
        <v>16882.632149999998</v>
      </c>
      <c r="V54" s="468">
        <f t="shared" ref="V54:Z69" si="120">Q54*L54</f>
        <v>0</v>
      </c>
      <c r="W54" s="468">
        <f t="shared" si="120"/>
        <v>0</v>
      </c>
      <c r="X54" s="468">
        <f t="shared" si="120"/>
        <v>0</v>
      </c>
      <c r="Y54" s="468">
        <f t="shared" si="120"/>
        <v>0</v>
      </c>
      <c r="Z54" s="468">
        <f t="shared" si="120"/>
        <v>0</v>
      </c>
      <c r="AA54" s="469">
        <f t="shared" si="9"/>
        <v>0</v>
      </c>
      <c r="AB54" s="470">
        <f t="shared" si="10"/>
        <v>0</v>
      </c>
      <c r="AC54" s="471">
        <f t="shared" si="11"/>
        <v>0</v>
      </c>
      <c r="AD54" s="471">
        <f t="shared" si="12"/>
        <v>0</v>
      </c>
      <c r="AE54" s="472">
        <v>0.02</v>
      </c>
      <c r="AF54" s="471">
        <f t="shared" si="13"/>
        <v>0</v>
      </c>
      <c r="AG54" s="471">
        <f t="shared" si="14"/>
        <v>0</v>
      </c>
      <c r="AH54" s="473">
        <f t="shared" si="15"/>
        <v>0</v>
      </c>
      <c r="AI54" s="484">
        <f t="shared" si="16"/>
        <v>0</v>
      </c>
      <c r="AJ54" s="474">
        <f t="shared" si="17"/>
        <v>0</v>
      </c>
      <c r="AK54" s="471">
        <f t="shared" si="18"/>
        <v>0</v>
      </c>
      <c r="AL54" s="475">
        <f t="shared" si="19"/>
        <v>2.75E-2</v>
      </c>
      <c r="AM54" s="471">
        <f t="shared" si="50"/>
        <v>0</v>
      </c>
      <c r="AN54" s="471">
        <f t="shared" si="20"/>
        <v>0</v>
      </c>
      <c r="AO54" s="476">
        <f t="shared" si="21"/>
        <v>0</v>
      </c>
      <c r="AP54" s="484">
        <f t="shared" si="22"/>
        <v>0</v>
      </c>
      <c r="AQ54" s="485">
        <f t="shared" si="23"/>
        <v>0</v>
      </c>
      <c r="AR54" s="471">
        <f t="shared" si="24"/>
        <v>0</v>
      </c>
      <c r="AS54" s="475">
        <f t="shared" si="25"/>
        <v>3.5000000000000003E-2</v>
      </c>
      <c r="AT54" s="471">
        <f t="shared" si="51"/>
        <v>0</v>
      </c>
      <c r="AU54" s="471">
        <f t="shared" si="26"/>
        <v>0</v>
      </c>
      <c r="AV54" s="476">
        <f t="shared" si="27"/>
        <v>0</v>
      </c>
      <c r="AW54" s="484">
        <f t="shared" si="28"/>
        <v>0</v>
      </c>
      <c r="AX54" s="474">
        <f t="shared" si="29"/>
        <v>0</v>
      </c>
      <c r="AY54" s="471">
        <f t="shared" si="30"/>
        <v>0</v>
      </c>
      <c r="AZ54" s="475">
        <f t="shared" si="31"/>
        <v>4.2500000000000003E-2</v>
      </c>
      <c r="BA54" s="471">
        <f t="shared" si="52"/>
        <v>0</v>
      </c>
      <c r="BB54" s="471">
        <f t="shared" si="32"/>
        <v>0</v>
      </c>
      <c r="BC54" s="476">
        <f t="shared" si="33"/>
        <v>0</v>
      </c>
      <c r="BD54" s="484">
        <f t="shared" si="34"/>
        <v>0</v>
      </c>
      <c r="BE54" s="474">
        <f t="shared" si="35"/>
        <v>0</v>
      </c>
      <c r="BF54" s="471">
        <f t="shared" si="36"/>
        <v>0</v>
      </c>
      <c r="BG54" s="475">
        <f t="shared" si="37"/>
        <v>0.05</v>
      </c>
      <c r="BH54" s="471">
        <f t="shared" si="53"/>
        <v>0</v>
      </c>
      <c r="BI54" s="471">
        <f t="shared" si="38"/>
        <v>0</v>
      </c>
      <c r="BJ54" s="473">
        <f t="shared" si="39"/>
        <v>0</v>
      </c>
      <c r="BK54" s="479">
        <f t="shared" ref="BK54:BL61" si="121">AC54+AJ54+AQ54+AX54+BE54</f>
        <v>0</v>
      </c>
      <c r="BL54" s="480">
        <f t="shared" si="121"/>
        <v>0</v>
      </c>
      <c r="BM54" s="480">
        <f t="shared" ref="BM54:BN61" si="122">BH54+BA54+AT54++AM54+AF54</f>
        <v>0</v>
      </c>
      <c r="BN54" s="480">
        <f t="shared" si="122"/>
        <v>0</v>
      </c>
      <c r="BO54" s="480">
        <f t="shared" si="42"/>
        <v>0</v>
      </c>
      <c r="BP54" s="480">
        <f t="shared" si="43"/>
        <v>0</v>
      </c>
      <c r="BQ54" s="480">
        <f t="shared" si="44"/>
        <v>0</v>
      </c>
      <c r="BR54" s="480">
        <f t="shared" si="45"/>
        <v>0</v>
      </c>
      <c r="BS54" s="480">
        <f t="shared" si="46"/>
        <v>0</v>
      </c>
      <c r="BT54" s="480">
        <f t="shared" si="47"/>
        <v>0</v>
      </c>
      <c r="BU54" s="480">
        <f t="shared" si="48"/>
        <v>0</v>
      </c>
      <c r="BV54" s="480">
        <f t="shared" si="49"/>
        <v>0</v>
      </c>
      <c r="BW54" s="41"/>
      <c r="BX54" s="39">
        <f t="shared" si="54"/>
        <v>0</v>
      </c>
      <c r="BY54" s="39">
        <f t="shared" si="55"/>
        <v>0</v>
      </c>
      <c r="BZ54" s="39">
        <f t="shared" si="56"/>
        <v>0</v>
      </c>
      <c r="CA54" s="40" t="s">
        <v>374</v>
      </c>
      <c r="CB54" s="40"/>
      <c r="CC54" s="40"/>
    </row>
    <row r="55" spans="1:81" ht="15" hidden="1">
      <c r="A55" s="453">
        <f t="shared" si="118"/>
        <v>46</v>
      </c>
      <c r="B55" s="454" t="s">
        <v>370</v>
      </c>
      <c r="C55" s="492" t="s">
        <v>423</v>
      </c>
      <c r="D55" s="456"/>
      <c r="E55" s="457" t="s">
        <v>372</v>
      </c>
      <c r="F55" s="458"/>
      <c r="G55" s="459">
        <v>5</v>
      </c>
      <c r="H55" s="460">
        <v>5</v>
      </c>
      <c r="I55" s="461" t="s">
        <v>373</v>
      </c>
      <c r="J55" s="462">
        <v>400000</v>
      </c>
      <c r="K55" s="463"/>
      <c r="L55" s="464">
        <v>0</v>
      </c>
      <c r="M55" s="466"/>
      <c r="N55" s="466"/>
      <c r="O55" s="466"/>
      <c r="P55" s="466"/>
      <c r="Q55" s="467">
        <f t="shared" si="6"/>
        <v>400000</v>
      </c>
      <c r="R55" s="483">
        <f t="shared" si="119"/>
        <v>412000</v>
      </c>
      <c r="S55" s="483">
        <f t="shared" si="119"/>
        <v>424360</v>
      </c>
      <c r="T55" s="483">
        <f t="shared" si="119"/>
        <v>437090.8</v>
      </c>
      <c r="U55" s="483">
        <f t="shared" si="119"/>
        <v>450203.52399999998</v>
      </c>
      <c r="V55" s="468">
        <f t="shared" si="120"/>
        <v>0</v>
      </c>
      <c r="W55" s="468">
        <f t="shared" si="120"/>
        <v>0</v>
      </c>
      <c r="X55" s="468">
        <f t="shared" si="120"/>
        <v>0</v>
      </c>
      <c r="Y55" s="468">
        <f t="shared" si="120"/>
        <v>0</v>
      </c>
      <c r="Z55" s="468">
        <f t="shared" si="120"/>
        <v>0</v>
      </c>
      <c r="AA55" s="469">
        <f t="shared" si="9"/>
        <v>0</v>
      </c>
      <c r="AB55" s="470">
        <f t="shared" si="10"/>
        <v>0</v>
      </c>
      <c r="AC55" s="471">
        <f t="shared" si="11"/>
        <v>0</v>
      </c>
      <c r="AD55" s="471">
        <f t="shared" si="12"/>
        <v>0</v>
      </c>
      <c r="AE55" s="472">
        <v>0.03</v>
      </c>
      <c r="AF55" s="471">
        <f t="shared" si="13"/>
        <v>0</v>
      </c>
      <c r="AG55" s="471">
        <f t="shared" si="14"/>
        <v>0</v>
      </c>
      <c r="AH55" s="473">
        <f t="shared" si="15"/>
        <v>0</v>
      </c>
      <c r="AI55" s="484">
        <f t="shared" si="16"/>
        <v>0</v>
      </c>
      <c r="AJ55" s="474">
        <f t="shared" si="17"/>
        <v>0</v>
      </c>
      <c r="AK55" s="471">
        <f t="shared" si="18"/>
        <v>0</v>
      </c>
      <c r="AL55" s="475">
        <f t="shared" si="19"/>
        <v>3.7499999999999999E-2</v>
      </c>
      <c r="AM55" s="471">
        <f t="shared" si="50"/>
        <v>0</v>
      </c>
      <c r="AN55" s="471">
        <f t="shared" si="20"/>
        <v>0</v>
      </c>
      <c r="AO55" s="476">
        <f t="shared" si="21"/>
        <v>0</v>
      </c>
      <c r="AP55" s="484">
        <f t="shared" si="22"/>
        <v>0</v>
      </c>
      <c r="AQ55" s="485">
        <f t="shared" si="23"/>
        <v>0</v>
      </c>
      <c r="AR55" s="471">
        <f t="shared" si="24"/>
        <v>0</v>
      </c>
      <c r="AS55" s="475">
        <f t="shared" si="25"/>
        <v>4.4999999999999998E-2</v>
      </c>
      <c r="AT55" s="471">
        <f t="shared" si="51"/>
        <v>0</v>
      </c>
      <c r="AU55" s="471">
        <f t="shared" si="26"/>
        <v>0</v>
      </c>
      <c r="AV55" s="476">
        <f t="shared" si="27"/>
        <v>0</v>
      </c>
      <c r="AW55" s="484">
        <f t="shared" si="28"/>
        <v>0</v>
      </c>
      <c r="AX55" s="474">
        <f t="shared" si="29"/>
        <v>0</v>
      </c>
      <c r="AY55" s="471">
        <f t="shared" si="30"/>
        <v>0</v>
      </c>
      <c r="AZ55" s="475">
        <f t="shared" si="31"/>
        <v>5.2499999999999998E-2</v>
      </c>
      <c r="BA55" s="471">
        <f t="shared" si="52"/>
        <v>0</v>
      </c>
      <c r="BB55" s="471">
        <f t="shared" si="32"/>
        <v>0</v>
      </c>
      <c r="BC55" s="476">
        <f t="shared" si="33"/>
        <v>0</v>
      </c>
      <c r="BD55" s="484">
        <f t="shared" si="34"/>
        <v>0</v>
      </c>
      <c r="BE55" s="474">
        <f t="shared" si="35"/>
        <v>0</v>
      </c>
      <c r="BF55" s="471">
        <f t="shared" si="36"/>
        <v>0</v>
      </c>
      <c r="BG55" s="475">
        <f t="shared" si="37"/>
        <v>0.06</v>
      </c>
      <c r="BH55" s="471">
        <f t="shared" si="53"/>
        <v>0</v>
      </c>
      <c r="BI55" s="471">
        <f t="shared" si="38"/>
        <v>0</v>
      </c>
      <c r="BJ55" s="473">
        <f t="shared" si="39"/>
        <v>0</v>
      </c>
      <c r="BK55" s="479">
        <f t="shared" si="121"/>
        <v>0</v>
      </c>
      <c r="BL55" s="480">
        <f t="shared" si="121"/>
        <v>0</v>
      </c>
      <c r="BM55" s="480">
        <f t="shared" si="122"/>
        <v>0</v>
      </c>
      <c r="BN55" s="480">
        <f t="shared" si="122"/>
        <v>0</v>
      </c>
      <c r="BO55" s="480">
        <f t="shared" si="42"/>
        <v>0</v>
      </c>
      <c r="BP55" s="480">
        <f t="shared" si="43"/>
        <v>0</v>
      </c>
      <c r="BQ55" s="480">
        <f t="shared" si="44"/>
        <v>0</v>
      </c>
      <c r="BR55" s="480">
        <f t="shared" si="45"/>
        <v>0</v>
      </c>
      <c r="BS55" s="480">
        <f t="shared" si="46"/>
        <v>0</v>
      </c>
      <c r="BT55" s="480">
        <f t="shared" si="47"/>
        <v>0</v>
      </c>
      <c r="BU55" s="480">
        <f t="shared" si="48"/>
        <v>0</v>
      </c>
      <c r="BV55" s="480">
        <f t="shared" si="49"/>
        <v>0</v>
      </c>
      <c r="BW55" s="41"/>
      <c r="BX55" s="39">
        <f t="shared" si="54"/>
        <v>0</v>
      </c>
      <c r="BY55" s="39">
        <f t="shared" si="55"/>
        <v>0</v>
      </c>
      <c r="BZ55" s="39">
        <f t="shared" si="56"/>
        <v>0</v>
      </c>
      <c r="CA55" s="40" t="s">
        <v>374</v>
      </c>
      <c r="CB55" s="40"/>
      <c r="CC55" s="40"/>
    </row>
    <row r="56" spans="1:81" ht="15" hidden="1">
      <c r="A56" s="453">
        <f t="shared" si="118"/>
        <v>47</v>
      </c>
      <c r="B56" s="454" t="s">
        <v>370</v>
      </c>
      <c r="C56" s="505" t="s">
        <v>424</v>
      </c>
      <c r="D56" s="456"/>
      <c r="E56" s="457" t="s">
        <v>372</v>
      </c>
      <c r="F56" s="458"/>
      <c r="G56" s="459">
        <v>5</v>
      </c>
      <c r="H56" s="460">
        <v>5</v>
      </c>
      <c r="I56" s="461" t="s">
        <v>373</v>
      </c>
      <c r="J56" s="462">
        <v>510000</v>
      </c>
      <c r="K56" s="463"/>
      <c r="L56" s="464">
        <v>0</v>
      </c>
      <c r="M56" s="466"/>
      <c r="N56" s="466"/>
      <c r="O56" s="466"/>
      <c r="P56" s="466"/>
      <c r="Q56" s="467">
        <f t="shared" si="6"/>
        <v>510000</v>
      </c>
      <c r="R56" s="483">
        <f t="shared" si="119"/>
        <v>525300</v>
      </c>
      <c r="S56" s="483">
        <f t="shared" si="119"/>
        <v>541059</v>
      </c>
      <c r="T56" s="483">
        <f t="shared" si="119"/>
        <v>557290.77</v>
      </c>
      <c r="U56" s="483">
        <f t="shared" si="119"/>
        <v>574009.49309999996</v>
      </c>
      <c r="V56" s="468">
        <f t="shared" si="120"/>
        <v>0</v>
      </c>
      <c r="W56" s="468">
        <f t="shared" si="120"/>
        <v>0</v>
      </c>
      <c r="X56" s="468">
        <f t="shared" si="120"/>
        <v>0</v>
      </c>
      <c r="Y56" s="468">
        <f t="shared" si="120"/>
        <v>0</v>
      </c>
      <c r="Z56" s="468">
        <f t="shared" si="120"/>
        <v>0</v>
      </c>
      <c r="AA56" s="469">
        <f t="shared" si="9"/>
        <v>0</v>
      </c>
      <c r="AB56" s="470">
        <f t="shared" si="10"/>
        <v>0</v>
      </c>
      <c r="AC56" s="471">
        <f t="shared" si="11"/>
        <v>0</v>
      </c>
      <c r="AD56" s="471">
        <f t="shared" si="12"/>
        <v>0</v>
      </c>
      <c r="AE56" s="472">
        <v>0.03</v>
      </c>
      <c r="AF56" s="471">
        <f t="shared" si="13"/>
        <v>0</v>
      </c>
      <c r="AG56" s="471">
        <f t="shared" si="14"/>
        <v>0</v>
      </c>
      <c r="AH56" s="473">
        <f t="shared" si="15"/>
        <v>0</v>
      </c>
      <c r="AI56" s="484">
        <f t="shared" si="16"/>
        <v>0</v>
      </c>
      <c r="AJ56" s="474">
        <f t="shared" si="17"/>
        <v>0</v>
      </c>
      <c r="AK56" s="471">
        <f t="shared" si="18"/>
        <v>0</v>
      </c>
      <c r="AL56" s="475">
        <f t="shared" si="19"/>
        <v>3.7499999999999999E-2</v>
      </c>
      <c r="AM56" s="471">
        <f t="shared" si="50"/>
        <v>0</v>
      </c>
      <c r="AN56" s="471">
        <f t="shared" si="20"/>
        <v>0</v>
      </c>
      <c r="AO56" s="476">
        <f t="shared" si="21"/>
        <v>0</v>
      </c>
      <c r="AP56" s="484">
        <f t="shared" si="22"/>
        <v>0</v>
      </c>
      <c r="AQ56" s="485">
        <f t="shared" si="23"/>
        <v>0</v>
      </c>
      <c r="AR56" s="471">
        <f t="shared" si="24"/>
        <v>0</v>
      </c>
      <c r="AS56" s="475">
        <f t="shared" si="25"/>
        <v>4.4999999999999998E-2</v>
      </c>
      <c r="AT56" s="471">
        <f t="shared" si="51"/>
        <v>0</v>
      </c>
      <c r="AU56" s="471">
        <f t="shared" si="26"/>
        <v>0</v>
      </c>
      <c r="AV56" s="476">
        <f t="shared" si="27"/>
        <v>0</v>
      </c>
      <c r="AW56" s="484">
        <f t="shared" si="28"/>
        <v>0</v>
      </c>
      <c r="AX56" s="474">
        <f t="shared" si="29"/>
        <v>0</v>
      </c>
      <c r="AY56" s="471">
        <f t="shared" si="30"/>
        <v>0</v>
      </c>
      <c r="AZ56" s="475">
        <f t="shared" si="31"/>
        <v>5.2499999999999998E-2</v>
      </c>
      <c r="BA56" s="471">
        <f t="shared" si="52"/>
        <v>0</v>
      </c>
      <c r="BB56" s="471">
        <f t="shared" si="32"/>
        <v>0</v>
      </c>
      <c r="BC56" s="476">
        <f t="shared" si="33"/>
        <v>0</v>
      </c>
      <c r="BD56" s="484">
        <f t="shared" si="34"/>
        <v>0</v>
      </c>
      <c r="BE56" s="474">
        <f t="shared" si="35"/>
        <v>0</v>
      </c>
      <c r="BF56" s="471">
        <f t="shared" si="36"/>
        <v>0</v>
      </c>
      <c r="BG56" s="475">
        <f t="shared" si="37"/>
        <v>0.06</v>
      </c>
      <c r="BH56" s="471">
        <f t="shared" si="53"/>
        <v>0</v>
      </c>
      <c r="BI56" s="471">
        <f t="shared" si="38"/>
        <v>0</v>
      </c>
      <c r="BJ56" s="473">
        <f t="shared" si="39"/>
        <v>0</v>
      </c>
      <c r="BK56" s="479">
        <f t="shared" si="121"/>
        <v>0</v>
      </c>
      <c r="BL56" s="480">
        <f t="shared" si="121"/>
        <v>0</v>
      </c>
      <c r="BM56" s="480">
        <f t="shared" si="122"/>
        <v>0</v>
      </c>
      <c r="BN56" s="480">
        <f t="shared" si="122"/>
        <v>0</v>
      </c>
      <c r="BO56" s="480">
        <f t="shared" si="42"/>
        <v>0</v>
      </c>
      <c r="BP56" s="480">
        <f t="shared" si="43"/>
        <v>0</v>
      </c>
      <c r="BQ56" s="480">
        <f t="shared" si="44"/>
        <v>0</v>
      </c>
      <c r="BR56" s="480">
        <f t="shared" si="45"/>
        <v>0</v>
      </c>
      <c r="BS56" s="480">
        <f t="shared" si="46"/>
        <v>0</v>
      </c>
      <c r="BT56" s="480">
        <f t="shared" si="47"/>
        <v>0</v>
      </c>
      <c r="BU56" s="480">
        <f t="shared" si="48"/>
        <v>0</v>
      </c>
      <c r="BV56" s="480">
        <f t="shared" si="49"/>
        <v>0</v>
      </c>
      <c r="BW56" s="41"/>
      <c r="BX56" s="39">
        <f t="shared" si="54"/>
        <v>0</v>
      </c>
      <c r="BY56" s="39">
        <f t="shared" si="55"/>
        <v>0</v>
      </c>
      <c r="BZ56" s="39">
        <f t="shared" si="56"/>
        <v>0</v>
      </c>
      <c r="CA56" s="40" t="s">
        <v>374</v>
      </c>
      <c r="CB56" s="40"/>
      <c r="CC56" s="40"/>
    </row>
    <row r="57" spans="1:81" ht="15" hidden="1">
      <c r="A57" s="453">
        <f t="shared" si="118"/>
        <v>48</v>
      </c>
      <c r="B57" s="454" t="s">
        <v>370</v>
      </c>
      <c r="C57" s="492" t="s">
        <v>425</v>
      </c>
      <c r="D57" s="456"/>
      <c r="E57" s="457" t="s">
        <v>372</v>
      </c>
      <c r="F57" s="458"/>
      <c r="G57" s="459">
        <v>5</v>
      </c>
      <c r="H57" s="460">
        <v>5</v>
      </c>
      <c r="I57" s="461" t="s">
        <v>373</v>
      </c>
      <c r="J57" s="462">
        <f>490000+125000</f>
        <v>615000</v>
      </c>
      <c r="K57" s="463"/>
      <c r="L57" s="464">
        <v>0</v>
      </c>
      <c r="M57" s="466"/>
      <c r="N57" s="466"/>
      <c r="O57" s="466"/>
      <c r="P57" s="466"/>
      <c r="Q57" s="467">
        <f t="shared" si="6"/>
        <v>615000</v>
      </c>
      <c r="R57" s="483">
        <f t="shared" si="119"/>
        <v>633450</v>
      </c>
      <c r="S57" s="483">
        <f t="shared" si="119"/>
        <v>652453.5</v>
      </c>
      <c r="T57" s="483">
        <f t="shared" si="119"/>
        <v>672027.10499999998</v>
      </c>
      <c r="U57" s="483">
        <f t="shared" si="119"/>
        <v>692187.91814999992</v>
      </c>
      <c r="V57" s="468">
        <f t="shared" si="120"/>
        <v>0</v>
      </c>
      <c r="W57" s="468">
        <f t="shared" si="120"/>
        <v>0</v>
      </c>
      <c r="X57" s="468">
        <f t="shared" si="120"/>
        <v>0</v>
      </c>
      <c r="Y57" s="468">
        <f t="shared" si="120"/>
        <v>0</v>
      </c>
      <c r="Z57" s="468">
        <f t="shared" si="120"/>
        <v>0</v>
      </c>
      <c r="AA57" s="469">
        <f t="shared" si="9"/>
        <v>0</v>
      </c>
      <c r="AB57" s="470">
        <f t="shared" si="10"/>
        <v>0</v>
      </c>
      <c r="AC57" s="471">
        <f t="shared" si="11"/>
        <v>0</v>
      </c>
      <c r="AD57" s="471">
        <f t="shared" si="12"/>
        <v>0</v>
      </c>
      <c r="AE57" s="472">
        <v>0.03</v>
      </c>
      <c r="AF57" s="471">
        <f t="shared" si="13"/>
        <v>0</v>
      </c>
      <c r="AG57" s="471">
        <f t="shared" si="14"/>
        <v>0</v>
      </c>
      <c r="AH57" s="473">
        <f t="shared" si="15"/>
        <v>0</v>
      </c>
      <c r="AI57" s="484">
        <f t="shared" si="16"/>
        <v>0</v>
      </c>
      <c r="AJ57" s="474">
        <f t="shared" si="17"/>
        <v>0</v>
      </c>
      <c r="AK57" s="471">
        <f t="shared" si="18"/>
        <v>0</v>
      </c>
      <c r="AL57" s="475">
        <f t="shared" si="19"/>
        <v>3.7499999999999999E-2</v>
      </c>
      <c r="AM57" s="471">
        <f t="shared" si="50"/>
        <v>0</v>
      </c>
      <c r="AN57" s="471">
        <f t="shared" si="20"/>
        <v>0</v>
      </c>
      <c r="AO57" s="476">
        <f t="shared" si="21"/>
        <v>0</v>
      </c>
      <c r="AP57" s="484">
        <f t="shared" si="22"/>
        <v>0</v>
      </c>
      <c r="AQ57" s="485">
        <f t="shared" si="23"/>
        <v>0</v>
      </c>
      <c r="AR57" s="471">
        <f t="shared" si="24"/>
        <v>0</v>
      </c>
      <c r="AS57" s="475">
        <f t="shared" si="25"/>
        <v>4.4999999999999998E-2</v>
      </c>
      <c r="AT57" s="471">
        <f t="shared" si="51"/>
        <v>0</v>
      </c>
      <c r="AU57" s="471">
        <f t="shared" si="26"/>
        <v>0</v>
      </c>
      <c r="AV57" s="476">
        <f t="shared" si="27"/>
        <v>0</v>
      </c>
      <c r="AW57" s="484">
        <f t="shared" si="28"/>
        <v>0</v>
      </c>
      <c r="AX57" s="474">
        <f t="shared" si="29"/>
        <v>0</v>
      </c>
      <c r="AY57" s="471">
        <f t="shared" si="30"/>
        <v>0</v>
      </c>
      <c r="AZ57" s="475">
        <f t="shared" si="31"/>
        <v>5.2499999999999998E-2</v>
      </c>
      <c r="BA57" s="471">
        <f t="shared" si="52"/>
        <v>0</v>
      </c>
      <c r="BB57" s="471">
        <f t="shared" si="32"/>
        <v>0</v>
      </c>
      <c r="BC57" s="476">
        <f t="shared" si="33"/>
        <v>0</v>
      </c>
      <c r="BD57" s="484">
        <f t="shared" si="34"/>
        <v>0</v>
      </c>
      <c r="BE57" s="474">
        <f t="shared" si="35"/>
        <v>0</v>
      </c>
      <c r="BF57" s="471">
        <f t="shared" si="36"/>
        <v>0</v>
      </c>
      <c r="BG57" s="475">
        <f t="shared" si="37"/>
        <v>0.06</v>
      </c>
      <c r="BH57" s="471">
        <f t="shared" si="53"/>
        <v>0</v>
      </c>
      <c r="BI57" s="471">
        <f t="shared" si="38"/>
        <v>0</v>
      </c>
      <c r="BJ57" s="473">
        <f t="shared" si="39"/>
        <v>0</v>
      </c>
      <c r="BK57" s="479">
        <f t="shared" si="121"/>
        <v>0</v>
      </c>
      <c r="BL57" s="480">
        <f t="shared" si="121"/>
        <v>0</v>
      </c>
      <c r="BM57" s="480">
        <f t="shared" si="122"/>
        <v>0</v>
      </c>
      <c r="BN57" s="480">
        <f t="shared" si="122"/>
        <v>0</v>
      </c>
      <c r="BO57" s="480">
        <f t="shared" si="42"/>
        <v>0</v>
      </c>
      <c r="BP57" s="480">
        <f t="shared" si="43"/>
        <v>0</v>
      </c>
      <c r="BQ57" s="480">
        <f t="shared" si="44"/>
        <v>0</v>
      </c>
      <c r="BR57" s="480">
        <f t="shared" si="45"/>
        <v>0</v>
      </c>
      <c r="BS57" s="480">
        <f t="shared" si="46"/>
        <v>0</v>
      </c>
      <c r="BT57" s="480">
        <f t="shared" si="47"/>
        <v>0</v>
      </c>
      <c r="BU57" s="480">
        <f t="shared" si="48"/>
        <v>0</v>
      </c>
      <c r="BV57" s="480">
        <f t="shared" si="49"/>
        <v>0</v>
      </c>
      <c r="BW57" s="41"/>
      <c r="BX57" s="39">
        <f t="shared" si="54"/>
        <v>0</v>
      </c>
      <c r="BY57" s="39">
        <f t="shared" si="55"/>
        <v>0</v>
      </c>
      <c r="BZ57" s="39">
        <f t="shared" si="56"/>
        <v>0</v>
      </c>
      <c r="CA57" s="40" t="s">
        <v>374</v>
      </c>
      <c r="CB57" s="40"/>
      <c r="CC57" s="40"/>
    </row>
    <row r="58" spans="1:81" ht="15" hidden="1">
      <c r="A58" s="453">
        <f t="shared" si="118"/>
        <v>49</v>
      </c>
      <c r="B58" s="454" t="s">
        <v>370</v>
      </c>
      <c r="C58" s="492" t="s">
        <v>426</v>
      </c>
      <c r="D58" s="456"/>
      <c r="E58" s="457" t="s">
        <v>372</v>
      </c>
      <c r="F58" s="458"/>
      <c r="G58" s="459">
        <v>5</v>
      </c>
      <c r="H58" s="460">
        <v>5</v>
      </c>
      <c r="I58" s="461" t="s">
        <v>373</v>
      </c>
      <c r="J58" s="462">
        <f>490000+150000</f>
        <v>640000</v>
      </c>
      <c r="K58" s="463"/>
      <c r="L58" s="464">
        <v>0</v>
      </c>
      <c r="M58" s="466"/>
      <c r="N58" s="466"/>
      <c r="O58" s="466"/>
      <c r="P58" s="466"/>
      <c r="Q58" s="467">
        <f t="shared" si="6"/>
        <v>640000</v>
      </c>
      <c r="R58" s="483">
        <f t="shared" si="119"/>
        <v>659200</v>
      </c>
      <c r="S58" s="483">
        <f t="shared" si="119"/>
        <v>678976</v>
      </c>
      <c r="T58" s="483">
        <f t="shared" si="119"/>
        <v>699345.28</v>
      </c>
      <c r="U58" s="483">
        <f t="shared" si="119"/>
        <v>720325.63840000005</v>
      </c>
      <c r="V58" s="468">
        <f t="shared" si="120"/>
        <v>0</v>
      </c>
      <c r="W58" s="468">
        <f t="shared" si="120"/>
        <v>0</v>
      </c>
      <c r="X58" s="468">
        <f t="shared" si="120"/>
        <v>0</v>
      </c>
      <c r="Y58" s="468">
        <f t="shared" si="120"/>
        <v>0</v>
      </c>
      <c r="Z58" s="468">
        <f t="shared" si="120"/>
        <v>0</v>
      </c>
      <c r="AA58" s="469">
        <f t="shared" si="9"/>
        <v>0</v>
      </c>
      <c r="AB58" s="470">
        <f t="shared" si="10"/>
        <v>0</v>
      </c>
      <c r="AC58" s="471">
        <f t="shared" si="11"/>
        <v>0</v>
      </c>
      <c r="AD58" s="471">
        <f t="shared" si="12"/>
        <v>0</v>
      </c>
      <c r="AE58" s="472">
        <v>0.03</v>
      </c>
      <c r="AF58" s="471">
        <f t="shared" si="13"/>
        <v>0</v>
      </c>
      <c r="AG58" s="471">
        <f t="shared" si="14"/>
        <v>0</v>
      </c>
      <c r="AH58" s="473">
        <f t="shared" si="15"/>
        <v>0</v>
      </c>
      <c r="AI58" s="484">
        <f t="shared" si="16"/>
        <v>0</v>
      </c>
      <c r="AJ58" s="474">
        <f t="shared" si="17"/>
        <v>0</v>
      </c>
      <c r="AK58" s="471">
        <f t="shared" si="18"/>
        <v>0</v>
      </c>
      <c r="AL58" s="475">
        <f t="shared" si="19"/>
        <v>3.7499999999999999E-2</v>
      </c>
      <c r="AM58" s="471">
        <f t="shared" si="50"/>
        <v>0</v>
      </c>
      <c r="AN58" s="471">
        <f t="shared" si="20"/>
        <v>0</v>
      </c>
      <c r="AO58" s="476">
        <f t="shared" si="21"/>
        <v>0</v>
      </c>
      <c r="AP58" s="484">
        <f t="shared" si="22"/>
        <v>0</v>
      </c>
      <c r="AQ58" s="485">
        <f t="shared" si="23"/>
        <v>0</v>
      </c>
      <c r="AR58" s="471">
        <f t="shared" si="24"/>
        <v>0</v>
      </c>
      <c r="AS58" s="475">
        <f t="shared" si="25"/>
        <v>4.4999999999999998E-2</v>
      </c>
      <c r="AT58" s="471">
        <f t="shared" si="51"/>
        <v>0</v>
      </c>
      <c r="AU58" s="471">
        <f t="shared" si="26"/>
        <v>0</v>
      </c>
      <c r="AV58" s="476">
        <f t="shared" si="27"/>
        <v>0</v>
      </c>
      <c r="AW58" s="484">
        <f t="shared" si="28"/>
        <v>0</v>
      </c>
      <c r="AX58" s="474">
        <f t="shared" si="29"/>
        <v>0</v>
      </c>
      <c r="AY58" s="471">
        <f t="shared" si="30"/>
        <v>0</v>
      </c>
      <c r="AZ58" s="475">
        <f t="shared" si="31"/>
        <v>5.2499999999999998E-2</v>
      </c>
      <c r="BA58" s="471">
        <f t="shared" si="52"/>
        <v>0</v>
      </c>
      <c r="BB58" s="471">
        <f t="shared" si="32"/>
        <v>0</v>
      </c>
      <c r="BC58" s="476">
        <f t="shared" si="33"/>
        <v>0</v>
      </c>
      <c r="BD58" s="484">
        <f t="shared" si="34"/>
        <v>0</v>
      </c>
      <c r="BE58" s="474">
        <f t="shared" si="35"/>
        <v>0</v>
      </c>
      <c r="BF58" s="471">
        <f t="shared" si="36"/>
        <v>0</v>
      </c>
      <c r="BG58" s="475">
        <f t="shared" si="37"/>
        <v>0.06</v>
      </c>
      <c r="BH58" s="471">
        <f t="shared" si="53"/>
        <v>0</v>
      </c>
      <c r="BI58" s="471">
        <f t="shared" si="38"/>
        <v>0</v>
      </c>
      <c r="BJ58" s="473">
        <f t="shared" si="39"/>
        <v>0</v>
      </c>
      <c r="BK58" s="479">
        <f t="shared" si="121"/>
        <v>0</v>
      </c>
      <c r="BL58" s="480">
        <f t="shared" si="121"/>
        <v>0</v>
      </c>
      <c r="BM58" s="480">
        <f t="shared" si="122"/>
        <v>0</v>
      </c>
      <c r="BN58" s="480">
        <f t="shared" si="122"/>
        <v>0</v>
      </c>
      <c r="BO58" s="480">
        <f t="shared" si="42"/>
        <v>0</v>
      </c>
      <c r="BP58" s="480">
        <f t="shared" si="43"/>
        <v>0</v>
      </c>
      <c r="BQ58" s="480">
        <f t="shared" si="44"/>
        <v>0</v>
      </c>
      <c r="BR58" s="480">
        <f t="shared" si="45"/>
        <v>0</v>
      </c>
      <c r="BS58" s="480">
        <f t="shared" si="46"/>
        <v>0</v>
      </c>
      <c r="BT58" s="480">
        <f t="shared" si="47"/>
        <v>0</v>
      </c>
      <c r="BU58" s="480">
        <f t="shared" si="48"/>
        <v>0</v>
      </c>
      <c r="BV58" s="480">
        <f t="shared" si="49"/>
        <v>0</v>
      </c>
      <c r="BW58" s="41"/>
      <c r="BX58" s="39">
        <f t="shared" si="54"/>
        <v>0</v>
      </c>
      <c r="BY58" s="39">
        <f t="shared" si="55"/>
        <v>0</v>
      </c>
      <c r="BZ58" s="39">
        <f t="shared" si="56"/>
        <v>0</v>
      </c>
      <c r="CA58" s="40" t="s">
        <v>374</v>
      </c>
      <c r="CB58" s="40"/>
      <c r="CC58" s="40"/>
    </row>
    <row r="59" spans="1:81" ht="15" hidden="1">
      <c r="A59" s="453">
        <f t="shared" si="118"/>
        <v>50</v>
      </c>
      <c r="B59" s="454" t="s">
        <v>370</v>
      </c>
      <c r="C59" s="492" t="s">
        <v>427</v>
      </c>
      <c r="D59" s="456"/>
      <c r="E59" s="457" t="s">
        <v>372</v>
      </c>
      <c r="F59" s="458"/>
      <c r="G59" s="459">
        <v>5</v>
      </c>
      <c r="H59" s="460">
        <v>5</v>
      </c>
      <c r="I59" s="461" t="s">
        <v>373</v>
      </c>
      <c r="J59" s="462">
        <f>560000+150000</f>
        <v>710000</v>
      </c>
      <c r="K59" s="463"/>
      <c r="L59" s="464">
        <v>0</v>
      </c>
      <c r="M59" s="466"/>
      <c r="N59" s="466"/>
      <c r="O59" s="466"/>
      <c r="P59" s="466"/>
      <c r="Q59" s="467">
        <f t="shared" si="6"/>
        <v>710000</v>
      </c>
      <c r="R59" s="483">
        <f t="shared" si="119"/>
        <v>731300</v>
      </c>
      <c r="S59" s="483">
        <f t="shared" si="119"/>
        <v>753239</v>
      </c>
      <c r="T59" s="483">
        <f t="shared" si="119"/>
        <v>775836.17</v>
      </c>
      <c r="U59" s="483">
        <f t="shared" si="119"/>
        <v>799111.25510000007</v>
      </c>
      <c r="V59" s="468">
        <f t="shared" si="120"/>
        <v>0</v>
      </c>
      <c r="W59" s="468">
        <f t="shared" si="120"/>
        <v>0</v>
      </c>
      <c r="X59" s="468">
        <f t="shared" si="120"/>
        <v>0</v>
      </c>
      <c r="Y59" s="468">
        <f t="shared" si="120"/>
        <v>0</v>
      </c>
      <c r="Z59" s="468">
        <f t="shared" si="120"/>
        <v>0</v>
      </c>
      <c r="AA59" s="469">
        <f t="shared" si="9"/>
        <v>0</v>
      </c>
      <c r="AB59" s="470">
        <f t="shared" si="10"/>
        <v>0</v>
      </c>
      <c r="AC59" s="471">
        <f t="shared" si="11"/>
        <v>0</v>
      </c>
      <c r="AD59" s="471">
        <f t="shared" si="12"/>
        <v>0</v>
      </c>
      <c r="AE59" s="472">
        <v>0.03</v>
      </c>
      <c r="AF59" s="471">
        <f t="shared" si="13"/>
        <v>0</v>
      </c>
      <c r="AG59" s="471">
        <f t="shared" si="14"/>
        <v>0</v>
      </c>
      <c r="AH59" s="473">
        <f t="shared" si="15"/>
        <v>0</v>
      </c>
      <c r="AI59" s="484">
        <f t="shared" si="16"/>
        <v>0</v>
      </c>
      <c r="AJ59" s="474">
        <f t="shared" si="17"/>
        <v>0</v>
      </c>
      <c r="AK59" s="471">
        <f t="shared" si="18"/>
        <v>0</v>
      </c>
      <c r="AL59" s="475">
        <f t="shared" si="19"/>
        <v>3.7499999999999999E-2</v>
      </c>
      <c r="AM59" s="471">
        <f t="shared" si="50"/>
        <v>0</v>
      </c>
      <c r="AN59" s="471">
        <f t="shared" si="20"/>
        <v>0</v>
      </c>
      <c r="AO59" s="476">
        <f t="shared" si="21"/>
        <v>0</v>
      </c>
      <c r="AP59" s="484">
        <f t="shared" si="22"/>
        <v>0</v>
      </c>
      <c r="AQ59" s="485">
        <f t="shared" si="23"/>
        <v>0</v>
      </c>
      <c r="AR59" s="471">
        <f t="shared" si="24"/>
        <v>0</v>
      </c>
      <c r="AS59" s="475">
        <f t="shared" si="25"/>
        <v>4.4999999999999998E-2</v>
      </c>
      <c r="AT59" s="471">
        <f t="shared" si="51"/>
        <v>0</v>
      </c>
      <c r="AU59" s="471">
        <f t="shared" si="26"/>
        <v>0</v>
      </c>
      <c r="AV59" s="476">
        <f t="shared" si="27"/>
        <v>0</v>
      </c>
      <c r="AW59" s="484">
        <f t="shared" si="28"/>
        <v>0</v>
      </c>
      <c r="AX59" s="474">
        <f t="shared" si="29"/>
        <v>0</v>
      </c>
      <c r="AY59" s="471">
        <f t="shared" si="30"/>
        <v>0</v>
      </c>
      <c r="AZ59" s="475">
        <f t="shared" si="31"/>
        <v>5.2499999999999998E-2</v>
      </c>
      <c r="BA59" s="471">
        <f t="shared" si="52"/>
        <v>0</v>
      </c>
      <c r="BB59" s="471">
        <f t="shared" si="32"/>
        <v>0</v>
      </c>
      <c r="BC59" s="476">
        <f t="shared" si="33"/>
        <v>0</v>
      </c>
      <c r="BD59" s="484">
        <f t="shared" si="34"/>
        <v>0</v>
      </c>
      <c r="BE59" s="474">
        <f t="shared" si="35"/>
        <v>0</v>
      </c>
      <c r="BF59" s="471">
        <f t="shared" si="36"/>
        <v>0</v>
      </c>
      <c r="BG59" s="475">
        <f t="shared" si="37"/>
        <v>0.06</v>
      </c>
      <c r="BH59" s="471">
        <f t="shared" si="53"/>
        <v>0</v>
      </c>
      <c r="BI59" s="471">
        <f t="shared" si="38"/>
        <v>0</v>
      </c>
      <c r="BJ59" s="473">
        <f t="shared" si="39"/>
        <v>0</v>
      </c>
      <c r="BK59" s="479">
        <f t="shared" si="121"/>
        <v>0</v>
      </c>
      <c r="BL59" s="480">
        <f t="shared" si="121"/>
        <v>0</v>
      </c>
      <c r="BM59" s="480">
        <f t="shared" si="122"/>
        <v>0</v>
      </c>
      <c r="BN59" s="480">
        <f t="shared" si="122"/>
        <v>0</v>
      </c>
      <c r="BO59" s="480">
        <f t="shared" si="42"/>
        <v>0</v>
      </c>
      <c r="BP59" s="480">
        <f t="shared" si="43"/>
        <v>0</v>
      </c>
      <c r="BQ59" s="480">
        <f t="shared" si="44"/>
        <v>0</v>
      </c>
      <c r="BR59" s="480">
        <f t="shared" si="45"/>
        <v>0</v>
      </c>
      <c r="BS59" s="480">
        <f t="shared" si="46"/>
        <v>0</v>
      </c>
      <c r="BT59" s="480">
        <f t="shared" si="47"/>
        <v>0</v>
      </c>
      <c r="BU59" s="480">
        <f t="shared" si="48"/>
        <v>0</v>
      </c>
      <c r="BV59" s="480">
        <f t="shared" si="49"/>
        <v>0</v>
      </c>
      <c r="BW59" s="41"/>
      <c r="BX59" s="39">
        <f t="shared" si="54"/>
        <v>0</v>
      </c>
      <c r="BY59" s="39">
        <f t="shared" si="55"/>
        <v>0</v>
      </c>
      <c r="BZ59" s="39">
        <f t="shared" si="56"/>
        <v>0</v>
      </c>
      <c r="CA59" s="40" t="s">
        <v>374</v>
      </c>
      <c r="CB59" s="40"/>
      <c r="CC59" s="40"/>
    </row>
    <row r="60" spans="1:81" ht="15" hidden="1">
      <c r="A60" s="453">
        <f t="shared" si="118"/>
        <v>51</v>
      </c>
      <c r="B60" s="454" t="s">
        <v>370</v>
      </c>
      <c r="C60" s="492" t="s">
        <v>428</v>
      </c>
      <c r="D60" s="456"/>
      <c r="E60" s="457" t="s">
        <v>372</v>
      </c>
      <c r="F60" s="458"/>
      <c r="G60" s="459">
        <v>5</v>
      </c>
      <c r="H60" s="460">
        <v>5</v>
      </c>
      <c r="I60" s="461" t="s">
        <v>373</v>
      </c>
      <c r="J60" s="462">
        <v>1350000</v>
      </c>
      <c r="K60" s="463"/>
      <c r="L60" s="464">
        <v>0</v>
      </c>
      <c r="M60" s="466"/>
      <c r="N60" s="466"/>
      <c r="O60" s="466"/>
      <c r="P60" s="466"/>
      <c r="Q60" s="467">
        <f t="shared" si="6"/>
        <v>1350000</v>
      </c>
      <c r="R60" s="483">
        <f>Q60*R$3+Q60</f>
        <v>1390500</v>
      </c>
      <c r="S60" s="483">
        <f>R60*S$3+R60</f>
        <v>1432215</v>
      </c>
      <c r="T60" s="483">
        <f>S60*T$3+S60</f>
        <v>1475181.45</v>
      </c>
      <c r="U60" s="483">
        <f>T60*U$3+T60</f>
        <v>1519436.8935</v>
      </c>
      <c r="V60" s="468">
        <f>Q60*L60</f>
        <v>0</v>
      </c>
      <c r="W60" s="468">
        <f>R60*M60</f>
        <v>0</v>
      </c>
      <c r="X60" s="468">
        <f>S60*N60</f>
        <v>0</v>
      </c>
      <c r="Y60" s="468">
        <f>T60*O60</f>
        <v>0</v>
      </c>
      <c r="Z60" s="468">
        <f>U60*P60</f>
        <v>0</v>
      </c>
      <c r="AA60" s="469">
        <f t="shared" si="9"/>
        <v>0</v>
      </c>
      <c r="AB60" s="470">
        <f t="shared" si="10"/>
        <v>0</v>
      </c>
      <c r="AC60" s="471">
        <f t="shared" si="11"/>
        <v>0</v>
      </c>
      <c r="AD60" s="471">
        <f t="shared" si="12"/>
        <v>0</v>
      </c>
      <c r="AE60" s="472">
        <v>0.03</v>
      </c>
      <c r="AF60" s="471">
        <f t="shared" si="13"/>
        <v>0</v>
      </c>
      <c r="AG60" s="471">
        <f t="shared" si="14"/>
        <v>0</v>
      </c>
      <c r="AH60" s="473">
        <f t="shared" si="15"/>
        <v>0</v>
      </c>
      <c r="AI60" s="484">
        <f t="shared" si="16"/>
        <v>0</v>
      </c>
      <c r="AJ60" s="474">
        <f t="shared" si="17"/>
        <v>0</v>
      </c>
      <c r="AK60" s="471">
        <f t="shared" si="18"/>
        <v>0</v>
      </c>
      <c r="AL60" s="475">
        <f t="shared" si="19"/>
        <v>3.7499999999999999E-2</v>
      </c>
      <c r="AM60" s="471">
        <f t="shared" si="50"/>
        <v>0</v>
      </c>
      <c r="AN60" s="471">
        <f t="shared" si="20"/>
        <v>0</v>
      </c>
      <c r="AO60" s="476">
        <f t="shared" si="21"/>
        <v>0</v>
      </c>
      <c r="AP60" s="484">
        <f t="shared" si="22"/>
        <v>0</v>
      </c>
      <c r="AQ60" s="485">
        <f t="shared" si="23"/>
        <v>0</v>
      </c>
      <c r="AR60" s="471">
        <f t="shared" si="24"/>
        <v>0</v>
      </c>
      <c r="AS60" s="475">
        <f t="shared" si="25"/>
        <v>4.4999999999999998E-2</v>
      </c>
      <c r="AT60" s="471">
        <f t="shared" si="51"/>
        <v>0</v>
      </c>
      <c r="AU60" s="471">
        <f t="shared" si="26"/>
        <v>0</v>
      </c>
      <c r="AV60" s="476">
        <f t="shared" si="27"/>
        <v>0</v>
      </c>
      <c r="AW60" s="484">
        <f t="shared" si="28"/>
        <v>0</v>
      </c>
      <c r="AX60" s="474">
        <f t="shared" si="29"/>
        <v>0</v>
      </c>
      <c r="AY60" s="471">
        <f t="shared" si="30"/>
        <v>0</v>
      </c>
      <c r="AZ60" s="475">
        <f t="shared" si="31"/>
        <v>5.2499999999999998E-2</v>
      </c>
      <c r="BA60" s="471">
        <f t="shared" si="52"/>
        <v>0</v>
      </c>
      <c r="BB60" s="471">
        <f t="shared" si="32"/>
        <v>0</v>
      </c>
      <c r="BC60" s="476">
        <f t="shared" si="33"/>
        <v>0</v>
      </c>
      <c r="BD60" s="484">
        <f t="shared" si="34"/>
        <v>0</v>
      </c>
      <c r="BE60" s="474">
        <f t="shared" si="35"/>
        <v>0</v>
      </c>
      <c r="BF60" s="471">
        <f t="shared" si="36"/>
        <v>0</v>
      </c>
      <c r="BG60" s="475">
        <f t="shared" si="37"/>
        <v>0.06</v>
      </c>
      <c r="BH60" s="471">
        <f t="shared" si="53"/>
        <v>0</v>
      </c>
      <c r="BI60" s="471">
        <f t="shared" si="38"/>
        <v>0</v>
      </c>
      <c r="BJ60" s="473">
        <f t="shared" si="39"/>
        <v>0</v>
      </c>
      <c r="BK60" s="479">
        <f>AC60+AJ60+AQ60+AX60+BE60</f>
        <v>0</v>
      </c>
      <c r="BL60" s="480">
        <f>AD60+AK60+AR60+AY60+BF60</f>
        <v>0</v>
      </c>
      <c r="BM60" s="480">
        <f>BH60+BA60+AT60++AM60+AF60</f>
        <v>0</v>
      </c>
      <c r="BN60" s="480">
        <f>BI60+BB60+AU60++AN60+AG60</f>
        <v>0</v>
      </c>
      <c r="BO60" s="480">
        <f t="shared" si="42"/>
        <v>0</v>
      </c>
      <c r="BP60" s="480">
        <f t="shared" si="43"/>
        <v>0</v>
      </c>
      <c r="BQ60" s="480">
        <f t="shared" si="44"/>
        <v>0</v>
      </c>
      <c r="BR60" s="480">
        <f t="shared" si="45"/>
        <v>0</v>
      </c>
      <c r="BS60" s="480">
        <f t="shared" si="46"/>
        <v>0</v>
      </c>
      <c r="BT60" s="480">
        <f t="shared" si="47"/>
        <v>0</v>
      </c>
      <c r="BU60" s="480">
        <f t="shared" si="48"/>
        <v>0</v>
      </c>
      <c r="BV60" s="480">
        <f t="shared" si="49"/>
        <v>0</v>
      </c>
      <c r="BW60" s="41"/>
      <c r="BX60" s="39">
        <f t="shared" si="54"/>
        <v>0</v>
      </c>
      <c r="BY60" s="39">
        <f t="shared" si="55"/>
        <v>0</v>
      </c>
      <c r="BZ60" s="39">
        <f t="shared" si="56"/>
        <v>0</v>
      </c>
      <c r="CA60" s="40" t="s">
        <v>374</v>
      </c>
      <c r="CB60" s="40"/>
      <c r="CC60" s="40"/>
    </row>
    <row r="61" spans="1:81" ht="15">
      <c r="A61" s="453">
        <f t="shared" si="118"/>
        <v>52</v>
      </c>
      <c r="B61" s="454" t="s">
        <v>370</v>
      </c>
      <c r="C61" s="492" t="s">
        <v>429</v>
      </c>
      <c r="D61" s="456"/>
      <c r="E61" s="457" t="s">
        <v>381</v>
      </c>
      <c r="F61" s="458"/>
      <c r="G61" s="459">
        <v>5</v>
      </c>
      <c r="H61" s="460">
        <v>5</v>
      </c>
      <c r="I61" s="461" t="s">
        <v>373</v>
      </c>
      <c r="J61" s="462">
        <v>5500</v>
      </c>
      <c r="K61" s="463"/>
      <c r="L61" s="464">
        <f>ROUNDUP(L8/1500,0)</f>
        <v>49</v>
      </c>
      <c r="M61" s="465"/>
      <c r="N61" s="465"/>
      <c r="O61" s="465"/>
      <c r="P61" s="465"/>
      <c r="Q61" s="467">
        <f t="shared" si="6"/>
        <v>5500</v>
      </c>
      <c r="R61" s="483">
        <f t="shared" si="119"/>
        <v>5665</v>
      </c>
      <c r="S61" s="483">
        <f t="shared" si="119"/>
        <v>5834.95</v>
      </c>
      <c r="T61" s="483">
        <f t="shared" si="119"/>
        <v>6009.9984999999997</v>
      </c>
      <c r="U61" s="483">
        <f t="shared" si="119"/>
        <v>6190.2984550000001</v>
      </c>
      <c r="V61" s="468">
        <f t="shared" si="120"/>
        <v>269500</v>
      </c>
      <c r="W61" s="468">
        <f t="shared" si="120"/>
        <v>0</v>
      </c>
      <c r="X61" s="468">
        <f t="shared" si="120"/>
        <v>0</v>
      </c>
      <c r="Y61" s="468">
        <f t="shared" si="120"/>
        <v>0</v>
      </c>
      <c r="Z61" s="468">
        <f t="shared" si="120"/>
        <v>0</v>
      </c>
      <c r="AA61" s="469">
        <f t="shared" si="9"/>
        <v>269500</v>
      </c>
      <c r="AB61" s="470">
        <f t="shared" si="10"/>
        <v>79080.63265596432</v>
      </c>
      <c r="AC61" s="471">
        <f t="shared" si="11"/>
        <v>53900</v>
      </c>
      <c r="AD61" s="471">
        <f t="shared" si="12"/>
        <v>25180.632655964313</v>
      </c>
      <c r="AE61" s="472">
        <v>0.03</v>
      </c>
      <c r="AF61" s="471">
        <f t="shared" si="13"/>
        <v>8085</v>
      </c>
      <c r="AG61" s="471">
        <f t="shared" si="14"/>
        <v>673.75</v>
      </c>
      <c r="AH61" s="473">
        <f t="shared" si="15"/>
        <v>215600</v>
      </c>
      <c r="AI61" s="484">
        <f t="shared" si="16"/>
        <v>74044.506124771448</v>
      </c>
      <c r="AJ61" s="474">
        <f t="shared" si="17"/>
        <v>53900</v>
      </c>
      <c r="AK61" s="471">
        <f t="shared" si="18"/>
        <v>20144.506124771451</v>
      </c>
      <c r="AL61" s="475">
        <f t="shared" si="19"/>
        <v>3.7499999999999999E-2</v>
      </c>
      <c r="AM61" s="471">
        <f t="shared" si="50"/>
        <v>10106.25</v>
      </c>
      <c r="AN61" s="471">
        <f t="shared" si="20"/>
        <v>549.78000000000009</v>
      </c>
      <c r="AO61" s="476">
        <f t="shared" si="21"/>
        <v>161700</v>
      </c>
      <c r="AP61" s="484">
        <f t="shared" si="22"/>
        <v>69008.379593578589</v>
      </c>
      <c r="AQ61" s="485">
        <f t="shared" si="23"/>
        <v>53900</v>
      </c>
      <c r="AR61" s="471">
        <f t="shared" si="24"/>
        <v>15108.379593578591</v>
      </c>
      <c r="AS61" s="475">
        <f t="shared" si="25"/>
        <v>4.4999999999999998E-2</v>
      </c>
      <c r="AT61" s="471">
        <f t="shared" si="51"/>
        <v>12127.5</v>
      </c>
      <c r="AU61" s="471">
        <f t="shared" si="26"/>
        <v>420.58170000000001</v>
      </c>
      <c r="AV61" s="476">
        <f t="shared" si="27"/>
        <v>107800</v>
      </c>
      <c r="AW61" s="484">
        <f t="shared" si="28"/>
        <v>63972.253062385724</v>
      </c>
      <c r="AX61" s="474">
        <f t="shared" si="29"/>
        <v>53900</v>
      </c>
      <c r="AY61" s="471">
        <f t="shared" si="30"/>
        <v>10072.253062385726</v>
      </c>
      <c r="AZ61" s="475">
        <f t="shared" si="31"/>
        <v>5.2499999999999998E-2</v>
      </c>
      <c r="BA61" s="471">
        <f t="shared" si="52"/>
        <v>14148.75</v>
      </c>
      <c r="BB61" s="471">
        <f t="shared" si="32"/>
        <v>285.99555599999997</v>
      </c>
      <c r="BC61" s="476">
        <f t="shared" si="33"/>
        <v>53900</v>
      </c>
      <c r="BD61" s="484">
        <f t="shared" si="34"/>
        <v>58936.126531192866</v>
      </c>
      <c r="BE61" s="474">
        <f t="shared" si="35"/>
        <v>53900</v>
      </c>
      <c r="BF61" s="471">
        <f t="shared" si="36"/>
        <v>5036.1265311928628</v>
      </c>
      <c r="BG61" s="475">
        <f t="shared" si="37"/>
        <v>0.06</v>
      </c>
      <c r="BH61" s="471">
        <f t="shared" si="53"/>
        <v>16170</v>
      </c>
      <c r="BI61" s="471">
        <f t="shared" si="38"/>
        <v>145.85773356000001</v>
      </c>
      <c r="BJ61" s="473">
        <f t="shared" si="39"/>
        <v>0</v>
      </c>
      <c r="BK61" s="479">
        <f t="shared" si="121"/>
        <v>269500</v>
      </c>
      <c r="BL61" s="480">
        <f t="shared" si="121"/>
        <v>75541.897967892946</v>
      </c>
      <c r="BM61" s="480">
        <f t="shared" si="122"/>
        <v>60637.5</v>
      </c>
      <c r="BN61" s="480">
        <f t="shared" si="122"/>
        <v>2075.96498956</v>
      </c>
      <c r="BO61" s="480">
        <f t="shared" si="42"/>
        <v>345041.89796789293</v>
      </c>
      <c r="BP61" s="480">
        <f t="shared" si="43"/>
        <v>407755.36295745295</v>
      </c>
      <c r="BQ61" s="480">
        <f t="shared" si="44"/>
        <v>345041.89796789293</v>
      </c>
      <c r="BR61" s="480">
        <f t="shared" si="45"/>
        <v>0</v>
      </c>
      <c r="BS61" s="480">
        <f t="shared" si="46"/>
        <v>0</v>
      </c>
      <c r="BT61" s="480">
        <f t="shared" si="47"/>
        <v>0</v>
      </c>
      <c r="BU61" s="480">
        <f t="shared" si="48"/>
        <v>0</v>
      </c>
      <c r="BV61" s="480">
        <f t="shared" si="49"/>
        <v>0</v>
      </c>
      <c r="BW61" s="41"/>
      <c r="BX61" s="39">
        <f t="shared" si="54"/>
        <v>7319.9485546636934</v>
      </c>
      <c r="BY61" s="39">
        <f t="shared" si="55"/>
        <v>7058.3780103976205</v>
      </c>
      <c r="BZ61" s="39">
        <f t="shared" si="56"/>
        <v>6796.371774464882</v>
      </c>
      <c r="CA61" s="40" t="s">
        <v>374</v>
      </c>
      <c r="CB61" s="40"/>
      <c r="CC61" s="40"/>
    </row>
    <row r="62" spans="1:81" ht="15" hidden="1">
      <c r="A62" s="453">
        <f t="shared" si="118"/>
        <v>53</v>
      </c>
      <c r="B62" s="500" t="s">
        <v>198</v>
      </c>
      <c r="C62" s="492" t="s">
        <v>430</v>
      </c>
      <c r="D62" s="456"/>
      <c r="E62" s="457" t="s">
        <v>381</v>
      </c>
      <c r="F62" s="458"/>
      <c r="G62" s="459">
        <v>3</v>
      </c>
      <c r="H62" s="460">
        <v>3</v>
      </c>
      <c r="I62" s="461" t="s">
        <v>373</v>
      </c>
      <c r="J62" s="462">
        <v>15000</v>
      </c>
      <c r="K62" s="463"/>
      <c r="L62" s="506">
        <v>0</v>
      </c>
      <c r="M62" s="506"/>
      <c r="N62" s="506"/>
      <c r="O62" s="466"/>
      <c r="P62" s="466"/>
      <c r="Q62" s="467">
        <f t="shared" si="6"/>
        <v>15000</v>
      </c>
      <c r="R62" s="483">
        <f t="shared" si="119"/>
        <v>15450</v>
      </c>
      <c r="S62" s="483">
        <f t="shared" si="119"/>
        <v>15913.5</v>
      </c>
      <c r="T62" s="483">
        <f t="shared" si="119"/>
        <v>16390.904999999999</v>
      </c>
      <c r="U62" s="483">
        <f t="shared" si="119"/>
        <v>16882.632149999998</v>
      </c>
      <c r="V62" s="468">
        <f t="shared" si="120"/>
        <v>0</v>
      </c>
      <c r="W62" s="468">
        <f t="shared" si="120"/>
        <v>0</v>
      </c>
      <c r="X62" s="468">
        <f t="shared" si="120"/>
        <v>0</v>
      </c>
      <c r="Y62" s="468">
        <f t="shared" si="120"/>
        <v>0</v>
      </c>
      <c r="Z62" s="468">
        <f t="shared" si="120"/>
        <v>0</v>
      </c>
      <c r="AA62" s="469">
        <f t="shared" si="9"/>
        <v>0</v>
      </c>
      <c r="AB62" s="470">
        <f t="shared" si="10"/>
        <v>0</v>
      </c>
      <c r="AC62" s="471">
        <f t="shared" si="11"/>
        <v>0</v>
      </c>
      <c r="AD62" s="471">
        <f t="shared" si="12"/>
        <v>0</v>
      </c>
      <c r="AE62" s="472">
        <v>0.05</v>
      </c>
      <c r="AF62" s="471">
        <f t="shared" si="13"/>
        <v>0</v>
      </c>
      <c r="AG62" s="471">
        <f t="shared" si="14"/>
        <v>0</v>
      </c>
      <c r="AH62" s="473">
        <f t="shared" si="15"/>
        <v>0</v>
      </c>
      <c r="AI62" s="484">
        <f t="shared" si="16"/>
        <v>0</v>
      </c>
      <c r="AJ62" s="474">
        <f t="shared" si="17"/>
        <v>0</v>
      </c>
      <c r="AK62" s="471">
        <f t="shared" si="18"/>
        <v>0</v>
      </c>
      <c r="AL62" s="475">
        <f t="shared" si="19"/>
        <v>5.7500000000000002E-2</v>
      </c>
      <c r="AM62" s="471">
        <f t="shared" si="50"/>
        <v>0</v>
      </c>
      <c r="AN62" s="471">
        <f t="shared" si="20"/>
        <v>0</v>
      </c>
      <c r="AO62" s="476">
        <f t="shared" si="21"/>
        <v>0</v>
      </c>
      <c r="AP62" s="484">
        <f t="shared" si="22"/>
        <v>0</v>
      </c>
      <c r="AQ62" s="485">
        <f t="shared" si="23"/>
        <v>0</v>
      </c>
      <c r="AR62" s="471">
        <f t="shared" si="24"/>
        <v>0</v>
      </c>
      <c r="AS62" s="475">
        <f t="shared" si="25"/>
        <v>6.5000000000000002E-2</v>
      </c>
      <c r="AT62" s="471">
        <f t="shared" si="51"/>
        <v>0</v>
      </c>
      <c r="AU62" s="471">
        <f t="shared" si="26"/>
        <v>0</v>
      </c>
      <c r="AV62" s="476">
        <f t="shared" si="27"/>
        <v>0</v>
      </c>
      <c r="AW62" s="484">
        <f t="shared" si="28"/>
        <v>0</v>
      </c>
      <c r="AX62" s="474">
        <f t="shared" si="29"/>
        <v>0</v>
      </c>
      <c r="AY62" s="471">
        <f t="shared" si="30"/>
        <v>0</v>
      </c>
      <c r="AZ62" s="475">
        <f t="shared" si="31"/>
        <v>7.2500000000000009E-2</v>
      </c>
      <c r="BA62" s="471">
        <f t="shared" si="52"/>
        <v>0</v>
      </c>
      <c r="BB62" s="471">
        <f t="shared" si="32"/>
        <v>0</v>
      </c>
      <c r="BC62" s="476">
        <f t="shared" si="33"/>
        <v>0</v>
      </c>
      <c r="BD62" s="484">
        <f t="shared" si="34"/>
        <v>0</v>
      </c>
      <c r="BE62" s="474">
        <f t="shared" si="35"/>
        <v>0</v>
      </c>
      <c r="BF62" s="471">
        <f t="shared" si="36"/>
        <v>0</v>
      </c>
      <c r="BG62" s="475">
        <f t="shared" si="37"/>
        <v>8.0000000000000016E-2</v>
      </c>
      <c r="BH62" s="471">
        <f t="shared" si="53"/>
        <v>0</v>
      </c>
      <c r="BI62" s="471">
        <f t="shared" si="38"/>
        <v>0</v>
      </c>
      <c r="BJ62" s="473">
        <f t="shared" si="39"/>
        <v>0</v>
      </c>
      <c r="BK62" s="479">
        <f>AC62+AJ62+AQ62+AX62+BE62</f>
        <v>0</v>
      </c>
      <c r="BL62" s="480">
        <f>AD62+AK62+AR62+AY62+BF62</f>
        <v>0</v>
      </c>
      <c r="BM62" s="480">
        <f>BH62+BA62+AT62++AM62+AF62</f>
        <v>0</v>
      </c>
      <c r="BN62" s="480">
        <f>BI62+BB62+AU62++AN62+AG62</f>
        <v>0</v>
      </c>
      <c r="BO62" s="480">
        <f t="shared" si="42"/>
        <v>0</v>
      </c>
      <c r="BP62" s="480">
        <f t="shared" si="43"/>
        <v>0</v>
      </c>
      <c r="BQ62" s="480">
        <f t="shared" si="44"/>
        <v>0</v>
      </c>
      <c r="BR62" s="480">
        <f t="shared" si="45"/>
        <v>0</v>
      </c>
      <c r="BS62" s="480">
        <f t="shared" si="46"/>
        <v>0</v>
      </c>
      <c r="BT62" s="480">
        <f t="shared" si="47"/>
        <v>0</v>
      </c>
      <c r="BU62" s="480">
        <f t="shared" si="48"/>
        <v>0</v>
      </c>
      <c r="BV62" s="480">
        <f t="shared" si="49"/>
        <v>0</v>
      </c>
      <c r="BW62" s="41"/>
      <c r="BX62" s="39">
        <f t="shared" si="54"/>
        <v>0</v>
      </c>
      <c r="BY62" s="39">
        <f t="shared" si="55"/>
        <v>0</v>
      </c>
      <c r="BZ62" s="39">
        <f t="shared" si="56"/>
        <v>0</v>
      </c>
      <c r="CA62" s="40" t="s">
        <v>374</v>
      </c>
      <c r="CB62" s="40"/>
      <c r="CC62" s="40"/>
    </row>
    <row r="63" spans="1:81" ht="15" hidden="1">
      <c r="A63" s="453">
        <f t="shared" si="118"/>
        <v>54</v>
      </c>
      <c r="B63" s="500" t="s">
        <v>198</v>
      </c>
      <c r="C63" s="492" t="s">
        <v>431</v>
      </c>
      <c r="D63" s="456"/>
      <c r="E63" s="457" t="s">
        <v>381</v>
      </c>
      <c r="F63" s="458"/>
      <c r="G63" s="459">
        <v>5</v>
      </c>
      <c r="H63" s="460">
        <v>5</v>
      </c>
      <c r="I63" s="461" t="s">
        <v>373</v>
      </c>
      <c r="J63" s="462">
        <v>18000</v>
      </c>
      <c r="K63" s="463"/>
      <c r="L63" s="464">
        <v>0</v>
      </c>
      <c r="M63" s="466"/>
      <c r="N63" s="466"/>
      <c r="O63" s="466"/>
      <c r="P63" s="466"/>
      <c r="Q63" s="467">
        <f t="shared" si="6"/>
        <v>18000</v>
      </c>
      <c r="R63" s="483">
        <f t="shared" si="119"/>
        <v>18540</v>
      </c>
      <c r="S63" s="483">
        <f t="shared" si="119"/>
        <v>19096.2</v>
      </c>
      <c r="T63" s="483">
        <f t="shared" si="119"/>
        <v>19669.085999999999</v>
      </c>
      <c r="U63" s="483">
        <f t="shared" si="119"/>
        <v>20259.158579999999</v>
      </c>
      <c r="V63" s="468">
        <f t="shared" si="120"/>
        <v>0</v>
      </c>
      <c r="W63" s="468">
        <f t="shared" si="120"/>
        <v>0</v>
      </c>
      <c r="X63" s="468">
        <f t="shared" si="120"/>
        <v>0</v>
      </c>
      <c r="Y63" s="468">
        <f t="shared" si="120"/>
        <v>0</v>
      </c>
      <c r="Z63" s="468">
        <f t="shared" si="120"/>
        <v>0</v>
      </c>
      <c r="AA63" s="469">
        <f t="shared" si="9"/>
        <v>0</v>
      </c>
      <c r="AB63" s="470">
        <f t="shared" si="10"/>
        <v>0</v>
      </c>
      <c r="AC63" s="471">
        <f t="shared" si="11"/>
        <v>0</v>
      </c>
      <c r="AD63" s="471">
        <f t="shared" si="12"/>
        <v>0</v>
      </c>
      <c r="AE63" s="472">
        <v>0.02</v>
      </c>
      <c r="AF63" s="471">
        <f t="shared" si="13"/>
        <v>0</v>
      </c>
      <c r="AG63" s="471">
        <f t="shared" si="14"/>
        <v>0</v>
      </c>
      <c r="AH63" s="473">
        <f t="shared" si="15"/>
        <v>0</v>
      </c>
      <c r="AI63" s="484">
        <f t="shared" si="16"/>
        <v>0</v>
      </c>
      <c r="AJ63" s="474">
        <f t="shared" si="17"/>
        <v>0</v>
      </c>
      <c r="AK63" s="471">
        <f t="shared" si="18"/>
        <v>0</v>
      </c>
      <c r="AL63" s="475">
        <f t="shared" si="19"/>
        <v>2.75E-2</v>
      </c>
      <c r="AM63" s="471">
        <f t="shared" si="50"/>
        <v>0</v>
      </c>
      <c r="AN63" s="471">
        <f t="shared" si="20"/>
        <v>0</v>
      </c>
      <c r="AO63" s="476">
        <f t="shared" si="21"/>
        <v>0</v>
      </c>
      <c r="AP63" s="484">
        <f t="shared" si="22"/>
        <v>0</v>
      </c>
      <c r="AQ63" s="485">
        <f t="shared" si="23"/>
        <v>0</v>
      </c>
      <c r="AR63" s="471">
        <f t="shared" si="24"/>
        <v>0</v>
      </c>
      <c r="AS63" s="475">
        <f t="shared" si="25"/>
        <v>3.5000000000000003E-2</v>
      </c>
      <c r="AT63" s="471">
        <f t="shared" si="51"/>
        <v>0</v>
      </c>
      <c r="AU63" s="471">
        <f t="shared" si="26"/>
        <v>0</v>
      </c>
      <c r="AV63" s="476">
        <f t="shared" si="27"/>
        <v>0</v>
      </c>
      <c r="AW63" s="484">
        <f t="shared" si="28"/>
        <v>0</v>
      </c>
      <c r="AX63" s="474">
        <f t="shared" si="29"/>
        <v>0</v>
      </c>
      <c r="AY63" s="471">
        <f t="shared" si="30"/>
        <v>0</v>
      </c>
      <c r="AZ63" s="475">
        <f t="shared" si="31"/>
        <v>4.2500000000000003E-2</v>
      </c>
      <c r="BA63" s="471">
        <f t="shared" si="52"/>
        <v>0</v>
      </c>
      <c r="BB63" s="471">
        <f t="shared" si="32"/>
        <v>0</v>
      </c>
      <c r="BC63" s="476">
        <f t="shared" si="33"/>
        <v>0</v>
      </c>
      <c r="BD63" s="484">
        <f t="shared" si="34"/>
        <v>0</v>
      </c>
      <c r="BE63" s="474">
        <f t="shared" si="35"/>
        <v>0</v>
      </c>
      <c r="BF63" s="471">
        <f t="shared" si="36"/>
        <v>0</v>
      </c>
      <c r="BG63" s="475">
        <f t="shared" si="37"/>
        <v>0.05</v>
      </c>
      <c r="BH63" s="471">
        <f t="shared" si="53"/>
        <v>0</v>
      </c>
      <c r="BI63" s="471">
        <f t="shared" si="38"/>
        <v>0</v>
      </c>
      <c r="BJ63" s="473">
        <f t="shared" si="39"/>
        <v>0</v>
      </c>
      <c r="BK63" s="479">
        <f>AC63+AJ63+AQ63+AX63+BE63</f>
        <v>0</v>
      </c>
      <c r="BL63" s="480">
        <f>AD63+AK63+AR63+AY63+BF63</f>
        <v>0</v>
      </c>
      <c r="BM63" s="480">
        <f>BH63+BA63+AT63++AM63+AF63</f>
        <v>0</v>
      </c>
      <c r="BN63" s="480">
        <f>BI63+BB63+AU63++AN63+AG63</f>
        <v>0</v>
      </c>
      <c r="BO63" s="480">
        <f t="shared" si="42"/>
        <v>0</v>
      </c>
      <c r="BP63" s="480">
        <f t="shared" si="43"/>
        <v>0</v>
      </c>
      <c r="BQ63" s="480">
        <f t="shared" si="44"/>
        <v>0</v>
      </c>
      <c r="BR63" s="480">
        <f t="shared" si="45"/>
        <v>0</v>
      </c>
      <c r="BS63" s="480">
        <f t="shared" si="46"/>
        <v>0</v>
      </c>
      <c r="BT63" s="480">
        <f t="shared" si="47"/>
        <v>0</v>
      </c>
      <c r="BU63" s="480">
        <f t="shared" si="48"/>
        <v>0</v>
      </c>
      <c r="BV63" s="480">
        <f t="shared" si="49"/>
        <v>0</v>
      </c>
      <c r="BW63" s="41"/>
      <c r="BX63" s="39">
        <f t="shared" si="54"/>
        <v>0</v>
      </c>
      <c r="BY63" s="39">
        <f t="shared" si="55"/>
        <v>0</v>
      </c>
      <c r="BZ63" s="39">
        <f t="shared" si="56"/>
        <v>0</v>
      </c>
      <c r="CA63" s="40" t="s">
        <v>374</v>
      </c>
      <c r="CB63" s="40"/>
      <c r="CC63" s="40"/>
    </row>
    <row r="64" spans="1:81" ht="15" hidden="1">
      <c r="A64" s="453">
        <f t="shared" si="118"/>
        <v>55</v>
      </c>
      <c r="B64" s="454" t="s">
        <v>370</v>
      </c>
      <c r="C64" s="492" t="s">
        <v>432</v>
      </c>
      <c r="D64" s="456"/>
      <c r="E64" s="457" t="s">
        <v>372</v>
      </c>
      <c r="F64" s="458"/>
      <c r="G64" s="459">
        <v>5</v>
      </c>
      <c r="H64" s="460">
        <v>5</v>
      </c>
      <c r="I64" s="461" t="s">
        <v>373</v>
      </c>
      <c r="J64" s="462">
        <v>350000</v>
      </c>
      <c r="K64" s="463"/>
      <c r="L64" s="464">
        <v>0</v>
      </c>
      <c r="M64" s="466"/>
      <c r="N64" s="466"/>
      <c r="O64" s="466"/>
      <c r="P64" s="466"/>
      <c r="Q64" s="467">
        <f t="shared" si="6"/>
        <v>350000</v>
      </c>
      <c r="R64" s="483">
        <f t="shared" si="119"/>
        <v>360500</v>
      </c>
      <c r="S64" s="483">
        <f t="shared" si="119"/>
        <v>371315</v>
      </c>
      <c r="T64" s="483">
        <f t="shared" si="119"/>
        <v>382454.45</v>
      </c>
      <c r="U64" s="483">
        <f t="shared" si="119"/>
        <v>393928.08350000001</v>
      </c>
      <c r="V64" s="468">
        <f t="shared" si="120"/>
        <v>0</v>
      </c>
      <c r="W64" s="468">
        <f t="shared" si="120"/>
        <v>0</v>
      </c>
      <c r="X64" s="468">
        <f t="shared" si="120"/>
        <v>0</v>
      </c>
      <c r="Y64" s="468">
        <f t="shared" si="120"/>
        <v>0</v>
      </c>
      <c r="Z64" s="468">
        <f t="shared" si="120"/>
        <v>0</v>
      </c>
      <c r="AA64" s="469">
        <f t="shared" ref="AA64:AA85" si="123">SUM(V64:Z64)</f>
        <v>0</v>
      </c>
      <c r="AB64" s="470">
        <f t="shared" ref="AB64:AB85" si="124">SUM(AC64:AD64)</f>
        <v>0</v>
      </c>
      <c r="AC64" s="471">
        <f t="shared" ref="AC64:AC85" si="125">V64/$G64</f>
        <v>0</v>
      </c>
      <c r="AD64" s="471">
        <f t="shared" ref="AD64:AD85" si="126">-IPMT(AB$3/12,$AD$3,$H64*12,V64,0)*12</f>
        <v>0</v>
      </c>
      <c r="AE64" s="472">
        <v>0.02</v>
      </c>
      <c r="AF64" s="471">
        <f t="shared" si="13"/>
        <v>0</v>
      </c>
      <c r="AG64" s="471">
        <f t="shared" ref="AG64:AG85" si="127">V64*AG$3</f>
        <v>0</v>
      </c>
      <c r="AH64" s="473">
        <f t="shared" ref="AH64:AH85" si="128">V64-AC64+W64</f>
        <v>0</v>
      </c>
      <c r="AI64" s="484">
        <f t="shared" ref="AI64:AI85" si="129">SUM(AJ64:AK64)</f>
        <v>0</v>
      </c>
      <c r="AJ64" s="474">
        <f t="shared" si="17"/>
        <v>0</v>
      </c>
      <c r="AK64" s="471">
        <f t="shared" ref="AK64:AK85" si="130">-IPMT(AI$3/12,$AK$3,$H64*12,AH64,0)*12</f>
        <v>0</v>
      </c>
      <c r="AL64" s="475">
        <f t="shared" ref="AL64:AL85" si="131">IF(AE64=0,0,AE64+AL$3)</f>
        <v>2.75E-2</v>
      </c>
      <c r="AM64" s="471">
        <f t="shared" si="50"/>
        <v>0</v>
      </c>
      <c r="AN64" s="471">
        <f t="shared" ref="AN64:AN85" si="132">AH64*AN$3</f>
        <v>0</v>
      </c>
      <c r="AO64" s="476">
        <f t="shared" ref="AO64:AO85" si="133">SUM(AH64+W64)-AJ64+IF(G64=2,L64*R64)</f>
        <v>0</v>
      </c>
      <c r="AP64" s="484">
        <f t="shared" ref="AP64:AP85" si="134">SUM(AQ64:AR64)</f>
        <v>0</v>
      </c>
      <c r="AQ64" s="485">
        <f t="shared" ref="AQ64:AQ86" si="135">SUM(X64/G64)+AJ64</f>
        <v>0</v>
      </c>
      <c r="AR64" s="471">
        <f t="shared" ref="AR64:AR85" si="136">-IPMT(AP$3/12,$AR$3,$G64*12,AO64,0)*12</f>
        <v>0</v>
      </c>
      <c r="AS64" s="475">
        <f t="shared" ref="AS64:AS85" si="137">IF(AL64=0,0,AL64+AS$3)</f>
        <v>3.5000000000000003E-2</v>
      </c>
      <c r="AT64" s="471">
        <f t="shared" si="51"/>
        <v>0</v>
      </c>
      <c r="AU64" s="471">
        <f t="shared" ref="AU64:AU85" si="138">AO64*AU$3</f>
        <v>0</v>
      </c>
      <c r="AV64" s="476">
        <f t="shared" si="27"/>
        <v>0</v>
      </c>
      <c r="AW64" s="484">
        <f t="shared" ref="AW64:AW85" si="139">SUM(AX64:AY64)</f>
        <v>0</v>
      </c>
      <c r="AX64" s="474">
        <f t="shared" ref="AX64:AX85" si="140">IF(G64=3,AV64/3,SUM(Y64/G64)+AQ64)</f>
        <v>0</v>
      </c>
      <c r="AY64" s="471">
        <f t="shared" ref="AY64:AY85" si="141">-IPMT(AW$3/12,$AY$3,$G64*12,AV64,0)*12</f>
        <v>0</v>
      </c>
      <c r="AZ64" s="475">
        <f t="shared" si="31"/>
        <v>4.2500000000000003E-2</v>
      </c>
      <c r="BA64" s="471">
        <f t="shared" si="52"/>
        <v>0</v>
      </c>
      <c r="BB64" s="471">
        <f t="shared" ref="BB64:BB85" si="142">AV64*BB$3</f>
        <v>0</v>
      </c>
      <c r="BC64" s="476">
        <f t="shared" ref="BC64:BC85" si="143">AV64-AX64+Z64++IF(G64=4,V64)</f>
        <v>0</v>
      </c>
      <c r="BD64" s="484">
        <f t="shared" ref="BD64:BD85" si="144">SUM(BE64:BF64)</f>
        <v>0</v>
      </c>
      <c r="BE64" s="474">
        <f t="shared" ref="BE64:BE85" si="145">SUM(Z64/G64)+AX64</f>
        <v>0</v>
      </c>
      <c r="BF64" s="471">
        <f t="shared" ref="BF64:BF85" si="146">-IPMT(BD$3/12,$BF$3,$G64*12,BC64,0)*12</f>
        <v>0</v>
      </c>
      <c r="BG64" s="475">
        <f t="shared" ref="BG64:BG85" si="147">IF(AZ64=0,0,AZ64+BG$3)</f>
        <v>0.05</v>
      </c>
      <c r="BH64" s="471">
        <f t="shared" si="53"/>
        <v>0</v>
      </c>
      <c r="BI64" s="471">
        <f t="shared" ref="BI64:BI85" si="148">BC64*BI$3</f>
        <v>0</v>
      </c>
      <c r="BJ64" s="473">
        <f t="shared" ref="BJ64:BJ85" si="149">BC64-BE64</f>
        <v>0</v>
      </c>
      <c r="BK64" s="479">
        <f t="shared" ref="BK64:BL77" si="150">AC64+AJ64+AQ64+AX64+BE64</f>
        <v>0</v>
      </c>
      <c r="BL64" s="480">
        <f t="shared" si="150"/>
        <v>0</v>
      </c>
      <c r="BM64" s="480">
        <f t="shared" ref="BM64:BN77" si="151">BH64+BA64+AT64++AM64+AF64</f>
        <v>0</v>
      </c>
      <c r="BN64" s="480">
        <f t="shared" si="151"/>
        <v>0</v>
      </c>
      <c r="BO64" s="480">
        <f t="shared" ref="BO64:BO85" si="152">SUM(BK64:BL64)</f>
        <v>0</v>
      </c>
      <c r="BP64" s="480">
        <f t="shared" ref="BP64:BP85" si="153">BM64+BN64+BO64</f>
        <v>0</v>
      </c>
      <c r="BQ64" s="480">
        <f t="shared" ref="BQ64:BQ85" si="154">AB64+AI64+AP64+AW64+BD64</f>
        <v>0</v>
      </c>
      <c r="BR64" s="480">
        <f t="shared" ref="BR64:BR85" si="155">BQ64-BO64</f>
        <v>0</v>
      </c>
      <c r="BS64" s="480">
        <f t="shared" ref="BS64:BS85" si="156">AA64-BK64</f>
        <v>0</v>
      </c>
      <c r="BT64" s="480">
        <f t="shared" ref="BT64:BT85" si="157">BJ64-BS64</f>
        <v>0</v>
      </c>
      <c r="BU64" s="480">
        <f t="shared" ref="BU64:BU85" si="158">BT64+BS64</f>
        <v>0</v>
      </c>
      <c r="BV64" s="480">
        <f t="shared" ref="BV64:BV85" si="159">BJ64-BU64</f>
        <v>0</v>
      </c>
      <c r="BW64" s="41"/>
      <c r="BX64" s="39">
        <f t="shared" si="54"/>
        <v>0</v>
      </c>
      <c r="BY64" s="39">
        <f t="shared" si="55"/>
        <v>0</v>
      </c>
      <c r="BZ64" s="39">
        <f t="shared" si="56"/>
        <v>0</v>
      </c>
      <c r="CA64" s="40" t="s">
        <v>374</v>
      </c>
      <c r="CB64" s="40"/>
      <c r="CC64" s="40"/>
    </row>
    <row r="65" spans="1:81" ht="15">
      <c r="A65" s="453">
        <f t="shared" si="118"/>
        <v>56</v>
      </c>
      <c r="B65" s="454" t="s">
        <v>370</v>
      </c>
      <c r="C65" s="492" t="s">
        <v>433</v>
      </c>
      <c r="D65" s="456"/>
      <c r="E65" s="457" t="s">
        <v>381</v>
      </c>
      <c r="F65" s="458"/>
      <c r="G65" s="459">
        <v>5</v>
      </c>
      <c r="H65" s="460">
        <v>5</v>
      </c>
      <c r="I65" s="461" t="s">
        <v>394</v>
      </c>
      <c r="J65" s="462">
        <v>1400</v>
      </c>
      <c r="K65" s="463"/>
      <c r="L65" s="497">
        <f>ARM!C88</f>
        <v>250</v>
      </c>
      <c r="M65" s="466"/>
      <c r="N65" s="466"/>
      <c r="O65" s="466"/>
      <c r="P65" s="466"/>
      <c r="Q65" s="467">
        <f t="shared" si="6"/>
        <v>1400</v>
      </c>
      <c r="R65" s="483">
        <f t="shared" si="119"/>
        <v>1442</v>
      </c>
      <c r="S65" s="483">
        <f t="shared" si="119"/>
        <v>1485.26</v>
      </c>
      <c r="T65" s="483">
        <f t="shared" si="119"/>
        <v>1529.8178</v>
      </c>
      <c r="U65" s="483">
        <f t="shared" si="119"/>
        <v>1575.7123340000001</v>
      </c>
      <c r="V65" s="468">
        <f t="shared" si="120"/>
        <v>350000</v>
      </c>
      <c r="W65" s="468">
        <f t="shared" si="120"/>
        <v>0</v>
      </c>
      <c r="X65" s="468">
        <f t="shared" si="120"/>
        <v>0</v>
      </c>
      <c r="Y65" s="468">
        <f t="shared" si="120"/>
        <v>0</v>
      </c>
      <c r="Z65" s="468">
        <f t="shared" si="120"/>
        <v>0</v>
      </c>
      <c r="AA65" s="469">
        <f t="shared" si="123"/>
        <v>350000</v>
      </c>
      <c r="AB65" s="470">
        <f t="shared" si="124"/>
        <v>102702.1203324212</v>
      </c>
      <c r="AC65" s="471">
        <f t="shared" si="125"/>
        <v>70000</v>
      </c>
      <c r="AD65" s="471">
        <f t="shared" si="126"/>
        <v>32702.120332421197</v>
      </c>
      <c r="AE65" s="472">
        <v>0.03</v>
      </c>
      <c r="AF65" s="471">
        <f t="shared" si="13"/>
        <v>10500</v>
      </c>
      <c r="AG65" s="471">
        <f t="shared" si="127"/>
        <v>875</v>
      </c>
      <c r="AH65" s="473">
        <f t="shared" si="128"/>
        <v>280000</v>
      </c>
      <c r="AI65" s="484">
        <f t="shared" si="129"/>
        <v>96161.696265936946</v>
      </c>
      <c r="AJ65" s="474">
        <f t="shared" si="17"/>
        <v>70000</v>
      </c>
      <c r="AK65" s="471">
        <f t="shared" si="130"/>
        <v>26161.696265936949</v>
      </c>
      <c r="AL65" s="475">
        <f t="shared" si="131"/>
        <v>3.7499999999999999E-2</v>
      </c>
      <c r="AM65" s="471">
        <f t="shared" si="50"/>
        <v>13125</v>
      </c>
      <c r="AN65" s="471">
        <f t="shared" si="132"/>
        <v>714</v>
      </c>
      <c r="AO65" s="476">
        <f t="shared" si="133"/>
        <v>210000</v>
      </c>
      <c r="AP65" s="484">
        <f t="shared" si="134"/>
        <v>89621.272199452709</v>
      </c>
      <c r="AQ65" s="485">
        <f t="shared" si="135"/>
        <v>70000</v>
      </c>
      <c r="AR65" s="471">
        <f t="shared" si="136"/>
        <v>19621.272199452713</v>
      </c>
      <c r="AS65" s="475">
        <f t="shared" si="137"/>
        <v>4.4999999999999998E-2</v>
      </c>
      <c r="AT65" s="471">
        <f t="shared" si="51"/>
        <v>15750</v>
      </c>
      <c r="AU65" s="471">
        <f t="shared" si="138"/>
        <v>546.21</v>
      </c>
      <c r="AV65" s="476">
        <f t="shared" si="27"/>
        <v>140000</v>
      </c>
      <c r="AW65" s="484">
        <f t="shared" si="139"/>
        <v>83080.848132968473</v>
      </c>
      <c r="AX65" s="474">
        <f t="shared" si="140"/>
        <v>70000</v>
      </c>
      <c r="AY65" s="471">
        <f t="shared" si="141"/>
        <v>13080.848132968475</v>
      </c>
      <c r="AZ65" s="475">
        <f t="shared" si="31"/>
        <v>5.2499999999999998E-2</v>
      </c>
      <c r="BA65" s="471">
        <f t="shared" si="52"/>
        <v>18375</v>
      </c>
      <c r="BB65" s="471">
        <f t="shared" si="142"/>
        <v>371.4228</v>
      </c>
      <c r="BC65" s="476">
        <f t="shared" si="143"/>
        <v>70000</v>
      </c>
      <c r="BD65" s="484">
        <f t="shared" si="144"/>
        <v>76540.424066484236</v>
      </c>
      <c r="BE65" s="474">
        <f t="shared" si="145"/>
        <v>70000</v>
      </c>
      <c r="BF65" s="471">
        <f t="shared" si="146"/>
        <v>6540.4240664842373</v>
      </c>
      <c r="BG65" s="475">
        <f t="shared" si="147"/>
        <v>0.06</v>
      </c>
      <c r="BH65" s="471">
        <f t="shared" si="53"/>
        <v>21000</v>
      </c>
      <c r="BI65" s="471">
        <f t="shared" si="148"/>
        <v>189.42562800000002</v>
      </c>
      <c r="BJ65" s="473">
        <f t="shared" si="149"/>
        <v>0</v>
      </c>
      <c r="BK65" s="479">
        <f t="shared" si="150"/>
        <v>350000</v>
      </c>
      <c r="BL65" s="480">
        <f t="shared" si="150"/>
        <v>98106.36099726356</v>
      </c>
      <c r="BM65" s="480">
        <f t="shared" si="151"/>
        <v>78750</v>
      </c>
      <c r="BN65" s="480">
        <f t="shared" si="151"/>
        <v>2696.0584280000003</v>
      </c>
      <c r="BO65" s="480">
        <f t="shared" si="152"/>
        <v>448106.36099726357</v>
      </c>
      <c r="BP65" s="480">
        <f t="shared" si="153"/>
        <v>529552.41942526354</v>
      </c>
      <c r="BQ65" s="480">
        <f t="shared" si="154"/>
        <v>448106.36099726357</v>
      </c>
      <c r="BR65" s="480">
        <f t="shared" si="155"/>
        <v>0</v>
      </c>
      <c r="BS65" s="480">
        <f t="shared" si="156"/>
        <v>0</v>
      </c>
      <c r="BT65" s="480">
        <f t="shared" si="157"/>
        <v>0</v>
      </c>
      <c r="BU65" s="480">
        <f t="shared" si="158"/>
        <v>0</v>
      </c>
      <c r="BV65" s="480">
        <f t="shared" si="159"/>
        <v>0</v>
      </c>
      <c r="BW65" s="41"/>
      <c r="BX65" s="39">
        <f t="shared" si="54"/>
        <v>9506.4266943684324</v>
      </c>
      <c r="BY65" s="39">
        <f t="shared" si="55"/>
        <v>9166.7246888280788</v>
      </c>
      <c r="BZ65" s="39">
        <f t="shared" si="56"/>
        <v>8826.456849954393</v>
      </c>
      <c r="CA65" s="40" t="s">
        <v>374</v>
      </c>
      <c r="CB65" s="40"/>
      <c r="CC65" s="40"/>
    </row>
    <row r="66" spans="1:81" ht="15">
      <c r="A66" s="453">
        <f t="shared" si="118"/>
        <v>57</v>
      </c>
      <c r="B66" s="500" t="s">
        <v>370</v>
      </c>
      <c r="C66" s="492" t="s">
        <v>434</v>
      </c>
      <c r="D66" s="456"/>
      <c r="E66" s="457" t="s">
        <v>381</v>
      </c>
      <c r="F66" s="458"/>
      <c r="G66" s="459">
        <v>5</v>
      </c>
      <c r="H66" s="460">
        <v>5</v>
      </c>
      <c r="I66" s="461" t="s">
        <v>394</v>
      </c>
      <c r="J66" s="462">
        <v>500</v>
      </c>
      <c r="K66" s="463"/>
      <c r="L66" s="497">
        <f>ARM!C90</f>
        <v>100</v>
      </c>
      <c r="M66" s="466"/>
      <c r="N66" s="466"/>
      <c r="O66" s="466"/>
      <c r="P66" s="466"/>
      <c r="Q66" s="467">
        <f t="shared" si="6"/>
        <v>500</v>
      </c>
      <c r="R66" s="483">
        <f>Q66*R$3+Q66</f>
        <v>515</v>
      </c>
      <c r="S66" s="483">
        <f>R66*S$3+R66</f>
        <v>530.45000000000005</v>
      </c>
      <c r="T66" s="483">
        <f>S66*T$3+S66</f>
        <v>546.36350000000004</v>
      </c>
      <c r="U66" s="483">
        <f>T66*U$3+T66</f>
        <v>562.75440500000002</v>
      </c>
      <c r="V66" s="468">
        <f>Q66*L66</f>
        <v>50000</v>
      </c>
      <c r="W66" s="468">
        <f>R66*M66</f>
        <v>0</v>
      </c>
      <c r="X66" s="468">
        <f>S66*N66</f>
        <v>0</v>
      </c>
      <c r="Y66" s="468">
        <f>T66*O66</f>
        <v>0</v>
      </c>
      <c r="Z66" s="468">
        <f>U66*P66</f>
        <v>0</v>
      </c>
      <c r="AA66" s="469">
        <f t="shared" ref="AA66:AA71" si="160">SUM(V66:Z66)</f>
        <v>50000</v>
      </c>
      <c r="AB66" s="470">
        <f t="shared" si="124"/>
        <v>14671.731476060169</v>
      </c>
      <c r="AC66" s="471">
        <f t="shared" si="125"/>
        <v>10000</v>
      </c>
      <c r="AD66" s="471">
        <f t="shared" si="126"/>
        <v>4671.7314760601703</v>
      </c>
      <c r="AE66" s="472">
        <v>0.03</v>
      </c>
      <c r="AF66" s="471">
        <f t="shared" si="13"/>
        <v>1500</v>
      </c>
      <c r="AG66" s="471">
        <f t="shared" si="127"/>
        <v>125</v>
      </c>
      <c r="AH66" s="473">
        <f t="shared" si="128"/>
        <v>40000</v>
      </c>
      <c r="AI66" s="484">
        <f t="shared" si="129"/>
        <v>13737.385180848136</v>
      </c>
      <c r="AJ66" s="474">
        <f t="shared" si="17"/>
        <v>10000</v>
      </c>
      <c r="AK66" s="471">
        <f t="shared" si="130"/>
        <v>3737.3851808481359</v>
      </c>
      <c r="AL66" s="475">
        <f t="shared" si="131"/>
        <v>3.7499999999999999E-2</v>
      </c>
      <c r="AM66" s="471">
        <f t="shared" si="50"/>
        <v>1875</v>
      </c>
      <c r="AN66" s="471">
        <f t="shared" si="132"/>
        <v>102.00000000000001</v>
      </c>
      <c r="AO66" s="476">
        <f t="shared" si="133"/>
        <v>30000</v>
      </c>
      <c r="AP66" s="484">
        <f t="shared" si="134"/>
        <v>12803.038885636102</v>
      </c>
      <c r="AQ66" s="485">
        <f t="shared" si="135"/>
        <v>10000</v>
      </c>
      <c r="AR66" s="471">
        <f t="shared" si="136"/>
        <v>2803.0388856361023</v>
      </c>
      <c r="AS66" s="475">
        <f t="shared" si="137"/>
        <v>4.4999999999999998E-2</v>
      </c>
      <c r="AT66" s="471">
        <f t="shared" si="51"/>
        <v>2250</v>
      </c>
      <c r="AU66" s="471">
        <f t="shared" si="138"/>
        <v>78.03</v>
      </c>
      <c r="AV66" s="476">
        <f t="shared" si="27"/>
        <v>20000</v>
      </c>
      <c r="AW66" s="484">
        <f t="shared" si="139"/>
        <v>11868.692590424067</v>
      </c>
      <c r="AX66" s="474">
        <f t="shared" si="140"/>
        <v>10000</v>
      </c>
      <c r="AY66" s="471">
        <f t="shared" si="141"/>
        <v>1868.6925904240679</v>
      </c>
      <c r="AZ66" s="475">
        <f t="shared" si="31"/>
        <v>5.2499999999999998E-2</v>
      </c>
      <c r="BA66" s="471">
        <f t="shared" si="52"/>
        <v>2625</v>
      </c>
      <c r="BB66" s="471">
        <f t="shared" si="142"/>
        <v>53.060399999999994</v>
      </c>
      <c r="BC66" s="476">
        <f t="shared" si="143"/>
        <v>10000</v>
      </c>
      <c r="BD66" s="484">
        <f t="shared" si="144"/>
        <v>10934.346295212034</v>
      </c>
      <c r="BE66" s="474">
        <f t="shared" si="145"/>
        <v>10000</v>
      </c>
      <c r="BF66" s="471">
        <f t="shared" si="146"/>
        <v>934.34629521203397</v>
      </c>
      <c r="BG66" s="475">
        <f t="shared" si="147"/>
        <v>0.06</v>
      </c>
      <c r="BH66" s="471">
        <f t="shared" si="53"/>
        <v>3000</v>
      </c>
      <c r="BI66" s="471">
        <f t="shared" si="148"/>
        <v>27.060804000000001</v>
      </c>
      <c r="BJ66" s="473">
        <f t="shared" si="149"/>
        <v>0</v>
      </c>
      <c r="BK66" s="479">
        <f>AC66+AJ66+AQ66+AX66+BE66</f>
        <v>50000</v>
      </c>
      <c r="BL66" s="480">
        <f>AD66+AK66+AR66+AY66+BF66</f>
        <v>14015.19442818051</v>
      </c>
      <c r="BM66" s="480">
        <f>BH66+BA66+AT66++AM66+AF66</f>
        <v>11250</v>
      </c>
      <c r="BN66" s="480">
        <f>BI66+BB66+AU66++AN66+AG66</f>
        <v>385.15120400000001</v>
      </c>
      <c r="BO66" s="480">
        <f t="shared" ref="BO66:BO71" si="161">SUM(BK66:BL66)</f>
        <v>64015.194428180512</v>
      </c>
      <c r="BP66" s="480">
        <f t="shared" si="153"/>
        <v>75650.345632180513</v>
      </c>
      <c r="BQ66" s="480">
        <f t="shared" si="154"/>
        <v>64015.194428180504</v>
      </c>
      <c r="BR66" s="480">
        <f t="shared" si="155"/>
        <v>0</v>
      </c>
      <c r="BS66" s="480">
        <f t="shared" si="156"/>
        <v>0</v>
      </c>
      <c r="BT66" s="480">
        <f t="shared" si="157"/>
        <v>0</v>
      </c>
      <c r="BU66" s="480">
        <f t="shared" si="158"/>
        <v>0</v>
      </c>
      <c r="BV66" s="480">
        <f t="shared" si="159"/>
        <v>0</v>
      </c>
      <c r="BW66" s="41"/>
      <c r="BX66" s="39">
        <f t="shared" si="54"/>
        <v>1358.0609563383475</v>
      </c>
      <c r="BY66" s="39">
        <f t="shared" si="55"/>
        <v>1309.5320984040113</v>
      </c>
      <c r="BZ66" s="39">
        <f t="shared" si="56"/>
        <v>1260.9224071363419</v>
      </c>
      <c r="CA66" s="40" t="s">
        <v>374</v>
      </c>
      <c r="CB66" s="40"/>
      <c r="CC66" s="40"/>
    </row>
    <row r="67" spans="1:81" ht="15" hidden="1">
      <c r="A67" s="453">
        <f t="shared" si="118"/>
        <v>58</v>
      </c>
      <c r="B67" s="454" t="s">
        <v>370</v>
      </c>
      <c r="C67" s="492" t="s">
        <v>435</v>
      </c>
      <c r="D67" s="456"/>
      <c r="E67" s="457" t="s">
        <v>381</v>
      </c>
      <c r="F67" s="458"/>
      <c r="G67" s="459">
        <v>5</v>
      </c>
      <c r="H67" s="460">
        <v>5</v>
      </c>
      <c r="I67" s="461" t="s">
        <v>394</v>
      </c>
      <c r="J67" s="462">
        <v>800</v>
      </c>
      <c r="K67" s="463"/>
      <c r="L67" s="497">
        <v>0</v>
      </c>
      <c r="M67" s="466"/>
      <c r="N67" s="466"/>
      <c r="O67" s="466"/>
      <c r="P67" s="466"/>
      <c r="Q67" s="467">
        <f t="shared" si="6"/>
        <v>800</v>
      </c>
      <c r="R67" s="483">
        <f t="shared" si="119"/>
        <v>824</v>
      </c>
      <c r="S67" s="483">
        <f t="shared" si="119"/>
        <v>848.72</v>
      </c>
      <c r="T67" s="483">
        <f t="shared" si="119"/>
        <v>874.1816</v>
      </c>
      <c r="U67" s="483">
        <f t="shared" si="119"/>
        <v>900.40704800000003</v>
      </c>
      <c r="V67" s="468">
        <f t="shared" si="120"/>
        <v>0</v>
      </c>
      <c r="W67" s="468">
        <f t="shared" si="120"/>
        <v>0</v>
      </c>
      <c r="X67" s="468">
        <f t="shared" si="120"/>
        <v>0</v>
      </c>
      <c r="Y67" s="468">
        <f t="shared" si="120"/>
        <v>0</v>
      </c>
      <c r="Z67" s="468">
        <f t="shared" si="120"/>
        <v>0</v>
      </c>
      <c r="AA67" s="469">
        <f t="shared" si="160"/>
        <v>0</v>
      </c>
      <c r="AB67" s="470">
        <f t="shared" si="124"/>
        <v>0</v>
      </c>
      <c r="AC67" s="471">
        <f t="shared" si="125"/>
        <v>0</v>
      </c>
      <c r="AD67" s="471">
        <f t="shared" si="126"/>
        <v>0</v>
      </c>
      <c r="AE67" s="472">
        <v>0.03</v>
      </c>
      <c r="AF67" s="471">
        <f t="shared" si="13"/>
        <v>0</v>
      </c>
      <c r="AG67" s="471">
        <f t="shared" si="127"/>
        <v>0</v>
      </c>
      <c r="AH67" s="473">
        <f t="shared" si="128"/>
        <v>0</v>
      </c>
      <c r="AI67" s="484">
        <f t="shared" si="129"/>
        <v>0</v>
      </c>
      <c r="AJ67" s="474">
        <f t="shared" si="17"/>
        <v>0</v>
      </c>
      <c r="AK67" s="471">
        <f t="shared" si="130"/>
        <v>0</v>
      </c>
      <c r="AL67" s="475">
        <f t="shared" si="131"/>
        <v>3.7499999999999999E-2</v>
      </c>
      <c r="AM67" s="471">
        <f t="shared" si="50"/>
        <v>0</v>
      </c>
      <c r="AN67" s="471">
        <f t="shared" si="132"/>
        <v>0</v>
      </c>
      <c r="AO67" s="476">
        <f t="shared" si="133"/>
        <v>0</v>
      </c>
      <c r="AP67" s="484">
        <f t="shared" si="134"/>
        <v>0</v>
      </c>
      <c r="AQ67" s="485">
        <f t="shared" si="135"/>
        <v>0</v>
      </c>
      <c r="AR67" s="471">
        <f t="shared" si="136"/>
        <v>0</v>
      </c>
      <c r="AS67" s="475">
        <f t="shared" si="137"/>
        <v>4.4999999999999998E-2</v>
      </c>
      <c r="AT67" s="471">
        <f t="shared" si="51"/>
        <v>0</v>
      </c>
      <c r="AU67" s="471">
        <f t="shared" si="138"/>
        <v>0</v>
      </c>
      <c r="AV67" s="476">
        <f t="shared" si="27"/>
        <v>0</v>
      </c>
      <c r="AW67" s="484">
        <f t="shared" si="139"/>
        <v>0</v>
      </c>
      <c r="AX67" s="474">
        <f t="shared" si="140"/>
        <v>0</v>
      </c>
      <c r="AY67" s="471">
        <f t="shared" si="141"/>
        <v>0</v>
      </c>
      <c r="AZ67" s="475">
        <f t="shared" si="31"/>
        <v>5.2499999999999998E-2</v>
      </c>
      <c r="BA67" s="471">
        <f t="shared" si="52"/>
        <v>0</v>
      </c>
      <c r="BB67" s="471">
        <f t="shared" si="142"/>
        <v>0</v>
      </c>
      <c r="BC67" s="476">
        <f t="shared" si="143"/>
        <v>0</v>
      </c>
      <c r="BD67" s="484">
        <f t="shared" si="144"/>
        <v>0</v>
      </c>
      <c r="BE67" s="474">
        <f t="shared" si="145"/>
        <v>0</v>
      </c>
      <c r="BF67" s="471">
        <f t="shared" si="146"/>
        <v>0</v>
      </c>
      <c r="BG67" s="475">
        <f t="shared" si="147"/>
        <v>0.06</v>
      </c>
      <c r="BH67" s="471">
        <f t="shared" si="53"/>
        <v>0</v>
      </c>
      <c r="BI67" s="471">
        <f t="shared" si="148"/>
        <v>0</v>
      </c>
      <c r="BJ67" s="473">
        <f t="shared" si="149"/>
        <v>0</v>
      </c>
      <c r="BK67" s="479">
        <f t="shared" si="150"/>
        <v>0</v>
      </c>
      <c r="BL67" s="480">
        <f t="shared" si="150"/>
        <v>0</v>
      </c>
      <c r="BM67" s="480">
        <f t="shared" si="151"/>
        <v>0</v>
      </c>
      <c r="BN67" s="480">
        <f t="shared" si="151"/>
        <v>0</v>
      </c>
      <c r="BO67" s="480">
        <f t="shared" si="161"/>
        <v>0</v>
      </c>
      <c r="BP67" s="480">
        <f t="shared" si="153"/>
        <v>0</v>
      </c>
      <c r="BQ67" s="480">
        <f t="shared" si="154"/>
        <v>0</v>
      </c>
      <c r="BR67" s="480">
        <f t="shared" si="155"/>
        <v>0</v>
      </c>
      <c r="BS67" s="480">
        <f t="shared" si="156"/>
        <v>0</v>
      </c>
      <c r="BT67" s="480">
        <f t="shared" si="157"/>
        <v>0</v>
      </c>
      <c r="BU67" s="480">
        <f t="shared" si="158"/>
        <v>0</v>
      </c>
      <c r="BV67" s="480">
        <f t="shared" si="159"/>
        <v>0</v>
      </c>
      <c r="BW67" s="41"/>
      <c r="BX67" s="39">
        <f t="shared" si="54"/>
        <v>0</v>
      </c>
      <c r="BY67" s="39">
        <f t="shared" si="55"/>
        <v>0</v>
      </c>
      <c r="BZ67" s="39">
        <f t="shared" si="56"/>
        <v>0</v>
      </c>
      <c r="CA67" s="40" t="s">
        <v>374</v>
      </c>
      <c r="CB67" s="40"/>
      <c r="CC67" s="40"/>
    </row>
    <row r="68" spans="1:81" ht="15">
      <c r="A68" s="453">
        <f t="shared" si="118"/>
        <v>59</v>
      </c>
      <c r="B68" s="500" t="s">
        <v>436</v>
      </c>
      <c r="C68" s="492" t="s">
        <v>437</v>
      </c>
      <c r="D68" s="456"/>
      <c r="E68" s="457" t="s">
        <v>381</v>
      </c>
      <c r="F68" s="458"/>
      <c r="G68" s="459">
        <v>5</v>
      </c>
      <c r="H68" s="460">
        <v>5</v>
      </c>
      <c r="I68" s="461" t="s">
        <v>394</v>
      </c>
      <c r="J68" s="462">
        <v>40000</v>
      </c>
      <c r="K68" s="463"/>
      <c r="L68" s="464">
        <f>Opex!E28+Opex!E32</f>
        <v>4</v>
      </c>
      <c r="M68" s="466"/>
      <c r="N68" s="466"/>
      <c r="O68" s="466"/>
      <c r="P68" s="466"/>
      <c r="Q68" s="467">
        <f t="shared" si="6"/>
        <v>40000</v>
      </c>
      <c r="R68" s="483">
        <f t="shared" si="119"/>
        <v>41200</v>
      </c>
      <c r="S68" s="483">
        <f t="shared" si="119"/>
        <v>42436</v>
      </c>
      <c r="T68" s="483">
        <f t="shared" si="119"/>
        <v>43709.08</v>
      </c>
      <c r="U68" s="483">
        <f t="shared" si="119"/>
        <v>45020.352400000003</v>
      </c>
      <c r="V68" s="468">
        <f t="shared" si="120"/>
        <v>160000</v>
      </c>
      <c r="W68" s="468">
        <f t="shared" si="120"/>
        <v>0</v>
      </c>
      <c r="X68" s="468">
        <f t="shared" si="120"/>
        <v>0</v>
      </c>
      <c r="Y68" s="468">
        <f t="shared" si="120"/>
        <v>0</v>
      </c>
      <c r="Z68" s="468">
        <f t="shared" si="120"/>
        <v>0</v>
      </c>
      <c r="AA68" s="469">
        <f t="shared" si="160"/>
        <v>160000</v>
      </c>
      <c r="AB68" s="470">
        <f t="shared" si="124"/>
        <v>46949.540723392543</v>
      </c>
      <c r="AC68" s="471">
        <f t="shared" si="125"/>
        <v>32000</v>
      </c>
      <c r="AD68" s="471">
        <f t="shared" si="126"/>
        <v>14949.540723392543</v>
      </c>
      <c r="AE68" s="472">
        <v>0.03</v>
      </c>
      <c r="AF68" s="471">
        <f t="shared" si="13"/>
        <v>4800</v>
      </c>
      <c r="AG68" s="471">
        <f t="shared" si="127"/>
        <v>400</v>
      </c>
      <c r="AH68" s="473">
        <f t="shared" si="128"/>
        <v>128000</v>
      </c>
      <c r="AI68" s="484">
        <f t="shared" si="129"/>
        <v>43959.632578714038</v>
      </c>
      <c r="AJ68" s="474">
        <f t="shared" si="17"/>
        <v>32000</v>
      </c>
      <c r="AK68" s="471">
        <f t="shared" si="130"/>
        <v>11959.632578714034</v>
      </c>
      <c r="AL68" s="475">
        <f t="shared" si="131"/>
        <v>3.7499999999999999E-2</v>
      </c>
      <c r="AM68" s="471">
        <f t="shared" si="50"/>
        <v>6000</v>
      </c>
      <c r="AN68" s="471">
        <f t="shared" si="132"/>
        <v>326.40000000000003</v>
      </c>
      <c r="AO68" s="476">
        <f t="shared" si="133"/>
        <v>96000</v>
      </c>
      <c r="AP68" s="484">
        <f t="shared" si="134"/>
        <v>40969.724434035525</v>
      </c>
      <c r="AQ68" s="485">
        <f t="shared" si="135"/>
        <v>32000</v>
      </c>
      <c r="AR68" s="471">
        <f t="shared" si="136"/>
        <v>8969.7244340355246</v>
      </c>
      <c r="AS68" s="475">
        <f t="shared" si="137"/>
        <v>4.4999999999999998E-2</v>
      </c>
      <c r="AT68" s="471">
        <f t="shared" si="51"/>
        <v>7200</v>
      </c>
      <c r="AU68" s="471">
        <f t="shared" si="138"/>
        <v>249.696</v>
      </c>
      <c r="AV68" s="476">
        <f t="shared" si="27"/>
        <v>64000</v>
      </c>
      <c r="AW68" s="484">
        <f t="shared" si="139"/>
        <v>37979.816289357019</v>
      </c>
      <c r="AX68" s="474">
        <f t="shared" si="140"/>
        <v>32000</v>
      </c>
      <c r="AY68" s="471">
        <f t="shared" si="141"/>
        <v>5979.816289357017</v>
      </c>
      <c r="AZ68" s="475">
        <f t="shared" si="31"/>
        <v>5.2499999999999998E-2</v>
      </c>
      <c r="BA68" s="471">
        <f t="shared" si="52"/>
        <v>8400</v>
      </c>
      <c r="BB68" s="471">
        <f t="shared" si="142"/>
        <v>169.79327999999998</v>
      </c>
      <c r="BC68" s="476">
        <f t="shared" si="143"/>
        <v>32000</v>
      </c>
      <c r="BD68" s="484">
        <f t="shared" si="144"/>
        <v>34989.908144678506</v>
      </c>
      <c r="BE68" s="474">
        <f t="shared" si="145"/>
        <v>32000</v>
      </c>
      <c r="BF68" s="471">
        <f t="shared" si="146"/>
        <v>2989.9081446785085</v>
      </c>
      <c r="BG68" s="475">
        <f t="shared" si="147"/>
        <v>0.06</v>
      </c>
      <c r="BH68" s="471">
        <f t="shared" si="53"/>
        <v>9600</v>
      </c>
      <c r="BI68" s="471">
        <f t="shared" si="148"/>
        <v>86.594572800000009</v>
      </c>
      <c r="BJ68" s="473">
        <f t="shared" si="149"/>
        <v>0</v>
      </c>
      <c r="BK68" s="479">
        <f t="shared" si="150"/>
        <v>160000</v>
      </c>
      <c r="BL68" s="480">
        <f t="shared" si="150"/>
        <v>44848.622170177623</v>
      </c>
      <c r="BM68" s="480">
        <f t="shared" si="151"/>
        <v>36000</v>
      </c>
      <c r="BN68" s="480">
        <f t="shared" si="151"/>
        <v>1232.4838528</v>
      </c>
      <c r="BO68" s="480">
        <f t="shared" si="161"/>
        <v>204848.62217017764</v>
      </c>
      <c r="BP68" s="480">
        <f t="shared" si="153"/>
        <v>242081.10602297762</v>
      </c>
      <c r="BQ68" s="480">
        <f t="shared" si="154"/>
        <v>204848.62217017764</v>
      </c>
      <c r="BR68" s="480">
        <f t="shared" si="155"/>
        <v>0</v>
      </c>
      <c r="BS68" s="480">
        <f t="shared" si="156"/>
        <v>0</v>
      </c>
      <c r="BT68" s="480">
        <f t="shared" si="157"/>
        <v>0</v>
      </c>
      <c r="BU68" s="480">
        <f t="shared" si="158"/>
        <v>0</v>
      </c>
      <c r="BV68" s="480">
        <f t="shared" si="159"/>
        <v>0</v>
      </c>
      <c r="BW68" s="41"/>
      <c r="BX68" s="39">
        <f t="shared" si="54"/>
        <v>4345.7950602827123</v>
      </c>
      <c r="BY68" s="39">
        <f t="shared" si="55"/>
        <v>4190.5027148928366</v>
      </c>
      <c r="BZ68" s="39">
        <f t="shared" si="56"/>
        <v>4034.9517028362939</v>
      </c>
      <c r="CA68" s="40" t="s">
        <v>374</v>
      </c>
      <c r="CB68" s="40"/>
      <c r="CC68" s="40"/>
    </row>
    <row r="69" spans="1:81" ht="15">
      <c r="A69" s="453">
        <f t="shared" si="118"/>
        <v>60</v>
      </c>
      <c r="B69" s="454" t="s">
        <v>370</v>
      </c>
      <c r="C69" s="492" t="s">
        <v>438</v>
      </c>
      <c r="D69" s="456"/>
      <c r="E69" s="457" t="s">
        <v>381</v>
      </c>
      <c r="F69" s="458"/>
      <c r="G69" s="459">
        <v>5</v>
      </c>
      <c r="H69" s="460">
        <v>5</v>
      </c>
      <c r="I69" s="461" t="s">
        <v>373</v>
      </c>
      <c r="J69" s="462">
        <v>12000</v>
      </c>
      <c r="K69" s="463"/>
      <c r="L69" s="464">
        <v>3</v>
      </c>
      <c r="M69" s="466"/>
      <c r="N69" s="466"/>
      <c r="O69" s="466"/>
      <c r="P69" s="466"/>
      <c r="Q69" s="467">
        <f t="shared" si="6"/>
        <v>12000</v>
      </c>
      <c r="R69" s="483">
        <f t="shared" si="119"/>
        <v>12360</v>
      </c>
      <c r="S69" s="483">
        <f t="shared" si="119"/>
        <v>12730.8</v>
      </c>
      <c r="T69" s="483">
        <f t="shared" si="119"/>
        <v>13112.723999999998</v>
      </c>
      <c r="U69" s="483">
        <f t="shared" si="119"/>
        <v>13506.105719999998</v>
      </c>
      <c r="V69" s="468">
        <f t="shared" si="120"/>
        <v>36000</v>
      </c>
      <c r="W69" s="468">
        <f t="shared" si="120"/>
        <v>0</v>
      </c>
      <c r="X69" s="468">
        <f t="shared" si="120"/>
        <v>0</v>
      </c>
      <c r="Y69" s="468">
        <f t="shared" si="120"/>
        <v>0</v>
      </c>
      <c r="Z69" s="468">
        <f t="shared" si="120"/>
        <v>0</v>
      </c>
      <c r="AA69" s="469">
        <f t="shared" si="160"/>
        <v>36000</v>
      </c>
      <c r="AB69" s="470">
        <f t="shared" si="124"/>
        <v>10563.646662763322</v>
      </c>
      <c r="AC69" s="471">
        <f t="shared" si="125"/>
        <v>7200</v>
      </c>
      <c r="AD69" s="471">
        <f t="shared" si="126"/>
        <v>3363.6466627633217</v>
      </c>
      <c r="AE69" s="472">
        <v>0.03</v>
      </c>
      <c r="AF69" s="471">
        <f t="shared" si="13"/>
        <v>1080</v>
      </c>
      <c r="AG69" s="471">
        <f t="shared" si="127"/>
        <v>90</v>
      </c>
      <c r="AH69" s="473">
        <f t="shared" si="128"/>
        <v>28800</v>
      </c>
      <c r="AI69" s="484">
        <f t="shared" si="129"/>
        <v>9890.9173302106574</v>
      </c>
      <c r="AJ69" s="474">
        <f t="shared" si="17"/>
        <v>7200</v>
      </c>
      <c r="AK69" s="471">
        <f t="shared" si="130"/>
        <v>2690.9173302106578</v>
      </c>
      <c r="AL69" s="475">
        <f t="shared" si="131"/>
        <v>3.7499999999999999E-2</v>
      </c>
      <c r="AM69" s="471">
        <f t="shared" si="50"/>
        <v>1350</v>
      </c>
      <c r="AN69" s="471">
        <f t="shared" si="132"/>
        <v>73.440000000000012</v>
      </c>
      <c r="AO69" s="476">
        <f t="shared" si="133"/>
        <v>21600</v>
      </c>
      <c r="AP69" s="484">
        <f t="shared" si="134"/>
        <v>9218.187997657993</v>
      </c>
      <c r="AQ69" s="485">
        <f t="shared" si="135"/>
        <v>7200</v>
      </c>
      <c r="AR69" s="471">
        <f t="shared" si="136"/>
        <v>2018.1879976579935</v>
      </c>
      <c r="AS69" s="475">
        <f t="shared" si="137"/>
        <v>4.4999999999999998E-2</v>
      </c>
      <c r="AT69" s="471">
        <f t="shared" si="51"/>
        <v>1620</v>
      </c>
      <c r="AU69" s="471">
        <f t="shared" si="138"/>
        <v>56.181600000000003</v>
      </c>
      <c r="AV69" s="476">
        <f t="shared" si="27"/>
        <v>14400</v>
      </c>
      <c r="AW69" s="484">
        <f t="shared" si="139"/>
        <v>8545.4586651053287</v>
      </c>
      <c r="AX69" s="474">
        <f t="shared" si="140"/>
        <v>7200</v>
      </c>
      <c r="AY69" s="471">
        <f t="shared" si="141"/>
        <v>1345.4586651053289</v>
      </c>
      <c r="AZ69" s="475">
        <f t="shared" si="31"/>
        <v>5.2499999999999998E-2</v>
      </c>
      <c r="BA69" s="471">
        <f t="shared" si="52"/>
        <v>1890</v>
      </c>
      <c r="BB69" s="471">
        <f t="shared" si="142"/>
        <v>38.203488</v>
      </c>
      <c r="BC69" s="476">
        <f t="shared" si="143"/>
        <v>7200</v>
      </c>
      <c r="BD69" s="484">
        <f t="shared" si="144"/>
        <v>7872.7293325526643</v>
      </c>
      <c r="BE69" s="474">
        <f t="shared" si="145"/>
        <v>7200</v>
      </c>
      <c r="BF69" s="471">
        <f t="shared" si="146"/>
        <v>672.72933255266446</v>
      </c>
      <c r="BG69" s="475">
        <f t="shared" si="147"/>
        <v>0.06</v>
      </c>
      <c r="BH69" s="471">
        <f t="shared" si="53"/>
        <v>2160</v>
      </c>
      <c r="BI69" s="471">
        <f t="shared" si="148"/>
        <v>19.483778880000003</v>
      </c>
      <c r="BJ69" s="473">
        <f t="shared" si="149"/>
        <v>0</v>
      </c>
      <c r="BK69" s="479">
        <f t="shared" si="150"/>
        <v>36000</v>
      </c>
      <c r="BL69" s="480">
        <f t="shared" si="150"/>
        <v>10090.939988289965</v>
      </c>
      <c r="BM69" s="480">
        <f t="shared" si="151"/>
        <v>8100</v>
      </c>
      <c r="BN69" s="480">
        <f t="shared" si="151"/>
        <v>277.30886688000004</v>
      </c>
      <c r="BO69" s="480">
        <f t="shared" si="161"/>
        <v>46090.939988289967</v>
      </c>
      <c r="BP69" s="480">
        <f t="shared" si="153"/>
        <v>54468.248855169964</v>
      </c>
      <c r="BQ69" s="480">
        <f t="shared" si="154"/>
        <v>46090.939988289967</v>
      </c>
      <c r="BR69" s="480">
        <f t="shared" si="155"/>
        <v>0</v>
      </c>
      <c r="BS69" s="480">
        <f t="shared" si="156"/>
        <v>0</v>
      </c>
      <c r="BT69" s="480">
        <f t="shared" si="157"/>
        <v>0</v>
      </c>
      <c r="BU69" s="480">
        <f t="shared" si="158"/>
        <v>0</v>
      </c>
      <c r="BV69" s="480">
        <f t="shared" si="159"/>
        <v>0</v>
      </c>
      <c r="BW69" s="41"/>
      <c r="BX69" s="39">
        <f t="shared" si="54"/>
        <v>977.80388856361014</v>
      </c>
      <c r="BY69" s="39">
        <f t="shared" si="55"/>
        <v>942.86311085088812</v>
      </c>
      <c r="BZ69" s="39">
        <f t="shared" si="56"/>
        <v>907.86413313816604</v>
      </c>
      <c r="CA69" s="40" t="s">
        <v>374</v>
      </c>
      <c r="CB69" s="40"/>
      <c r="CC69" s="40"/>
    </row>
    <row r="70" spans="1:81" ht="15" hidden="1">
      <c r="A70" s="453">
        <f t="shared" si="118"/>
        <v>61</v>
      </c>
      <c r="B70" s="454" t="s">
        <v>370</v>
      </c>
      <c r="C70" s="492" t="s">
        <v>439</v>
      </c>
      <c r="D70" s="456"/>
      <c r="E70" s="457" t="s">
        <v>381</v>
      </c>
      <c r="F70" s="458"/>
      <c r="G70" s="459">
        <v>5</v>
      </c>
      <c r="H70" s="460">
        <v>5</v>
      </c>
      <c r="I70" s="461" t="s">
        <v>394</v>
      </c>
      <c r="J70" s="462">
        <v>500</v>
      </c>
      <c r="K70" s="463"/>
      <c r="L70" s="464">
        <v>0</v>
      </c>
      <c r="M70" s="466"/>
      <c r="N70" s="466"/>
      <c r="O70" s="466"/>
      <c r="P70" s="466"/>
      <c r="Q70" s="467">
        <f t="shared" si="6"/>
        <v>500</v>
      </c>
      <c r="R70" s="483">
        <f t="shared" ref="R70:U78" si="162">Q70*R$3+Q70</f>
        <v>515</v>
      </c>
      <c r="S70" s="483">
        <f t="shared" si="162"/>
        <v>530.45000000000005</v>
      </c>
      <c r="T70" s="483">
        <f t="shared" si="162"/>
        <v>546.36350000000004</v>
      </c>
      <c r="U70" s="483">
        <f t="shared" si="162"/>
        <v>562.75440500000002</v>
      </c>
      <c r="V70" s="468">
        <f t="shared" ref="V70:V78" si="163">Q70*L70</f>
        <v>0</v>
      </c>
      <c r="W70" s="468">
        <f t="shared" ref="W70:W78" si="164">R70*M70</f>
        <v>0</v>
      </c>
      <c r="X70" s="468">
        <f t="shared" ref="X70:X78" si="165">S70*N70</f>
        <v>0</v>
      </c>
      <c r="Y70" s="468">
        <f t="shared" ref="Y70:Y78" si="166">T70*O70</f>
        <v>0</v>
      </c>
      <c r="Z70" s="468">
        <f t="shared" ref="Z70:Z78" si="167">U70*P70</f>
        <v>0</v>
      </c>
      <c r="AA70" s="469">
        <f t="shared" si="160"/>
        <v>0</v>
      </c>
      <c r="AB70" s="470">
        <f t="shared" si="124"/>
        <v>0</v>
      </c>
      <c r="AC70" s="471">
        <f t="shared" si="125"/>
        <v>0</v>
      </c>
      <c r="AD70" s="471">
        <f t="shared" si="126"/>
        <v>0</v>
      </c>
      <c r="AE70" s="472">
        <v>0.03</v>
      </c>
      <c r="AF70" s="471">
        <f t="shared" si="13"/>
        <v>0</v>
      </c>
      <c r="AG70" s="471">
        <f t="shared" si="127"/>
        <v>0</v>
      </c>
      <c r="AH70" s="473">
        <f t="shared" si="128"/>
        <v>0</v>
      </c>
      <c r="AI70" s="484">
        <f t="shared" si="129"/>
        <v>0</v>
      </c>
      <c r="AJ70" s="474">
        <f t="shared" si="17"/>
        <v>0</v>
      </c>
      <c r="AK70" s="471">
        <f t="shared" si="130"/>
        <v>0</v>
      </c>
      <c r="AL70" s="475">
        <f t="shared" si="131"/>
        <v>3.7499999999999999E-2</v>
      </c>
      <c r="AM70" s="471">
        <f t="shared" si="50"/>
        <v>0</v>
      </c>
      <c r="AN70" s="471">
        <f t="shared" si="132"/>
        <v>0</v>
      </c>
      <c r="AO70" s="476">
        <f t="shared" si="133"/>
        <v>0</v>
      </c>
      <c r="AP70" s="484">
        <f t="shared" si="134"/>
        <v>0</v>
      </c>
      <c r="AQ70" s="485">
        <f t="shared" si="135"/>
        <v>0</v>
      </c>
      <c r="AR70" s="471">
        <f t="shared" si="136"/>
        <v>0</v>
      </c>
      <c r="AS70" s="475">
        <f t="shared" si="137"/>
        <v>4.4999999999999998E-2</v>
      </c>
      <c r="AT70" s="471">
        <f t="shared" si="51"/>
        <v>0</v>
      </c>
      <c r="AU70" s="471">
        <f t="shared" si="138"/>
        <v>0</v>
      </c>
      <c r="AV70" s="476">
        <f t="shared" si="27"/>
        <v>0</v>
      </c>
      <c r="AW70" s="484">
        <f t="shared" si="139"/>
        <v>0</v>
      </c>
      <c r="AX70" s="474">
        <f t="shared" si="140"/>
        <v>0</v>
      </c>
      <c r="AY70" s="471">
        <f t="shared" si="141"/>
        <v>0</v>
      </c>
      <c r="AZ70" s="475">
        <f t="shared" si="31"/>
        <v>5.2499999999999998E-2</v>
      </c>
      <c r="BA70" s="471">
        <f t="shared" si="52"/>
        <v>0</v>
      </c>
      <c r="BB70" s="471">
        <f t="shared" si="142"/>
        <v>0</v>
      </c>
      <c r="BC70" s="476">
        <f t="shared" si="143"/>
        <v>0</v>
      </c>
      <c r="BD70" s="484">
        <f t="shared" si="144"/>
        <v>0</v>
      </c>
      <c r="BE70" s="474">
        <f t="shared" si="145"/>
        <v>0</v>
      </c>
      <c r="BF70" s="471">
        <f t="shared" si="146"/>
        <v>0</v>
      </c>
      <c r="BG70" s="475">
        <f t="shared" si="147"/>
        <v>0.06</v>
      </c>
      <c r="BH70" s="471">
        <f t="shared" si="53"/>
        <v>0</v>
      </c>
      <c r="BI70" s="471">
        <f t="shared" si="148"/>
        <v>0</v>
      </c>
      <c r="BJ70" s="473">
        <f t="shared" si="149"/>
        <v>0</v>
      </c>
      <c r="BK70" s="479">
        <f t="shared" si="150"/>
        <v>0</v>
      </c>
      <c r="BL70" s="480">
        <f t="shared" si="150"/>
        <v>0</v>
      </c>
      <c r="BM70" s="480">
        <f t="shared" si="151"/>
        <v>0</v>
      </c>
      <c r="BN70" s="480">
        <f t="shared" si="151"/>
        <v>0</v>
      </c>
      <c r="BO70" s="480">
        <f t="shared" si="161"/>
        <v>0</v>
      </c>
      <c r="BP70" s="480">
        <f t="shared" si="153"/>
        <v>0</v>
      </c>
      <c r="BQ70" s="480">
        <f t="shared" si="154"/>
        <v>0</v>
      </c>
      <c r="BR70" s="480">
        <f t="shared" si="155"/>
        <v>0</v>
      </c>
      <c r="BS70" s="480">
        <f t="shared" si="156"/>
        <v>0</v>
      </c>
      <c r="BT70" s="480">
        <f t="shared" si="157"/>
        <v>0</v>
      </c>
      <c r="BU70" s="480">
        <f t="shared" si="158"/>
        <v>0</v>
      </c>
      <c r="BV70" s="480">
        <f t="shared" si="159"/>
        <v>0</v>
      </c>
      <c r="BW70" s="41"/>
      <c r="BX70" s="39">
        <f t="shared" si="54"/>
        <v>0</v>
      </c>
      <c r="BY70" s="39">
        <f t="shared" si="55"/>
        <v>0</v>
      </c>
      <c r="BZ70" s="39">
        <f t="shared" si="56"/>
        <v>0</v>
      </c>
      <c r="CA70" s="40" t="s">
        <v>374</v>
      </c>
      <c r="CB70" s="40"/>
      <c r="CC70" s="40"/>
    </row>
    <row r="71" spans="1:81" ht="15" hidden="1">
      <c r="A71" s="453">
        <f t="shared" si="118"/>
        <v>62</v>
      </c>
      <c r="B71" s="454" t="s">
        <v>370</v>
      </c>
      <c r="C71" s="492" t="s">
        <v>440</v>
      </c>
      <c r="D71" s="456"/>
      <c r="E71" s="457" t="s">
        <v>381</v>
      </c>
      <c r="F71" s="458"/>
      <c r="G71" s="459">
        <v>5</v>
      </c>
      <c r="H71" s="460">
        <v>5</v>
      </c>
      <c r="I71" s="461" t="s">
        <v>394</v>
      </c>
      <c r="J71" s="462">
        <v>400</v>
      </c>
      <c r="K71" s="463"/>
      <c r="L71" s="464">
        <v>0</v>
      </c>
      <c r="M71" s="466"/>
      <c r="N71" s="466"/>
      <c r="O71" s="466"/>
      <c r="P71" s="466"/>
      <c r="Q71" s="467">
        <f t="shared" si="6"/>
        <v>400</v>
      </c>
      <c r="R71" s="483">
        <f t="shared" si="162"/>
        <v>412</v>
      </c>
      <c r="S71" s="483">
        <f t="shared" si="162"/>
        <v>424.36</v>
      </c>
      <c r="T71" s="483">
        <f t="shared" si="162"/>
        <v>437.0908</v>
      </c>
      <c r="U71" s="483">
        <f t="shared" si="162"/>
        <v>450.20352400000002</v>
      </c>
      <c r="V71" s="468">
        <f t="shared" si="163"/>
        <v>0</v>
      </c>
      <c r="W71" s="468">
        <f t="shared" si="164"/>
        <v>0</v>
      </c>
      <c r="X71" s="468">
        <f t="shared" si="165"/>
        <v>0</v>
      </c>
      <c r="Y71" s="468">
        <f t="shared" si="166"/>
        <v>0</v>
      </c>
      <c r="Z71" s="468">
        <f t="shared" si="167"/>
        <v>0</v>
      </c>
      <c r="AA71" s="469">
        <f t="shared" si="160"/>
        <v>0</v>
      </c>
      <c r="AB71" s="470">
        <f t="shared" si="124"/>
        <v>0</v>
      </c>
      <c r="AC71" s="471">
        <f t="shared" si="125"/>
        <v>0</v>
      </c>
      <c r="AD71" s="471">
        <f t="shared" si="126"/>
        <v>0</v>
      </c>
      <c r="AE71" s="472">
        <v>0.03</v>
      </c>
      <c r="AF71" s="471">
        <f t="shared" si="13"/>
        <v>0</v>
      </c>
      <c r="AG71" s="471">
        <f t="shared" si="127"/>
        <v>0</v>
      </c>
      <c r="AH71" s="473">
        <f t="shared" si="128"/>
        <v>0</v>
      </c>
      <c r="AI71" s="484">
        <f t="shared" si="129"/>
        <v>0</v>
      </c>
      <c r="AJ71" s="474">
        <f t="shared" si="17"/>
        <v>0</v>
      </c>
      <c r="AK71" s="471">
        <f t="shared" si="130"/>
        <v>0</v>
      </c>
      <c r="AL71" s="475">
        <f t="shared" si="131"/>
        <v>3.7499999999999999E-2</v>
      </c>
      <c r="AM71" s="471">
        <f t="shared" si="50"/>
        <v>0</v>
      </c>
      <c r="AN71" s="471">
        <f t="shared" si="132"/>
        <v>0</v>
      </c>
      <c r="AO71" s="476">
        <f t="shared" si="133"/>
        <v>0</v>
      </c>
      <c r="AP71" s="484">
        <f t="shared" si="134"/>
        <v>0</v>
      </c>
      <c r="AQ71" s="485">
        <f t="shared" si="135"/>
        <v>0</v>
      </c>
      <c r="AR71" s="471">
        <f t="shared" si="136"/>
        <v>0</v>
      </c>
      <c r="AS71" s="475">
        <f t="shared" si="137"/>
        <v>4.4999999999999998E-2</v>
      </c>
      <c r="AT71" s="471">
        <f t="shared" si="51"/>
        <v>0</v>
      </c>
      <c r="AU71" s="471">
        <f t="shared" si="138"/>
        <v>0</v>
      </c>
      <c r="AV71" s="476">
        <f t="shared" si="27"/>
        <v>0</v>
      </c>
      <c r="AW71" s="484">
        <f t="shared" si="139"/>
        <v>0</v>
      </c>
      <c r="AX71" s="474">
        <f t="shared" si="140"/>
        <v>0</v>
      </c>
      <c r="AY71" s="471">
        <f t="shared" si="141"/>
        <v>0</v>
      </c>
      <c r="AZ71" s="475">
        <f t="shared" si="31"/>
        <v>5.2499999999999998E-2</v>
      </c>
      <c r="BA71" s="471">
        <f t="shared" si="52"/>
        <v>0</v>
      </c>
      <c r="BB71" s="471">
        <f t="shared" si="142"/>
        <v>0</v>
      </c>
      <c r="BC71" s="476">
        <f t="shared" si="143"/>
        <v>0</v>
      </c>
      <c r="BD71" s="484">
        <f t="shared" si="144"/>
        <v>0</v>
      </c>
      <c r="BE71" s="474">
        <f t="shared" si="145"/>
        <v>0</v>
      </c>
      <c r="BF71" s="471">
        <f t="shared" si="146"/>
        <v>0</v>
      </c>
      <c r="BG71" s="475">
        <f t="shared" si="147"/>
        <v>0.06</v>
      </c>
      <c r="BH71" s="471">
        <f t="shared" si="53"/>
        <v>0</v>
      </c>
      <c r="BI71" s="471">
        <f t="shared" si="148"/>
        <v>0</v>
      </c>
      <c r="BJ71" s="473">
        <f t="shared" si="149"/>
        <v>0</v>
      </c>
      <c r="BK71" s="479">
        <f t="shared" si="150"/>
        <v>0</v>
      </c>
      <c r="BL71" s="480">
        <f t="shared" si="150"/>
        <v>0</v>
      </c>
      <c r="BM71" s="480">
        <f t="shared" si="151"/>
        <v>0</v>
      </c>
      <c r="BN71" s="480">
        <f t="shared" si="151"/>
        <v>0</v>
      </c>
      <c r="BO71" s="480">
        <f t="shared" si="161"/>
        <v>0</v>
      </c>
      <c r="BP71" s="480">
        <f t="shared" si="153"/>
        <v>0</v>
      </c>
      <c r="BQ71" s="480">
        <f t="shared" si="154"/>
        <v>0</v>
      </c>
      <c r="BR71" s="480">
        <f t="shared" si="155"/>
        <v>0</v>
      </c>
      <c r="BS71" s="480">
        <f t="shared" si="156"/>
        <v>0</v>
      </c>
      <c r="BT71" s="480">
        <f t="shared" si="157"/>
        <v>0</v>
      </c>
      <c r="BU71" s="480">
        <f t="shared" si="158"/>
        <v>0</v>
      </c>
      <c r="BV71" s="480">
        <f t="shared" si="159"/>
        <v>0</v>
      </c>
      <c r="BW71" s="41"/>
      <c r="BX71" s="39">
        <f t="shared" si="54"/>
        <v>0</v>
      </c>
      <c r="BY71" s="39">
        <f t="shared" si="55"/>
        <v>0</v>
      </c>
      <c r="BZ71" s="39">
        <f t="shared" si="56"/>
        <v>0</v>
      </c>
      <c r="CA71" s="40" t="s">
        <v>374</v>
      </c>
      <c r="CB71" s="40"/>
      <c r="CC71" s="40"/>
    </row>
    <row r="72" spans="1:81" ht="15">
      <c r="A72" s="453">
        <f t="shared" si="118"/>
        <v>63</v>
      </c>
      <c r="B72" s="454" t="s">
        <v>382</v>
      </c>
      <c r="C72" s="492" t="s">
        <v>441</v>
      </c>
      <c r="D72" s="456"/>
      <c r="E72" s="457" t="s">
        <v>381</v>
      </c>
      <c r="F72" s="458"/>
      <c r="G72" s="459">
        <v>5</v>
      </c>
      <c r="H72" s="460">
        <v>5</v>
      </c>
      <c r="I72" s="461" t="s">
        <v>394</v>
      </c>
      <c r="J72" s="462">
        <v>10</v>
      </c>
      <c r="K72" s="463"/>
      <c r="L72" s="497">
        <f>L8</f>
        <v>73250</v>
      </c>
      <c r="M72" s="466"/>
      <c r="N72" s="466"/>
      <c r="O72" s="466"/>
      <c r="P72" s="466"/>
      <c r="Q72" s="467">
        <f t="shared" si="6"/>
        <v>10</v>
      </c>
      <c r="R72" s="483">
        <f t="shared" si="162"/>
        <v>10.3</v>
      </c>
      <c r="S72" s="483">
        <f t="shared" si="162"/>
        <v>10.609</v>
      </c>
      <c r="T72" s="483">
        <f t="shared" si="162"/>
        <v>10.92727</v>
      </c>
      <c r="U72" s="483">
        <f t="shared" si="162"/>
        <v>11.2550881</v>
      </c>
      <c r="V72" s="468">
        <f t="shared" si="163"/>
        <v>732500</v>
      </c>
      <c r="W72" s="468">
        <f t="shared" si="164"/>
        <v>0</v>
      </c>
      <c r="X72" s="468">
        <f t="shared" si="165"/>
        <v>0</v>
      </c>
      <c r="Y72" s="468">
        <f t="shared" si="166"/>
        <v>0</v>
      </c>
      <c r="Z72" s="468">
        <f t="shared" si="167"/>
        <v>0</v>
      </c>
      <c r="AA72" s="469">
        <f t="shared" si="123"/>
        <v>732500</v>
      </c>
      <c r="AB72" s="470">
        <f t="shared" si="124"/>
        <v>214940.86612428149</v>
      </c>
      <c r="AC72" s="471">
        <f t="shared" si="125"/>
        <v>146500</v>
      </c>
      <c r="AD72" s="471">
        <f t="shared" si="126"/>
        <v>68440.8661242815</v>
      </c>
      <c r="AE72" s="472">
        <v>0.05</v>
      </c>
      <c r="AF72" s="471">
        <f t="shared" si="13"/>
        <v>36625</v>
      </c>
      <c r="AG72" s="471">
        <f t="shared" si="127"/>
        <v>1831.25</v>
      </c>
      <c r="AH72" s="473">
        <f t="shared" si="128"/>
        <v>586000</v>
      </c>
      <c r="AI72" s="484">
        <f t="shared" si="129"/>
        <v>201252.69289942519</v>
      </c>
      <c r="AJ72" s="474">
        <f t="shared" si="17"/>
        <v>146500</v>
      </c>
      <c r="AK72" s="471">
        <f t="shared" si="130"/>
        <v>54752.692899425194</v>
      </c>
      <c r="AL72" s="475">
        <f t="shared" si="131"/>
        <v>5.7500000000000002E-2</v>
      </c>
      <c r="AM72" s="471">
        <f t="shared" si="50"/>
        <v>42118.75</v>
      </c>
      <c r="AN72" s="471">
        <f t="shared" si="132"/>
        <v>1494.3000000000002</v>
      </c>
      <c r="AO72" s="476">
        <f t="shared" si="133"/>
        <v>439500</v>
      </c>
      <c r="AP72" s="484">
        <f t="shared" si="134"/>
        <v>187564.5196745689</v>
      </c>
      <c r="AQ72" s="485">
        <f t="shared" si="135"/>
        <v>146500</v>
      </c>
      <c r="AR72" s="471">
        <f t="shared" si="136"/>
        <v>41064.519674568888</v>
      </c>
      <c r="AS72" s="475">
        <f t="shared" si="137"/>
        <v>6.5000000000000002E-2</v>
      </c>
      <c r="AT72" s="471">
        <f t="shared" si="51"/>
        <v>47612.5</v>
      </c>
      <c r="AU72" s="471">
        <f t="shared" si="138"/>
        <v>1143.1395</v>
      </c>
      <c r="AV72" s="476">
        <f t="shared" si="27"/>
        <v>293000</v>
      </c>
      <c r="AW72" s="484">
        <f t="shared" si="139"/>
        <v>173876.34644971258</v>
      </c>
      <c r="AX72" s="474">
        <f t="shared" si="140"/>
        <v>146500</v>
      </c>
      <c r="AY72" s="471">
        <f t="shared" si="141"/>
        <v>27376.346449712597</v>
      </c>
      <c r="AZ72" s="475">
        <f t="shared" si="31"/>
        <v>7.2500000000000009E-2</v>
      </c>
      <c r="BA72" s="471">
        <f t="shared" si="52"/>
        <v>53106.250000000007</v>
      </c>
      <c r="BB72" s="471">
        <f t="shared" si="142"/>
        <v>777.33485999999994</v>
      </c>
      <c r="BC72" s="476">
        <f t="shared" si="143"/>
        <v>146500</v>
      </c>
      <c r="BD72" s="484">
        <f t="shared" si="144"/>
        <v>160188.17322485629</v>
      </c>
      <c r="BE72" s="474">
        <f t="shared" si="145"/>
        <v>146500</v>
      </c>
      <c r="BF72" s="471">
        <f t="shared" si="146"/>
        <v>13688.173224856298</v>
      </c>
      <c r="BG72" s="475">
        <f t="shared" si="147"/>
        <v>8.0000000000000016E-2</v>
      </c>
      <c r="BH72" s="471">
        <f t="shared" si="53"/>
        <v>58600.000000000015</v>
      </c>
      <c r="BI72" s="471">
        <f t="shared" si="148"/>
        <v>396.44077860000004</v>
      </c>
      <c r="BJ72" s="473">
        <f t="shared" si="149"/>
        <v>0</v>
      </c>
      <c r="BK72" s="479">
        <f t="shared" si="150"/>
        <v>732500</v>
      </c>
      <c r="BL72" s="480">
        <f t="shared" si="150"/>
        <v>205322.59837284448</v>
      </c>
      <c r="BM72" s="480">
        <f t="shared" si="151"/>
        <v>238062.50000000003</v>
      </c>
      <c r="BN72" s="480">
        <f t="shared" si="151"/>
        <v>5642.4651386000005</v>
      </c>
      <c r="BO72" s="480">
        <f t="shared" si="152"/>
        <v>937822.59837284451</v>
      </c>
      <c r="BP72" s="480">
        <f t="shared" si="153"/>
        <v>1181527.5635114445</v>
      </c>
      <c r="BQ72" s="480">
        <f t="shared" si="154"/>
        <v>937822.5983728444</v>
      </c>
      <c r="BR72" s="480">
        <f t="shared" si="155"/>
        <v>0</v>
      </c>
      <c r="BS72" s="480">
        <f t="shared" si="156"/>
        <v>0</v>
      </c>
      <c r="BT72" s="480">
        <f t="shared" si="157"/>
        <v>0</v>
      </c>
      <c r="BU72" s="480">
        <f t="shared" si="158"/>
        <v>0</v>
      </c>
      <c r="BV72" s="480">
        <f t="shared" si="159"/>
        <v>0</v>
      </c>
      <c r="BW72" s="41"/>
      <c r="BX72" s="39">
        <f t="shared" si="54"/>
        <v>21116.426343690124</v>
      </c>
      <c r="BY72" s="39">
        <f t="shared" si="55"/>
        <v>20405.4785749521</v>
      </c>
      <c r="BZ72" s="39">
        <f t="shared" si="56"/>
        <v>19693.34659788074</v>
      </c>
      <c r="CA72" s="40" t="s">
        <v>374</v>
      </c>
      <c r="CB72" s="40"/>
      <c r="CC72" s="40"/>
    </row>
    <row r="73" spans="1:81" ht="15">
      <c r="A73" s="453">
        <f t="shared" si="118"/>
        <v>64</v>
      </c>
      <c r="B73" s="500" t="s">
        <v>436</v>
      </c>
      <c r="C73" s="492" t="s">
        <v>442</v>
      </c>
      <c r="D73" s="456"/>
      <c r="E73" s="457" t="s">
        <v>381</v>
      </c>
      <c r="F73" s="458"/>
      <c r="G73" s="459">
        <v>5</v>
      </c>
      <c r="H73" s="460">
        <v>5</v>
      </c>
      <c r="I73" s="461" t="s">
        <v>373</v>
      </c>
      <c r="J73" s="462">
        <v>20000</v>
      </c>
      <c r="K73" s="463"/>
      <c r="L73" s="464">
        <v>4</v>
      </c>
      <c r="M73" s="465"/>
      <c r="N73" s="465"/>
      <c r="O73" s="465"/>
      <c r="P73" s="465"/>
      <c r="Q73" s="467">
        <f t="shared" si="6"/>
        <v>20000</v>
      </c>
      <c r="R73" s="483">
        <f t="shared" si="162"/>
        <v>20600</v>
      </c>
      <c r="S73" s="483">
        <f t="shared" si="162"/>
        <v>21218</v>
      </c>
      <c r="T73" s="483">
        <f t="shared" si="162"/>
        <v>21854.54</v>
      </c>
      <c r="U73" s="483">
        <f t="shared" si="162"/>
        <v>22510.176200000002</v>
      </c>
      <c r="V73" s="468">
        <f t="shared" si="163"/>
        <v>80000</v>
      </c>
      <c r="W73" s="468">
        <f t="shared" si="164"/>
        <v>0</v>
      </c>
      <c r="X73" s="468">
        <f t="shared" si="165"/>
        <v>0</v>
      </c>
      <c r="Y73" s="468">
        <f t="shared" si="166"/>
        <v>0</v>
      </c>
      <c r="Z73" s="468">
        <f t="shared" si="167"/>
        <v>0</v>
      </c>
      <c r="AA73" s="469">
        <f t="shared" si="123"/>
        <v>80000</v>
      </c>
      <c r="AB73" s="470">
        <f t="shared" si="124"/>
        <v>23474.770361696272</v>
      </c>
      <c r="AC73" s="471">
        <f t="shared" si="125"/>
        <v>16000</v>
      </c>
      <c r="AD73" s="471">
        <f t="shared" si="126"/>
        <v>7474.7703616962717</v>
      </c>
      <c r="AE73" s="472">
        <v>0.05</v>
      </c>
      <c r="AF73" s="471">
        <f t="shared" si="13"/>
        <v>4000</v>
      </c>
      <c r="AG73" s="471">
        <f t="shared" si="127"/>
        <v>200</v>
      </c>
      <c r="AH73" s="473">
        <f t="shared" si="128"/>
        <v>64000</v>
      </c>
      <c r="AI73" s="484">
        <f t="shared" si="129"/>
        <v>21979.816289357019</v>
      </c>
      <c r="AJ73" s="474">
        <f t="shared" si="17"/>
        <v>16000</v>
      </c>
      <c r="AK73" s="471">
        <f t="shared" si="130"/>
        <v>5979.816289357017</v>
      </c>
      <c r="AL73" s="475">
        <f t="shared" si="131"/>
        <v>5.7500000000000002E-2</v>
      </c>
      <c r="AM73" s="471">
        <f t="shared" si="50"/>
        <v>4600</v>
      </c>
      <c r="AN73" s="471">
        <f t="shared" si="132"/>
        <v>163.20000000000002</v>
      </c>
      <c r="AO73" s="476">
        <f t="shared" si="133"/>
        <v>48000</v>
      </c>
      <c r="AP73" s="484">
        <f t="shared" si="134"/>
        <v>20484.862217017762</v>
      </c>
      <c r="AQ73" s="485">
        <f t="shared" si="135"/>
        <v>16000</v>
      </c>
      <c r="AR73" s="471">
        <f t="shared" si="136"/>
        <v>4484.8622170177623</v>
      </c>
      <c r="AS73" s="475">
        <f t="shared" si="137"/>
        <v>6.5000000000000002E-2</v>
      </c>
      <c r="AT73" s="471">
        <f t="shared" si="51"/>
        <v>5200</v>
      </c>
      <c r="AU73" s="471">
        <f t="shared" si="138"/>
        <v>124.848</v>
      </c>
      <c r="AV73" s="476">
        <f t="shared" si="27"/>
        <v>32000</v>
      </c>
      <c r="AW73" s="484">
        <f t="shared" si="139"/>
        <v>18989.908144678509</v>
      </c>
      <c r="AX73" s="474">
        <f t="shared" si="140"/>
        <v>16000</v>
      </c>
      <c r="AY73" s="471">
        <f t="shared" si="141"/>
        <v>2989.9081446785085</v>
      </c>
      <c r="AZ73" s="475">
        <f t="shared" si="31"/>
        <v>7.2500000000000009E-2</v>
      </c>
      <c r="BA73" s="471">
        <f t="shared" si="52"/>
        <v>5800.0000000000009</v>
      </c>
      <c r="BB73" s="471">
        <f t="shared" si="142"/>
        <v>84.896639999999991</v>
      </c>
      <c r="BC73" s="476">
        <f t="shared" si="143"/>
        <v>16000</v>
      </c>
      <c r="BD73" s="484">
        <f t="shared" si="144"/>
        <v>17494.954072339253</v>
      </c>
      <c r="BE73" s="474">
        <f t="shared" si="145"/>
        <v>16000</v>
      </c>
      <c r="BF73" s="471">
        <f t="shared" si="146"/>
        <v>1494.9540723392543</v>
      </c>
      <c r="BG73" s="475">
        <f t="shared" si="147"/>
        <v>8.0000000000000016E-2</v>
      </c>
      <c r="BH73" s="471">
        <f t="shared" si="53"/>
        <v>6400.0000000000009</v>
      </c>
      <c r="BI73" s="471">
        <f t="shared" si="148"/>
        <v>43.297286400000004</v>
      </c>
      <c r="BJ73" s="473">
        <f t="shared" si="149"/>
        <v>0</v>
      </c>
      <c r="BK73" s="479">
        <f t="shared" si="150"/>
        <v>80000</v>
      </c>
      <c r="BL73" s="480">
        <f t="shared" si="150"/>
        <v>22424.311085088812</v>
      </c>
      <c r="BM73" s="480">
        <f t="shared" si="151"/>
        <v>26000</v>
      </c>
      <c r="BN73" s="480">
        <f t="shared" si="151"/>
        <v>616.24192640000001</v>
      </c>
      <c r="BO73" s="480">
        <f t="shared" si="152"/>
        <v>102424.31108508882</v>
      </c>
      <c r="BP73" s="480">
        <f t="shared" si="153"/>
        <v>129040.55301148881</v>
      </c>
      <c r="BQ73" s="480">
        <f t="shared" si="154"/>
        <v>102424.31108508882</v>
      </c>
      <c r="BR73" s="480">
        <f t="shared" si="155"/>
        <v>0</v>
      </c>
      <c r="BS73" s="480">
        <f t="shared" si="156"/>
        <v>0</v>
      </c>
      <c r="BT73" s="480">
        <f t="shared" si="157"/>
        <v>0</v>
      </c>
      <c r="BU73" s="480">
        <f t="shared" si="158"/>
        <v>0</v>
      </c>
      <c r="BV73" s="480">
        <f t="shared" si="159"/>
        <v>0</v>
      </c>
      <c r="BW73" s="41"/>
      <c r="BX73" s="39">
        <f t="shared" si="54"/>
        <v>2306.2308634746892</v>
      </c>
      <c r="BY73" s="39">
        <f t="shared" si="55"/>
        <v>2228.5846907797518</v>
      </c>
      <c r="BZ73" s="39">
        <f t="shared" si="56"/>
        <v>2150.8091847514802</v>
      </c>
      <c r="CA73" s="40" t="s">
        <v>374</v>
      </c>
      <c r="CB73" s="40"/>
      <c r="CC73" s="40"/>
    </row>
    <row r="74" spans="1:81" ht="15" hidden="1">
      <c r="A74" s="453">
        <f t="shared" si="118"/>
        <v>65</v>
      </c>
      <c r="B74" s="500" t="s">
        <v>436</v>
      </c>
      <c r="C74" s="492" t="s">
        <v>443</v>
      </c>
      <c r="D74" s="456"/>
      <c r="E74" s="457" t="s">
        <v>381</v>
      </c>
      <c r="F74" s="458"/>
      <c r="G74" s="459">
        <v>5</v>
      </c>
      <c r="H74" s="460">
        <v>5</v>
      </c>
      <c r="I74" s="461" t="s">
        <v>373</v>
      </c>
      <c r="J74" s="462">
        <v>12000</v>
      </c>
      <c r="K74" s="463"/>
      <c r="L74" s="464">
        <v>0</v>
      </c>
      <c r="M74" s="466"/>
      <c r="N74" s="466"/>
      <c r="O74" s="466"/>
      <c r="P74" s="466"/>
      <c r="Q74" s="467">
        <f t="shared" si="6"/>
        <v>12000</v>
      </c>
      <c r="R74" s="483">
        <f t="shared" si="162"/>
        <v>12360</v>
      </c>
      <c r="S74" s="483">
        <f t="shared" si="162"/>
        <v>12730.8</v>
      </c>
      <c r="T74" s="483">
        <f t="shared" si="162"/>
        <v>13112.723999999998</v>
      </c>
      <c r="U74" s="483">
        <f t="shared" si="162"/>
        <v>13506.105719999998</v>
      </c>
      <c r="V74" s="468">
        <f t="shared" si="163"/>
        <v>0</v>
      </c>
      <c r="W74" s="468">
        <f t="shared" si="164"/>
        <v>0</v>
      </c>
      <c r="X74" s="468">
        <f t="shared" si="165"/>
        <v>0</v>
      </c>
      <c r="Y74" s="468">
        <f t="shared" si="166"/>
        <v>0</v>
      </c>
      <c r="Z74" s="468">
        <f t="shared" si="167"/>
        <v>0</v>
      </c>
      <c r="AA74" s="469">
        <f t="shared" si="123"/>
        <v>0</v>
      </c>
      <c r="AB74" s="470">
        <f t="shared" si="124"/>
        <v>0</v>
      </c>
      <c r="AC74" s="471">
        <f t="shared" si="125"/>
        <v>0</v>
      </c>
      <c r="AD74" s="471">
        <f t="shared" si="126"/>
        <v>0</v>
      </c>
      <c r="AE74" s="472">
        <v>0.05</v>
      </c>
      <c r="AF74" s="471">
        <f t="shared" si="13"/>
        <v>0</v>
      </c>
      <c r="AG74" s="471">
        <f t="shared" si="127"/>
        <v>0</v>
      </c>
      <c r="AH74" s="473">
        <f t="shared" si="128"/>
        <v>0</v>
      </c>
      <c r="AI74" s="484">
        <f t="shared" si="129"/>
        <v>0</v>
      </c>
      <c r="AJ74" s="474">
        <f t="shared" si="17"/>
        <v>0</v>
      </c>
      <c r="AK74" s="471">
        <f t="shared" si="130"/>
        <v>0</v>
      </c>
      <c r="AL74" s="475">
        <f t="shared" si="131"/>
        <v>5.7500000000000002E-2</v>
      </c>
      <c r="AM74" s="471">
        <f t="shared" si="50"/>
        <v>0</v>
      </c>
      <c r="AN74" s="471">
        <f t="shared" si="132"/>
        <v>0</v>
      </c>
      <c r="AO74" s="476">
        <f t="shared" si="133"/>
        <v>0</v>
      </c>
      <c r="AP74" s="484">
        <f t="shared" si="134"/>
        <v>0</v>
      </c>
      <c r="AQ74" s="485">
        <f t="shared" si="135"/>
        <v>0</v>
      </c>
      <c r="AR74" s="471">
        <f t="shared" si="136"/>
        <v>0</v>
      </c>
      <c r="AS74" s="475">
        <f t="shared" si="137"/>
        <v>6.5000000000000002E-2</v>
      </c>
      <c r="AT74" s="471">
        <f t="shared" si="51"/>
        <v>0</v>
      </c>
      <c r="AU74" s="471">
        <f t="shared" si="138"/>
        <v>0</v>
      </c>
      <c r="AV74" s="476">
        <f t="shared" si="27"/>
        <v>0</v>
      </c>
      <c r="AW74" s="484">
        <f t="shared" si="139"/>
        <v>0</v>
      </c>
      <c r="AX74" s="474">
        <f t="shared" si="140"/>
        <v>0</v>
      </c>
      <c r="AY74" s="471">
        <f t="shared" si="141"/>
        <v>0</v>
      </c>
      <c r="AZ74" s="475">
        <f t="shared" si="31"/>
        <v>7.2500000000000009E-2</v>
      </c>
      <c r="BA74" s="471">
        <f t="shared" si="52"/>
        <v>0</v>
      </c>
      <c r="BB74" s="471">
        <f t="shared" si="142"/>
        <v>0</v>
      </c>
      <c r="BC74" s="476">
        <f t="shared" si="143"/>
        <v>0</v>
      </c>
      <c r="BD74" s="484">
        <f t="shared" si="144"/>
        <v>0</v>
      </c>
      <c r="BE74" s="474">
        <f t="shared" si="145"/>
        <v>0</v>
      </c>
      <c r="BF74" s="471">
        <f t="shared" si="146"/>
        <v>0</v>
      </c>
      <c r="BG74" s="475">
        <f t="shared" si="147"/>
        <v>8.0000000000000016E-2</v>
      </c>
      <c r="BH74" s="471">
        <f t="shared" si="53"/>
        <v>0</v>
      </c>
      <c r="BI74" s="471">
        <f t="shared" si="148"/>
        <v>0</v>
      </c>
      <c r="BJ74" s="473">
        <f t="shared" si="149"/>
        <v>0</v>
      </c>
      <c r="BK74" s="479">
        <f t="shared" si="150"/>
        <v>0</v>
      </c>
      <c r="BL74" s="480">
        <f t="shared" si="150"/>
        <v>0</v>
      </c>
      <c r="BM74" s="480">
        <f t="shared" si="151"/>
        <v>0</v>
      </c>
      <c r="BN74" s="480">
        <f t="shared" si="151"/>
        <v>0</v>
      </c>
      <c r="BO74" s="480">
        <f t="shared" si="152"/>
        <v>0</v>
      </c>
      <c r="BP74" s="480">
        <f t="shared" si="153"/>
        <v>0</v>
      </c>
      <c r="BQ74" s="480">
        <f t="shared" si="154"/>
        <v>0</v>
      </c>
      <c r="BR74" s="480">
        <f t="shared" si="155"/>
        <v>0</v>
      </c>
      <c r="BS74" s="480">
        <f t="shared" si="156"/>
        <v>0</v>
      </c>
      <c r="BT74" s="480">
        <f t="shared" si="157"/>
        <v>0</v>
      </c>
      <c r="BU74" s="480">
        <f t="shared" si="158"/>
        <v>0</v>
      </c>
      <c r="BV74" s="480">
        <f t="shared" si="159"/>
        <v>0</v>
      </c>
      <c r="BW74" s="41"/>
      <c r="BX74" s="39">
        <f t="shared" si="54"/>
        <v>0</v>
      </c>
      <c r="BY74" s="39">
        <f t="shared" si="55"/>
        <v>0</v>
      </c>
      <c r="BZ74" s="39">
        <f t="shared" si="56"/>
        <v>0</v>
      </c>
      <c r="CA74" s="40" t="s">
        <v>374</v>
      </c>
      <c r="CB74" s="40"/>
      <c r="CC74" s="40"/>
    </row>
    <row r="75" spans="1:81" ht="15" hidden="1">
      <c r="A75" s="453">
        <f t="shared" si="118"/>
        <v>66</v>
      </c>
      <c r="B75" s="500" t="s">
        <v>436</v>
      </c>
      <c r="C75" s="492" t="s">
        <v>444</v>
      </c>
      <c r="D75" s="456"/>
      <c r="E75" s="457" t="s">
        <v>381</v>
      </c>
      <c r="F75" s="458"/>
      <c r="G75" s="459">
        <v>5</v>
      </c>
      <c r="H75" s="460">
        <v>5</v>
      </c>
      <c r="I75" s="461" t="s">
        <v>373</v>
      </c>
      <c r="J75" s="462">
        <v>40000</v>
      </c>
      <c r="K75" s="463"/>
      <c r="L75" s="464">
        <v>0</v>
      </c>
      <c r="M75" s="466"/>
      <c r="N75" s="466"/>
      <c r="O75" s="466"/>
      <c r="P75" s="466"/>
      <c r="Q75" s="467">
        <f t="shared" si="6"/>
        <v>40000</v>
      </c>
      <c r="R75" s="483">
        <f t="shared" si="162"/>
        <v>41200</v>
      </c>
      <c r="S75" s="483">
        <f t="shared" si="162"/>
        <v>42436</v>
      </c>
      <c r="T75" s="483">
        <f t="shared" si="162"/>
        <v>43709.08</v>
      </c>
      <c r="U75" s="483">
        <f t="shared" si="162"/>
        <v>45020.352400000003</v>
      </c>
      <c r="V75" s="468">
        <f t="shared" si="163"/>
        <v>0</v>
      </c>
      <c r="W75" s="468">
        <f t="shared" si="164"/>
        <v>0</v>
      </c>
      <c r="X75" s="468">
        <f t="shared" si="165"/>
        <v>0</v>
      </c>
      <c r="Y75" s="468">
        <f t="shared" si="166"/>
        <v>0</v>
      </c>
      <c r="Z75" s="468">
        <f t="shared" si="167"/>
        <v>0</v>
      </c>
      <c r="AA75" s="469">
        <f t="shared" si="123"/>
        <v>0</v>
      </c>
      <c r="AB75" s="470">
        <f t="shared" si="124"/>
        <v>0</v>
      </c>
      <c r="AC75" s="471">
        <f t="shared" si="125"/>
        <v>0</v>
      </c>
      <c r="AD75" s="471">
        <f t="shared" si="126"/>
        <v>0</v>
      </c>
      <c r="AE75" s="472">
        <v>0.05</v>
      </c>
      <c r="AF75" s="471">
        <f t="shared" si="13"/>
        <v>0</v>
      </c>
      <c r="AG75" s="471">
        <f t="shared" si="127"/>
        <v>0</v>
      </c>
      <c r="AH75" s="473">
        <f t="shared" si="128"/>
        <v>0</v>
      </c>
      <c r="AI75" s="484">
        <f t="shared" si="129"/>
        <v>0</v>
      </c>
      <c r="AJ75" s="474">
        <f t="shared" si="17"/>
        <v>0</v>
      </c>
      <c r="AK75" s="471">
        <f t="shared" si="130"/>
        <v>0</v>
      </c>
      <c r="AL75" s="475">
        <f t="shared" si="131"/>
        <v>5.7500000000000002E-2</v>
      </c>
      <c r="AM75" s="471">
        <f t="shared" si="50"/>
        <v>0</v>
      </c>
      <c r="AN75" s="471">
        <f t="shared" si="132"/>
        <v>0</v>
      </c>
      <c r="AO75" s="476">
        <f t="shared" si="133"/>
        <v>0</v>
      </c>
      <c r="AP75" s="484">
        <f t="shared" si="134"/>
        <v>0</v>
      </c>
      <c r="AQ75" s="485">
        <f t="shared" si="135"/>
        <v>0</v>
      </c>
      <c r="AR75" s="471">
        <f t="shared" si="136"/>
        <v>0</v>
      </c>
      <c r="AS75" s="475">
        <f t="shared" si="137"/>
        <v>6.5000000000000002E-2</v>
      </c>
      <c r="AT75" s="471">
        <f t="shared" si="51"/>
        <v>0</v>
      </c>
      <c r="AU75" s="471">
        <f t="shared" si="138"/>
        <v>0</v>
      </c>
      <c r="AV75" s="476">
        <f t="shared" si="27"/>
        <v>0</v>
      </c>
      <c r="AW75" s="484">
        <f t="shared" si="139"/>
        <v>0</v>
      </c>
      <c r="AX75" s="474">
        <f t="shared" si="140"/>
        <v>0</v>
      </c>
      <c r="AY75" s="471">
        <f t="shared" si="141"/>
        <v>0</v>
      </c>
      <c r="AZ75" s="475">
        <f t="shared" si="31"/>
        <v>7.2500000000000009E-2</v>
      </c>
      <c r="BA75" s="471">
        <f t="shared" si="52"/>
        <v>0</v>
      </c>
      <c r="BB75" s="471">
        <f t="shared" si="142"/>
        <v>0</v>
      </c>
      <c r="BC75" s="476">
        <f t="shared" si="143"/>
        <v>0</v>
      </c>
      <c r="BD75" s="484">
        <f t="shared" si="144"/>
        <v>0</v>
      </c>
      <c r="BE75" s="474">
        <f t="shared" si="145"/>
        <v>0</v>
      </c>
      <c r="BF75" s="471">
        <f t="shared" si="146"/>
        <v>0</v>
      </c>
      <c r="BG75" s="475">
        <f t="shared" si="147"/>
        <v>8.0000000000000016E-2</v>
      </c>
      <c r="BH75" s="471">
        <f t="shared" si="53"/>
        <v>0</v>
      </c>
      <c r="BI75" s="471">
        <f t="shared" si="148"/>
        <v>0</v>
      </c>
      <c r="BJ75" s="473">
        <f t="shared" si="149"/>
        <v>0</v>
      </c>
      <c r="BK75" s="479">
        <f t="shared" si="150"/>
        <v>0</v>
      </c>
      <c r="BL75" s="480">
        <f t="shared" si="150"/>
        <v>0</v>
      </c>
      <c r="BM75" s="480">
        <f t="shared" si="151"/>
        <v>0</v>
      </c>
      <c r="BN75" s="480">
        <f t="shared" si="151"/>
        <v>0</v>
      </c>
      <c r="BO75" s="480">
        <f t="shared" si="152"/>
        <v>0</v>
      </c>
      <c r="BP75" s="480">
        <f t="shared" si="153"/>
        <v>0</v>
      </c>
      <c r="BQ75" s="480">
        <f t="shared" si="154"/>
        <v>0</v>
      </c>
      <c r="BR75" s="480">
        <f t="shared" si="155"/>
        <v>0</v>
      </c>
      <c r="BS75" s="480">
        <f t="shared" si="156"/>
        <v>0</v>
      </c>
      <c r="BT75" s="480">
        <f t="shared" si="157"/>
        <v>0</v>
      </c>
      <c r="BU75" s="480">
        <f t="shared" si="158"/>
        <v>0</v>
      </c>
      <c r="BV75" s="480">
        <f t="shared" si="159"/>
        <v>0</v>
      </c>
      <c r="BW75" s="41"/>
      <c r="BX75" s="39">
        <f t="shared" si="54"/>
        <v>0</v>
      </c>
      <c r="BY75" s="39">
        <f t="shared" si="55"/>
        <v>0</v>
      </c>
      <c r="BZ75" s="39">
        <f t="shared" si="56"/>
        <v>0</v>
      </c>
      <c r="CA75" s="40" t="s">
        <v>374</v>
      </c>
      <c r="CB75" s="40"/>
      <c r="CC75" s="40"/>
    </row>
    <row r="76" spans="1:81" ht="15" hidden="1">
      <c r="A76" s="453">
        <f t="shared" si="118"/>
        <v>67</v>
      </c>
      <c r="B76" s="500" t="s">
        <v>436</v>
      </c>
      <c r="C76" s="492" t="s">
        <v>445</v>
      </c>
      <c r="D76" s="456"/>
      <c r="E76" s="457" t="s">
        <v>381</v>
      </c>
      <c r="F76" s="458"/>
      <c r="G76" s="459">
        <v>5</v>
      </c>
      <c r="H76" s="460">
        <v>5</v>
      </c>
      <c r="I76" s="461" t="s">
        <v>373</v>
      </c>
      <c r="J76" s="462">
        <v>4500000</v>
      </c>
      <c r="K76" s="463"/>
      <c r="L76" s="464">
        <v>0</v>
      </c>
      <c r="M76" s="466"/>
      <c r="N76" s="466"/>
      <c r="O76" s="466"/>
      <c r="P76" s="466"/>
      <c r="Q76" s="467">
        <f t="shared" ref="Q76" si="168">J76</f>
        <v>4500000</v>
      </c>
      <c r="R76" s="483">
        <f t="shared" ref="R76" si="169">Q76*R$3+Q76</f>
        <v>4635000</v>
      </c>
      <c r="S76" s="483">
        <f t="shared" ref="S76" si="170">R76*S$3+R76</f>
        <v>4774050</v>
      </c>
      <c r="T76" s="483">
        <f t="shared" ref="T76" si="171">S76*T$3+S76</f>
        <v>4917271.5</v>
      </c>
      <c r="U76" s="483">
        <f t="shared" ref="U76" si="172">T76*U$3+T76</f>
        <v>5064789.6449999996</v>
      </c>
      <c r="V76" s="468">
        <f t="shared" ref="V76" si="173">Q76*L76</f>
        <v>0</v>
      </c>
      <c r="W76" s="468">
        <f t="shared" ref="W76" si="174">R76*M76</f>
        <v>0</v>
      </c>
      <c r="X76" s="468">
        <f t="shared" ref="X76" si="175">S76*N76</f>
        <v>0</v>
      </c>
      <c r="Y76" s="468">
        <f t="shared" ref="Y76" si="176">T76*O76</f>
        <v>0</v>
      </c>
      <c r="Z76" s="468">
        <f t="shared" ref="Z76" si="177">U76*P76</f>
        <v>0</v>
      </c>
      <c r="AA76" s="469">
        <f t="shared" ref="AA76" si="178">SUM(V76:Z76)</f>
        <v>0</v>
      </c>
      <c r="AB76" s="470">
        <f t="shared" ref="AB76" si="179">SUM(AC76:AD76)</f>
        <v>0</v>
      </c>
      <c r="AC76" s="471">
        <f t="shared" ref="AC76" si="180">V76/$G76</f>
        <v>0</v>
      </c>
      <c r="AD76" s="471">
        <f t="shared" ref="AD76" si="181">-IPMT(AB$3/12,$AD$3,$H76*12,V76,0)*12</f>
        <v>0</v>
      </c>
      <c r="AE76" s="472">
        <v>0.05</v>
      </c>
      <c r="AF76" s="471">
        <f t="shared" ref="AF76" si="182">V76*AE76</f>
        <v>0</v>
      </c>
      <c r="AG76" s="471">
        <f t="shared" ref="AG76" si="183">V76*AG$3</f>
        <v>0</v>
      </c>
      <c r="AH76" s="473">
        <f t="shared" ref="AH76" si="184">V76-AC76+W76</f>
        <v>0</v>
      </c>
      <c r="AI76" s="484">
        <f t="shared" ref="AI76" si="185">SUM(AJ76:AK76)</f>
        <v>0</v>
      </c>
      <c r="AJ76" s="474">
        <f t="shared" ref="AJ76" si="186">SUM(W76/G76)+AC76</f>
        <v>0</v>
      </c>
      <c r="AK76" s="471">
        <f t="shared" ref="AK76" si="187">-IPMT(AI$3/12,$AK$3,$H76*12,AH76,0)*12</f>
        <v>0</v>
      </c>
      <c r="AL76" s="475">
        <f t="shared" ref="AL76" si="188">IF(AE76=0,0,AE76+AL$3)</f>
        <v>5.7500000000000002E-2</v>
      </c>
      <c r="AM76" s="471">
        <f t="shared" ref="AM76" si="189">AL76*V76+AE76*W76</f>
        <v>0</v>
      </c>
      <c r="AN76" s="471">
        <f t="shared" ref="AN76" si="190">AH76*AN$3</f>
        <v>0</v>
      </c>
      <c r="AO76" s="476">
        <f t="shared" ref="AO76" si="191">SUM(AH76+W76)-AJ76+IF(G76=2,L76*R76)</f>
        <v>0</v>
      </c>
      <c r="AP76" s="484">
        <f t="shared" ref="AP76" si="192">SUM(AQ76:AR76)</f>
        <v>0</v>
      </c>
      <c r="AQ76" s="485">
        <f t="shared" ref="AQ76" si="193">SUM(X76/G76)+AJ76</f>
        <v>0</v>
      </c>
      <c r="AR76" s="471">
        <f t="shared" ref="AR76" si="194">-IPMT(AP$3/12,$AR$3,$G76*12,AO76,0)*12</f>
        <v>0</v>
      </c>
      <c r="AS76" s="475">
        <f t="shared" ref="AS76" si="195">IF(AL76=0,0,AL76+AS$3)</f>
        <v>6.5000000000000002E-2</v>
      </c>
      <c r="AT76" s="471">
        <f t="shared" ref="AT76" si="196">AS76*V76+W76*AL76+AE76*X76</f>
        <v>0</v>
      </c>
      <c r="AU76" s="471">
        <f t="shared" ref="AU76" si="197">AO76*AU$3</f>
        <v>0</v>
      </c>
      <c r="AV76" s="476">
        <f t="shared" ref="AV76" si="198">SUM(AO76+X76)-AQ76+IF(G76=3,L76*S76)</f>
        <v>0</v>
      </c>
      <c r="AW76" s="484">
        <f t="shared" ref="AW76" si="199">SUM(AX76:AY76)</f>
        <v>0</v>
      </c>
      <c r="AX76" s="474">
        <f t="shared" ref="AX76" si="200">IF(G76=3,AV76/3,SUM(Y76/G76)+AQ76)</f>
        <v>0</v>
      </c>
      <c r="AY76" s="471">
        <f t="shared" ref="AY76" si="201">-IPMT(AW$3/12,$AY$3,$G76*12,AV76,0)*12</f>
        <v>0</v>
      </c>
      <c r="AZ76" s="475">
        <f t="shared" ref="AZ76" si="202">IF(AS76=0,0,AS76+AZ$3)</f>
        <v>7.2500000000000009E-2</v>
      </c>
      <c r="BA76" s="471">
        <f t="shared" ref="BA76" si="203">AZ76*V76+W76*AS76+AL76*X76+Y76*AE76</f>
        <v>0</v>
      </c>
      <c r="BB76" s="471">
        <f t="shared" ref="BB76" si="204">AV76*BB$3</f>
        <v>0</v>
      </c>
      <c r="BC76" s="476">
        <f t="shared" ref="BC76" si="205">AV76-AX76+Z76++IF(G76=4,V76)</f>
        <v>0</v>
      </c>
      <c r="BD76" s="484">
        <f t="shared" ref="BD76" si="206">SUM(BE76:BF76)</f>
        <v>0</v>
      </c>
      <c r="BE76" s="474">
        <f t="shared" ref="BE76" si="207">SUM(Z76/G76)+AX76</f>
        <v>0</v>
      </c>
      <c r="BF76" s="471">
        <f t="shared" ref="BF76" si="208">-IPMT(BD$3/12,$BF$3,$G76*12,BC76,0)*12</f>
        <v>0</v>
      </c>
      <c r="BG76" s="475">
        <f t="shared" ref="BG76" si="209">IF(AZ76=0,0,AZ76+BG$3)</f>
        <v>8.0000000000000016E-2</v>
      </c>
      <c r="BH76" s="471">
        <f t="shared" ref="BH76" si="210">BG76*V76+W76*AZ76+AS76*X76+Y76*AL76+Z76*AE76</f>
        <v>0</v>
      </c>
      <c r="BI76" s="471">
        <f t="shared" ref="BI76" si="211">BC76*BI$3</f>
        <v>0</v>
      </c>
      <c r="BJ76" s="473">
        <f t="shared" ref="BJ76" si="212">BC76-BE76</f>
        <v>0</v>
      </c>
      <c r="BK76" s="479">
        <f t="shared" ref="BK76" si="213">AC76+AJ76+AQ76+AX76+BE76</f>
        <v>0</v>
      </c>
      <c r="BL76" s="480">
        <f t="shared" ref="BL76" si="214">AD76+AK76+AR76+AY76+BF76</f>
        <v>0</v>
      </c>
      <c r="BM76" s="480">
        <f t="shared" ref="BM76" si="215">BH76+BA76+AT76++AM76+AF76</f>
        <v>0</v>
      </c>
      <c r="BN76" s="480">
        <f t="shared" ref="BN76" si="216">BI76+BB76+AU76++AN76+AG76</f>
        <v>0</v>
      </c>
      <c r="BO76" s="480">
        <f t="shared" ref="BO76" si="217">SUM(BK76:BL76)</f>
        <v>0</v>
      </c>
      <c r="BP76" s="480">
        <f t="shared" ref="BP76" si="218">BM76+BN76+BO76</f>
        <v>0</v>
      </c>
      <c r="BQ76" s="480">
        <f t="shared" ref="BQ76" si="219">AB76+AI76+AP76+AW76+BD76</f>
        <v>0</v>
      </c>
      <c r="BR76" s="480">
        <f t="shared" ref="BR76" si="220">BQ76-BO76</f>
        <v>0</v>
      </c>
      <c r="BS76" s="480">
        <f t="shared" ref="BS76" si="221">AA76-BK76</f>
        <v>0</v>
      </c>
      <c r="BT76" s="480">
        <f t="shared" ref="BT76" si="222">BJ76-BS76</f>
        <v>0</v>
      </c>
      <c r="BU76" s="480">
        <f t="shared" ref="BU76" si="223">BT76+BS76</f>
        <v>0</v>
      </c>
      <c r="BV76" s="480">
        <f t="shared" ref="BV76" si="224">BJ76-BU76</f>
        <v>0</v>
      </c>
      <c r="BW76" s="41"/>
      <c r="BX76" s="39">
        <f t="shared" ref="BX76:BX77" si="225">(AB76+AF76+AG76)/$BX$8</f>
        <v>0</v>
      </c>
      <c r="BY76" s="39">
        <f t="shared" ref="BY76:BY77" si="226">(AI76+AM76+AN76)/$BY$8</f>
        <v>0</v>
      </c>
      <c r="BZ76" s="39">
        <f t="shared" ref="BZ76:BZ77" si="227">(AP76+AT76+AU76)/$BZ$8</f>
        <v>0</v>
      </c>
      <c r="CA76" s="40" t="s">
        <v>374</v>
      </c>
      <c r="CB76" s="40"/>
      <c r="CC76" s="40"/>
    </row>
    <row r="77" spans="1:81" ht="15" hidden="1">
      <c r="A77" s="453">
        <f t="shared" si="118"/>
        <v>68</v>
      </c>
      <c r="B77" s="454" t="s">
        <v>370</v>
      </c>
      <c r="C77" s="492" t="s">
        <v>446</v>
      </c>
      <c r="D77" s="456"/>
      <c r="E77" s="457" t="s">
        <v>381</v>
      </c>
      <c r="F77" s="458"/>
      <c r="G77" s="459">
        <v>5</v>
      </c>
      <c r="H77" s="460">
        <v>5</v>
      </c>
      <c r="I77" s="461" t="s">
        <v>373</v>
      </c>
      <c r="J77" s="462">
        <v>35000</v>
      </c>
      <c r="K77" s="463"/>
      <c r="L77" s="464">
        <v>0</v>
      </c>
      <c r="M77" s="466"/>
      <c r="N77" s="466"/>
      <c r="O77" s="466"/>
      <c r="P77" s="466"/>
      <c r="Q77" s="467">
        <f t="shared" si="6"/>
        <v>35000</v>
      </c>
      <c r="R77" s="483">
        <f t="shared" si="162"/>
        <v>36050</v>
      </c>
      <c r="S77" s="483">
        <f t="shared" si="162"/>
        <v>37131.5</v>
      </c>
      <c r="T77" s="483">
        <f t="shared" si="162"/>
        <v>38245.445</v>
      </c>
      <c r="U77" s="483">
        <f t="shared" si="162"/>
        <v>39392.808349999999</v>
      </c>
      <c r="V77" s="468">
        <f t="shared" si="163"/>
        <v>0</v>
      </c>
      <c r="W77" s="468">
        <f t="shared" si="164"/>
        <v>0</v>
      </c>
      <c r="X77" s="468">
        <f t="shared" si="165"/>
        <v>0</v>
      </c>
      <c r="Y77" s="468">
        <f t="shared" si="166"/>
        <v>0</v>
      </c>
      <c r="Z77" s="468">
        <f t="shared" si="167"/>
        <v>0</v>
      </c>
      <c r="AA77" s="469">
        <f t="shared" si="123"/>
        <v>0</v>
      </c>
      <c r="AB77" s="470">
        <f t="shared" si="124"/>
        <v>0</v>
      </c>
      <c r="AC77" s="471">
        <f t="shared" si="125"/>
        <v>0</v>
      </c>
      <c r="AD77" s="471">
        <f t="shared" si="126"/>
        <v>0</v>
      </c>
      <c r="AE77" s="472">
        <v>0.05</v>
      </c>
      <c r="AF77" s="471">
        <f t="shared" si="13"/>
        <v>0</v>
      </c>
      <c r="AG77" s="471">
        <f t="shared" si="127"/>
        <v>0</v>
      </c>
      <c r="AH77" s="473">
        <f t="shared" si="128"/>
        <v>0</v>
      </c>
      <c r="AI77" s="484">
        <f t="shared" si="129"/>
        <v>0</v>
      </c>
      <c r="AJ77" s="474">
        <f t="shared" si="17"/>
        <v>0</v>
      </c>
      <c r="AK77" s="471">
        <f t="shared" si="130"/>
        <v>0</v>
      </c>
      <c r="AL77" s="475">
        <f t="shared" si="131"/>
        <v>5.7500000000000002E-2</v>
      </c>
      <c r="AM77" s="471">
        <f t="shared" si="50"/>
        <v>0</v>
      </c>
      <c r="AN77" s="471">
        <f t="shared" si="132"/>
        <v>0</v>
      </c>
      <c r="AO77" s="476">
        <f t="shared" si="133"/>
        <v>0</v>
      </c>
      <c r="AP77" s="484">
        <f t="shared" si="134"/>
        <v>0</v>
      </c>
      <c r="AQ77" s="485">
        <f t="shared" si="135"/>
        <v>0</v>
      </c>
      <c r="AR77" s="471">
        <f t="shared" si="136"/>
        <v>0</v>
      </c>
      <c r="AS77" s="475">
        <f t="shared" si="137"/>
        <v>6.5000000000000002E-2</v>
      </c>
      <c r="AT77" s="471">
        <f t="shared" si="51"/>
        <v>0</v>
      </c>
      <c r="AU77" s="471">
        <f t="shared" si="138"/>
        <v>0</v>
      </c>
      <c r="AV77" s="476">
        <f t="shared" si="27"/>
        <v>0</v>
      </c>
      <c r="AW77" s="484">
        <f t="shared" si="139"/>
        <v>0</v>
      </c>
      <c r="AX77" s="474">
        <f t="shared" si="140"/>
        <v>0</v>
      </c>
      <c r="AY77" s="471">
        <f t="shared" si="141"/>
        <v>0</v>
      </c>
      <c r="AZ77" s="475">
        <f t="shared" si="31"/>
        <v>7.2500000000000009E-2</v>
      </c>
      <c r="BA77" s="471">
        <f t="shared" si="52"/>
        <v>0</v>
      </c>
      <c r="BB77" s="471">
        <f t="shared" si="142"/>
        <v>0</v>
      </c>
      <c r="BC77" s="476">
        <f t="shared" si="143"/>
        <v>0</v>
      </c>
      <c r="BD77" s="484">
        <f t="shared" si="144"/>
        <v>0</v>
      </c>
      <c r="BE77" s="474">
        <f t="shared" si="145"/>
        <v>0</v>
      </c>
      <c r="BF77" s="471">
        <f t="shared" si="146"/>
        <v>0</v>
      </c>
      <c r="BG77" s="475">
        <f t="shared" si="147"/>
        <v>8.0000000000000016E-2</v>
      </c>
      <c r="BH77" s="471">
        <f t="shared" si="53"/>
        <v>0</v>
      </c>
      <c r="BI77" s="471">
        <f t="shared" si="148"/>
        <v>0</v>
      </c>
      <c r="BJ77" s="473">
        <f t="shared" si="149"/>
        <v>0</v>
      </c>
      <c r="BK77" s="479">
        <f t="shared" si="150"/>
        <v>0</v>
      </c>
      <c r="BL77" s="480">
        <f t="shared" si="150"/>
        <v>0</v>
      </c>
      <c r="BM77" s="480">
        <f t="shared" si="151"/>
        <v>0</v>
      </c>
      <c r="BN77" s="480">
        <f t="shared" si="151"/>
        <v>0</v>
      </c>
      <c r="BO77" s="480">
        <f t="shared" si="152"/>
        <v>0</v>
      </c>
      <c r="BP77" s="480">
        <f t="shared" si="153"/>
        <v>0</v>
      </c>
      <c r="BQ77" s="480">
        <f t="shared" si="154"/>
        <v>0</v>
      </c>
      <c r="BR77" s="480">
        <f t="shared" si="155"/>
        <v>0</v>
      </c>
      <c r="BS77" s="480">
        <f t="shared" si="156"/>
        <v>0</v>
      </c>
      <c r="BT77" s="480">
        <f t="shared" si="157"/>
        <v>0</v>
      </c>
      <c r="BU77" s="480">
        <f t="shared" si="158"/>
        <v>0</v>
      </c>
      <c r="BV77" s="480">
        <f t="shared" si="159"/>
        <v>0</v>
      </c>
      <c r="BW77" s="41"/>
      <c r="BX77" s="39">
        <f t="shared" si="225"/>
        <v>0</v>
      </c>
      <c r="BY77" s="39">
        <f t="shared" si="226"/>
        <v>0</v>
      </c>
      <c r="BZ77" s="39">
        <f t="shared" si="227"/>
        <v>0</v>
      </c>
      <c r="CA77" s="40" t="s">
        <v>374</v>
      </c>
      <c r="CB77" s="40"/>
      <c r="CC77" s="40"/>
    </row>
    <row r="78" spans="1:81" ht="15" hidden="1">
      <c r="A78" s="453">
        <f t="shared" si="118"/>
        <v>69</v>
      </c>
      <c r="B78" s="454" t="s">
        <v>370</v>
      </c>
      <c r="C78" s="492" t="s">
        <v>447</v>
      </c>
      <c r="D78" s="456"/>
      <c r="E78" s="457" t="s">
        <v>381</v>
      </c>
      <c r="F78" s="458"/>
      <c r="G78" s="459">
        <v>5</v>
      </c>
      <c r="H78" s="460">
        <v>5</v>
      </c>
      <c r="I78" s="461" t="s">
        <v>373</v>
      </c>
      <c r="J78" s="462">
        <v>95000</v>
      </c>
      <c r="K78" s="463"/>
      <c r="L78" s="464">
        <v>0</v>
      </c>
      <c r="M78" s="466"/>
      <c r="N78" s="466"/>
      <c r="O78" s="466"/>
      <c r="P78" s="466"/>
      <c r="Q78" s="467">
        <f t="shared" ref="Q78:Q85" si="228">J78</f>
        <v>95000</v>
      </c>
      <c r="R78" s="483">
        <f t="shared" si="162"/>
        <v>97850</v>
      </c>
      <c r="S78" s="483">
        <f t="shared" si="162"/>
        <v>100785.5</v>
      </c>
      <c r="T78" s="483">
        <f t="shared" si="162"/>
        <v>103809.065</v>
      </c>
      <c r="U78" s="483">
        <f t="shared" si="162"/>
        <v>106923.33695</v>
      </c>
      <c r="V78" s="468">
        <f t="shared" si="163"/>
        <v>0</v>
      </c>
      <c r="W78" s="468">
        <f t="shared" si="164"/>
        <v>0</v>
      </c>
      <c r="X78" s="468">
        <f t="shared" si="165"/>
        <v>0</v>
      </c>
      <c r="Y78" s="468">
        <f t="shared" si="166"/>
        <v>0</v>
      </c>
      <c r="Z78" s="468">
        <f t="shared" si="167"/>
        <v>0</v>
      </c>
      <c r="AA78" s="469">
        <f t="shared" si="123"/>
        <v>0</v>
      </c>
      <c r="AB78" s="470">
        <f t="shared" si="124"/>
        <v>0</v>
      </c>
      <c r="AC78" s="471">
        <f t="shared" si="125"/>
        <v>0</v>
      </c>
      <c r="AD78" s="471">
        <f t="shared" si="126"/>
        <v>0</v>
      </c>
      <c r="AE78" s="472">
        <v>0.05</v>
      </c>
      <c r="AF78" s="471">
        <f t="shared" ref="AF78:AF85" si="229">V78*AE78</f>
        <v>0</v>
      </c>
      <c r="AG78" s="471">
        <f t="shared" si="127"/>
        <v>0</v>
      </c>
      <c r="AH78" s="473">
        <f t="shared" si="128"/>
        <v>0</v>
      </c>
      <c r="AI78" s="484">
        <f t="shared" si="129"/>
        <v>0</v>
      </c>
      <c r="AJ78" s="474">
        <f t="shared" ref="AJ78:AJ85" si="230">SUM(W78/G78)+AC78</f>
        <v>0</v>
      </c>
      <c r="AK78" s="471">
        <f t="shared" si="130"/>
        <v>0</v>
      </c>
      <c r="AL78" s="475">
        <f t="shared" si="131"/>
        <v>5.7500000000000002E-2</v>
      </c>
      <c r="AM78" s="471">
        <f t="shared" ref="AM78:AM85" si="231">AL78*V78+AE78*W78</f>
        <v>0</v>
      </c>
      <c r="AN78" s="471">
        <f t="shared" si="132"/>
        <v>0</v>
      </c>
      <c r="AO78" s="476">
        <f t="shared" si="133"/>
        <v>0</v>
      </c>
      <c r="AP78" s="484">
        <f t="shared" si="134"/>
        <v>0</v>
      </c>
      <c r="AQ78" s="485">
        <f t="shared" si="135"/>
        <v>0</v>
      </c>
      <c r="AR78" s="471">
        <f t="shared" si="136"/>
        <v>0</v>
      </c>
      <c r="AS78" s="475">
        <f t="shared" si="137"/>
        <v>6.5000000000000002E-2</v>
      </c>
      <c r="AT78" s="471">
        <f t="shared" ref="AT78:AT85" si="232">AS78*V78+W78*AL78+AE78*X78</f>
        <v>0</v>
      </c>
      <c r="AU78" s="471">
        <f t="shared" si="138"/>
        <v>0</v>
      </c>
      <c r="AV78" s="476">
        <f t="shared" ref="AV78:AV85" si="233">SUM(AO78+X78)-AQ78+IF(G78=3,L78*S78)</f>
        <v>0</v>
      </c>
      <c r="AW78" s="484">
        <f t="shared" si="139"/>
        <v>0</v>
      </c>
      <c r="AX78" s="474">
        <f t="shared" si="140"/>
        <v>0</v>
      </c>
      <c r="AY78" s="471">
        <f t="shared" si="141"/>
        <v>0</v>
      </c>
      <c r="AZ78" s="475">
        <f t="shared" ref="AZ78:AZ85" si="234">IF(AS78=0,0,AS78+AZ$3)</f>
        <v>7.2500000000000009E-2</v>
      </c>
      <c r="BA78" s="471">
        <f t="shared" ref="BA78:BA85" si="235">AZ78*V78+W78*AS78+AL78*X78+Y78*AE78</f>
        <v>0</v>
      </c>
      <c r="BB78" s="471">
        <f t="shared" si="142"/>
        <v>0</v>
      </c>
      <c r="BC78" s="476">
        <f t="shared" si="143"/>
        <v>0</v>
      </c>
      <c r="BD78" s="484">
        <f t="shared" si="144"/>
        <v>0</v>
      </c>
      <c r="BE78" s="474">
        <f t="shared" si="145"/>
        <v>0</v>
      </c>
      <c r="BF78" s="471">
        <f t="shared" si="146"/>
        <v>0</v>
      </c>
      <c r="BG78" s="475">
        <f t="shared" si="147"/>
        <v>8.0000000000000016E-2</v>
      </c>
      <c r="BH78" s="471">
        <f t="shared" ref="BH78:BH85" si="236">BG78*V78+W78*AZ78+AS78*X78+Y78*AL78+Z78*AE78</f>
        <v>0</v>
      </c>
      <c r="BI78" s="471">
        <f t="shared" si="148"/>
        <v>0</v>
      </c>
      <c r="BJ78" s="473">
        <f t="shared" si="149"/>
        <v>0</v>
      </c>
      <c r="BK78" s="479">
        <f t="shared" ref="BK78:BK85" si="237">AC78+AJ78+AQ78+AX78+BE78</f>
        <v>0</v>
      </c>
      <c r="BL78" s="480">
        <f t="shared" ref="BL78:BL85" si="238">AD78+AK78+AR78+AY78+BF78</f>
        <v>0</v>
      </c>
      <c r="BM78" s="480">
        <f t="shared" ref="BM78:BM85" si="239">BH78+BA78+AT78++AM78+AF78</f>
        <v>0</v>
      </c>
      <c r="BN78" s="480">
        <f t="shared" ref="BN78:BN85" si="240">BI78+BB78+AU78++AN78+AG78</f>
        <v>0</v>
      </c>
      <c r="BO78" s="480">
        <f t="shared" si="152"/>
        <v>0</v>
      </c>
      <c r="BP78" s="480">
        <f t="shared" si="153"/>
        <v>0</v>
      </c>
      <c r="BQ78" s="480">
        <f t="shared" si="154"/>
        <v>0</v>
      </c>
      <c r="BR78" s="480">
        <f t="shared" si="155"/>
        <v>0</v>
      </c>
      <c r="BS78" s="480">
        <f t="shared" si="156"/>
        <v>0</v>
      </c>
      <c r="BT78" s="480">
        <f t="shared" si="157"/>
        <v>0</v>
      </c>
      <c r="BU78" s="480">
        <f t="shared" si="158"/>
        <v>0</v>
      </c>
      <c r="BV78" s="480">
        <f t="shared" si="159"/>
        <v>0</v>
      </c>
      <c r="BW78" s="41"/>
      <c r="BX78" s="39"/>
      <c r="BY78" s="39"/>
      <c r="BZ78" s="39"/>
      <c r="CA78" s="40"/>
      <c r="CB78" s="40"/>
      <c r="CC78" s="40"/>
    </row>
    <row r="79" spans="1:81" ht="15" hidden="1">
      <c r="A79" s="453">
        <f t="shared" si="118"/>
        <v>70</v>
      </c>
      <c r="B79" s="500" t="s">
        <v>245</v>
      </c>
      <c r="C79" s="492" t="s">
        <v>448</v>
      </c>
      <c r="D79" s="456"/>
      <c r="E79" s="457" t="s">
        <v>372</v>
      </c>
      <c r="F79" s="458"/>
      <c r="G79" s="459">
        <v>5</v>
      </c>
      <c r="H79" s="460">
        <v>5</v>
      </c>
      <c r="I79" s="461" t="s">
        <v>373</v>
      </c>
      <c r="J79" s="462">
        <v>25000</v>
      </c>
      <c r="K79" s="463"/>
      <c r="L79" s="464">
        <v>0</v>
      </c>
      <c r="M79" s="466"/>
      <c r="N79" s="466"/>
      <c r="O79" s="466"/>
      <c r="P79" s="466"/>
      <c r="Q79" s="467">
        <f t="shared" si="228"/>
        <v>25000</v>
      </c>
      <c r="R79" s="483">
        <f t="shared" ref="R79:U83" si="241">Q79*R$3+Q79</f>
        <v>25750</v>
      </c>
      <c r="S79" s="483">
        <f t="shared" si="241"/>
        <v>26522.5</v>
      </c>
      <c r="T79" s="483">
        <f t="shared" si="241"/>
        <v>27318.174999999999</v>
      </c>
      <c r="U79" s="483">
        <f t="shared" si="241"/>
        <v>28137.720249999998</v>
      </c>
      <c r="V79" s="468">
        <f t="shared" ref="V79:Z83" si="242">Q79*L79</f>
        <v>0</v>
      </c>
      <c r="W79" s="468">
        <f t="shared" si="242"/>
        <v>0</v>
      </c>
      <c r="X79" s="468">
        <f t="shared" si="242"/>
        <v>0</v>
      </c>
      <c r="Y79" s="468">
        <f t="shared" si="242"/>
        <v>0</v>
      </c>
      <c r="Z79" s="468">
        <f t="shared" si="242"/>
        <v>0</v>
      </c>
      <c r="AA79" s="469">
        <f t="shared" si="123"/>
        <v>0</v>
      </c>
      <c r="AB79" s="470">
        <f t="shared" si="124"/>
        <v>0</v>
      </c>
      <c r="AC79" s="471">
        <f t="shared" si="125"/>
        <v>0</v>
      </c>
      <c r="AD79" s="471">
        <f t="shared" si="126"/>
        <v>0</v>
      </c>
      <c r="AE79" s="472">
        <v>0.05</v>
      </c>
      <c r="AF79" s="471">
        <f t="shared" si="229"/>
        <v>0</v>
      </c>
      <c r="AG79" s="471">
        <f t="shared" si="127"/>
        <v>0</v>
      </c>
      <c r="AH79" s="473">
        <f t="shared" si="128"/>
        <v>0</v>
      </c>
      <c r="AI79" s="484">
        <f t="shared" si="129"/>
        <v>0</v>
      </c>
      <c r="AJ79" s="474">
        <f t="shared" si="230"/>
        <v>0</v>
      </c>
      <c r="AK79" s="471">
        <f t="shared" si="130"/>
        <v>0</v>
      </c>
      <c r="AL79" s="475">
        <f t="shared" si="131"/>
        <v>5.7500000000000002E-2</v>
      </c>
      <c r="AM79" s="471">
        <f t="shared" si="231"/>
        <v>0</v>
      </c>
      <c r="AN79" s="471">
        <f t="shared" si="132"/>
        <v>0</v>
      </c>
      <c r="AO79" s="476">
        <f t="shared" si="133"/>
        <v>0</v>
      </c>
      <c r="AP79" s="484">
        <f t="shared" si="134"/>
        <v>0</v>
      </c>
      <c r="AQ79" s="485">
        <f t="shared" si="135"/>
        <v>0</v>
      </c>
      <c r="AR79" s="471">
        <f t="shared" si="136"/>
        <v>0</v>
      </c>
      <c r="AS79" s="475">
        <f t="shared" si="137"/>
        <v>6.5000000000000002E-2</v>
      </c>
      <c r="AT79" s="471">
        <f t="shared" si="232"/>
        <v>0</v>
      </c>
      <c r="AU79" s="471">
        <f t="shared" si="138"/>
        <v>0</v>
      </c>
      <c r="AV79" s="476">
        <f t="shared" si="233"/>
        <v>0</v>
      </c>
      <c r="AW79" s="484">
        <f t="shared" si="139"/>
        <v>0</v>
      </c>
      <c r="AX79" s="474">
        <f t="shared" si="140"/>
        <v>0</v>
      </c>
      <c r="AY79" s="471">
        <f t="shared" si="141"/>
        <v>0</v>
      </c>
      <c r="AZ79" s="475">
        <f t="shared" si="234"/>
        <v>7.2500000000000009E-2</v>
      </c>
      <c r="BA79" s="471">
        <f t="shared" si="235"/>
        <v>0</v>
      </c>
      <c r="BB79" s="471">
        <f t="shared" si="142"/>
        <v>0</v>
      </c>
      <c r="BC79" s="476">
        <f t="shared" si="143"/>
        <v>0</v>
      </c>
      <c r="BD79" s="484">
        <f t="shared" si="144"/>
        <v>0</v>
      </c>
      <c r="BE79" s="474">
        <f t="shared" si="145"/>
        <v>0</v>
      </c>
      <c r="BF79" s="471">
        <f t="shared" si="146"/>
        <v>0</v>
      </c>
      <c r="BG79" s="475">
        <f t="shared" si="147"/>
        <v>8.0000000000000016E-2</v>
      </c>
      <c r="BH79" s="471">
        <f t="shared" si="236"/>
        <v>0</v>
      </c>
      <c r="BI79" s="471">
        <f t="shared" si="148"/>
        <v>0</v>
      </c>
      <c r="BJ79" s="473">
        <f t="shared" si="149"/>
        <v>0</v>
      </c>
      <c r="BK79" s="479">
        <f t="shared" si="237"/>
        <v>0</v>
      </c>
      <c r="BL79" s="480">
        <f t="shared" si="238"/>
        <v>0</v>
      </c>
      <c r="BM79" s="480">
        <f t="shared" si="239"/>
        <v>0</v>
      </c>
      <c r="BN79" s="480">
        <f t="shared" si="240"/>
        <v>0</v>
      </c>
      <c r="BO79" s="480">
        <f t="shared" si="152"/>
        <v>0</v>
      </c>
      <c r="BP79" s="480">
        <f t="shared" si="153"/>
        <v>0</v>
      </c>
      <c r="BQ79" s="480">
        <f t="shared" si="154"/>
        <v>0</v>
      </c>
      <c r="BR79" s="480">
        <f t="shared" si="155"/>
        <v>0</v>
      </c>
      <c r="BS79" s="480">
        <f t="shared" si="156"/>
        <v>0</v>
      </c>
      <c r="BT79" s="480">
        <f t="shared" si="157"/>
        <v>0</v>
      </c>
      <c r="BU79" s="480">
        <f t="shared" si="158"/>
        <v>0</v>
      </c>
      <c r="BV79" s="480">
        <f t="shared" si="159"/>
        <v>0</v>
      </c>
      <c r="BW79" s="41"/>
      <c r="BX79" s="39">
        <f>(AB79+AF79+AG79)/$BX$8</f>
        <v>0</v>
      </c>
      <c r="BY79" s="39">
        <f>(AI79+AM79+AN79)/$BY$8</f>
        <v>0</v>
      </c>
      <c r="BZ79" s="39">
        <f>(AP79+AT79+AU79)/$BZ$8</f>
        <v>0</v>
      </c>
      <c r="CA79" s="40"/>
      <c r="CB79" s="40"/>
      <c r="CC79" s="40"/>
    </row>
    <row r="80" spans="1:81" ht="15" hidden="1">
      <c r="A80" s="453">
        <f t="shared" si="118"/>
        <v>71</v>
      </c>
      <c r="B80" s="500" t="s">
        <v>245</v>
      </c>
      <c r="C80" s="492" t="s">
        <v>449</v>
      </c>
      <c r="D80" s="456"/>
      <c r="E80" s="457" t="s">
        <v>372</v>
      </c>
      <c r="F80" s="458"/>
      <c r="G80" s="459">
        <v>5</v>
      </c>
      <c r="H80" s="460">
        <v>5</v>
      </c>
      <c r="I80" s="461" t="s">
        <v>373</v>
      </c>
      <c r="J80" s="462">
        <v>280000</v>
      </c>
      <c r="K80" s="463"/>
      <c r="L80" s="464">
        <v>0</v>
      </c>
      <c r="M80" s="466"/>
      <c r="N80" s="466"/>
      <c r="O80" s="466"/>
      <c r="P80" s="466"/>
      <c r="Q80" s="467">
        <f t="shared" si="228"/>
        <v>280000</v>
      </c>
      <c r="R80" s="483">
        <f t="shared" si="241"/>
        <v>288400</v>
      </c>
      <c r="S80" s="483">
        <f t="shared" si="241"/>
        <v>297052</v>
      </c>
      <c r="T80" s="483">
        <f t="shared" si="241"/>
        <v>305963.56</v>
      </c>
      <c r="U80" s="483">
        <f t="shared" si="241"/>
        <v>315142.46679999999</v>
      </c>
      <c r="V80" s="468">
        <f t="shared" si="242"/>
        <v>0</v>
      </c>
      <c r="W80" s="468">
        <f t="shared" si="242"/>
        <v>0</v>
      </c>
      <c r="X80" s="468">
        <f t="shared" si="242"/>
        <v>0</v>
      </c>
      <c r="Y80" s="468">
        <f t="shared" si="242"/>
        <v>0</v>
      </c>
      <c r="Z80" s="468">
        <f t="shared" si="242"/>
        <v>0</v>
      </c>
      <c r="AA80" s="469">
        <f t="shared" si="123"/>
        <v>0</v>
      </c>
      <c r="AB80" s="470">
        <f t="shared" si="124"/>
        <v>0</v>
      </c>
      <c r="AC80" s="471">
        <f t="shared" si="125"/>
        <v>0</v>
      </c>
      <c r="AD80" s="471">
        <f t="shared" si="126"/>
        <v>0</v>
      </c>
      <c r="AE80" s="472">
        <v>0.05</v>
      </c>
      <c r="AF80" s="471">
        <f t="shared" si="229"/>
        <v>0</v>
      </c>
      <c r="AG80" s="471">
        <f t="shared" si="127"/>
        <v>0</v>
      </c>
      <c r="AH80" s="473">
        <f t="shared" si="128"/>
        <v>0</v>
      </c>
      <c r="AI80" s="484">
        <f t="shared" si="129"/>
        <v>0</v>
      </c>
      <c r="AJ80" s="474">
        <f t="shared" si="230"/>
        <v>0</v>
      </c>
      <c r="AK80" s="471">
        <f t="shared" si="130"/>
        <v>0</v>
      </c>
      <c r="AL80" s="475">
        <f t="shared" si="131"/>
        <v>5.7500000000000002E-2</v>
      </c>
      <c r="AM80" s="471">
        <f t="shared" si="231"/>
        <v>0</v>
      </c>
      <c r="AN80" s="471">
        <f t="shared" si="132"/>
        <v>0</v>
      </c>
      <c r="AO80" s="476">
        <f t="shared" si="133"/>
        <v>0</v>
      </c>
      <c r="AP80" s="484">
        <f t="shared" si="134"/>
        <v>0</v>
      </c>
      <c r="AQ80" s="485">
        <f t="shared" si="135"/>
        <v>0</v>
      </c>
      <c r="AR80" s="471">
        <f t="shared" si="136"/>
        <v>0</v>
      </c>
      <c r="AS80" s="475">
        <f t="shared" si="137"/>
        <v>6.5000000000000002E-2</v>
      </c>
      <c r="AT80" s="471">
        <f t="shared" si="232"/>
        <v>0</v>
      </c>
      <c r="AU80" s="471">
        <f t="shared" si="138"/>
        <v>0</v>
      </c>
      <c r="AV80" s="476">
        <f t="shared" si="233"/>
        <v>0</v>
      </c>
      <c r="AW80" s="484">
        <f t="shared" si="139"/>
        <v>0</v>
      </c>
      <c r="AX80" s="474">
        <f t="shared" si="140"/>
        <v>0</v>
      </c>
      <c r="AY80" s="471">
        <f t="shared" si="141"/>
        <v>0</v>
      </c>
      <c r="AZ80" s="475">
        <f t="shared" si="234"/>
        <v>7.2500000000000009E-2</v>
      </c>
      <c r="BA80" s="471">
        <f t="shared" si="235"/>
        <v>0</v>
      </c>
      <c r="BB80" s="471">
        <f t="shared" si="142"/>
        <v>0</v>
      </c>
      <c r="BC80" s="476">
        <f t="shared" si="143"/>
        <v>0</v>
      </c>
      <c r="BD80" s="484">
        <f t="shared" si="144"/>
        <v>0</v>
      </c>
      <c r="BE80" s="474">
        <f t="shared" si="145"/>
        <v>0</v>
      </c>
      <c r="BF80" s="471">
        <f t="shared" si="146"/>
        <v>0</v>
      </c>
      <c r="BG80" s="475">
        <f t="shared" si="147"/>
        <v>8.0000000000000016E-2</v>
      </c>
      <c r="BH80" s="471">
        <f t="shared" si="236"/>
        <v>0</v>
      </c>
      <c r="BI80" s="471">
        <f t="shared" si="148"/>
        <v>0</v>
      </c>
      <c r="BJ80" s="473">
        <f t="shared" si="149"/>
        <v>0</v>
      </c>
      <c r="BK80" s="479">
        <f t="shared" si="237"/>
        <v>0</v>
      </c>
      <c r="BL80" s="480">
        <f t="shared" si="238"/>
        <v>0</v>
      </c>
      <c r="BM80" s="480">
        <f t="shared" si="239"/>
        <v>0</v>
      </c>
      <c r="BN80" s="480">
        <f t="shared" si="240"/>
        <v>0</v>
      </c>
      <c r="BO80" s="480">
        <f t="shared" si="152"/>
        <v>0</v>
      </c>
      <c r="BP80" s="480">
        <f t="shared" si="153"/>
        <v>0</v>
      </c>
      <c r="BQ80" s="480">
        <f t="shared" si="154"/>
        <v>0</v>
      </c>
      <c r="BR80" s="480">
        <f t="shared" si="155"/>
        <v>0</v>
      </c>
      <c r="BS80" s="480">
        <f t="shared" si="156"/>
        <v>0</v>
      </c>
      <c r="BT80" s="480">
        <f t="shared" si="157"/>
        <v>0</v>
      </c>
      <c r="BU80" s="480">
        <f t="shared" si="158"/>
        <v>0</v>
      </c>
      <c r="BV80" s="480">
        <f t="shared" si="159"/>
        <v>0</v>
      </c>
      <c r="BW80" s="41"/>
      <c r="BX80" s="39">
        <f>(AB80+AF80+AG80)/$BX$8</f>
        <v>0</v>
      </c>
      <c r="BY80" s="39">
        <f>(AI80+AM80+AN80)/$BY$8</f>
        <v>0</v>
      </c>
      <c r="BZ80" s="39">
        <f>(AP80+AT80+AU80)/$BZ$8</f>
        <v>0</v>
      </c>
      <c r="CA80" s="40"/>
      <c r="CB80" s="40"/>
      <c r="CC80" s="40"/>
    </row>
    <row r="81" spans="1:81" ht="15" hidden="1">
      <c r="A81" s="453">
        <f t="shared" si="118"/>
        <v>72</v>
      </c>
      <c r="B81" s="500" t="s">
        <v>245</v>
      </c>
      <c r="C81" s="492" t="s">
        <v>450</v>
      </c>
      <c r="D81" s="456"/>
      <c r="E81" s="457" t="s">
        <v>372</v>
      </c>
      <c r="F81" s="458"/>
      <c r="G81" s="459">
        <v>5</v>
      </c>
      <c r="H81" s="460">
        <v>5</v>
      </c>
      <c r="I81" s="461" t="s">
        <v>373</v>
      </c>
      <c r="J81" s="462">
        <v>800000</v>
      </c>
      <c r="K81" s="463"/>
      <c r="L81" s="464">
        <v>0</v>
      </c>
      <c r="M81" s="466"/>
      <c r="N81" s="466"/>
      <c r="O81" s="466"/>
      <c r="P81" s="466"/>
      <c r="Q81" s="467">
        <f t="shared" si="228"/>
        <v>800000</v>
      </c>
      <c r="R81" s="483">
        <f t="shared" si="241"/>
        <v>824000</v>
      </c>
      <c r="S81" s="483">
        <f t="shared" si="241"/>
        <v>848720</v>
      </c>
      <c r="T81" s="483">
        <f t="shared" si="241"/>
        <v>874181.6</v>
      </c>
      <c r="U81" s="483">
        <f t="shared" si="241"/>
        <v>900407.04799999995</v>
      </c>
      <c r="V81" s="468">
        <f t="shared" si="242"/>
        <v>0</v>
      </c>
      <c r="W81" s="468">
        <f t="shared" si="242"/>
        <v>0</v>
      </c>
      <c r="X81" s="468">
        <f t="shared" si="242"/>
        <v>0</v>
      </c>
      <c r="Y81" s="468">
        <f t="shared" si="242"/>
        <v>0</v>
      </c>
      <c r="Z81" s="468">
        <f t="shared" si="242"/>
        <v>0</v>
      </c>
      <c r="AA81" s="469">
        <f t="shared" si="123"/>
        <v>0</v>
      </c>
      <c r="AB81" s="470">
        <f t="shared" si="124"/>
        <v>0</v>
      </c>
      <c r="AC81" s="471">
        <f t="shared" si="125"/>
        <v>0</v>
      </c>
      <c r="AD81" s="471">
        <f t="shared" si="126"/>
        <v>0</v>
      </c>
      <c r="AE81" s="472">
        <v>0.05</v>
      </c>
      <c r="AF81" s="471">
        <f t="shared" si="229"/>
        <v>0</v>
      </c>
      <c r="AG81" s="471">
        <f t="shared" si="127"/>
        <v>0</v>
      </c>
      <c r="AH81" s="473">
        <f t="shared" si="128"/>
        <v>0</v>
      </c>
      <c r="AI81" s="484">
        <f t="shared" si="129"/>
        <v>0</v>
      </c>
      <c r="AJ81" s="474">
        <f t="shared" si="230"/>
        <v>0</v>
      </c>
      <c r="AK81" s="471">
        <f t="shared" si="130"/>
        <v>0</v>
      </c>
      <c r="AL81" s="475">
        <f t="shared" si="131"/>
        <v>5.7500000000000002E-2</v>
      </c>
      <c r="AM81" s="471">
        <f t="shared" si="231"/>
        <v>0</v>
      </c>
      <c r="AN81" s="471">
        <f t="shared" si="132"/>
        <v>0</v>
      </c>
      <c r="AO81" s="476">
        <f t="shared" si="133"/>
        <v>0</v>
      </c>
      <c r="AP81" s="484">
        <f t="shared" si="134"/>
        <v>0</v>
      </c>
      <c r="AQ81" s="485">
        <f t="shared" si="135"/>
        <v>0</v>
      </c>
      <c r="AR81" s="471">
        <f t="shared" si="136"/>
        <v>0</v>
      </c>
      <c r="AS81" s="475">
        <f t="shared" si="137"/>
        <v>6.5000000000000002E-2</v>
      </c>
      <c r="AT81" s="471">
        <f t="shared" si="232"/>
        <v>0</v>
      </c>
      <c r="AU81" s="471">
        <f t="shared" si="138"/>
        <v>0</v>
      </c>
      <c r="AV81" s="476">
        <f t="shared" si="233"/>
        <v>0</v>
      </c>
      <c r="AW81" s="484">
        <f t="shared" si="139"/>
        <v>0</v>
      </c>
      <c r="AX81" s="474">
        <f t="shared" si="140"/>
        <v>0</v>
      </c>
      <c r="AY81" s="471">
        <f t="shared" si="141"/>
        <v>0</v>
      </c>
      <c r="AZ81" s="475">
        <f t="shared" si="234"/>
        <v>7.2500000000000009E-2</v>
      </c>
      <c r="BA81" s="471">
        <f t="shared" si="235"/>
        <v>0</v>
      </c>
      <c r="BB81" s="471">
        <f t="shared" si="142"/>
        <v>0</v>
      </c>
      <c r="BC81" s="476">
        <f t="shared" si="143"/>
        <v>0</v>
      </c>
      <c r="BD81" s="484">
        <f t="shared" si="144"/>
        <v>0</v>
      </c>
      <c r="BE81" s="474">
        <f t="shared" si="145"/>
        <v>0</v>
      </c>
      <c r="BF81" s="471">
        <f t="shared" si="146"/>
        <v>0</v>
      </c>
      <c r="BG81" s="475">
        <f t="shared" si="147"/>
        <v>8.0000000000000016E-2</v>
      </c>
      <c r="BH81" s="471">
        <f t="shared" si="236"/>
        <v>0</v>
      </c>
      <c r="BI81" s="471">
        <f t="shared" si="148"/>
        <v>0</v>
      </c>
      <c r="BJ81" s="473">
        <f t="shared" si="149"/>
        <v>0</v>
      </c>
      <c r="BK81" s="479">
        <f t="shared" si="237"/>
        <v>0</v>
      </c>
      <c r="BL81" s="480">
        <f t="shared" si="238"/>
        <v>0</v>
      </c>
      <c r="BM81" s="480">
        <f t="shared" si="239"/>
        <v>0</v>
      </c>
      <c r="BN81" s="480">
        <f t="shared" si="240"/>
        <v>0</v>
      </c>
      <c r="BO81" s="480">
        <f t="shared" si="152"/>
        <v>0</v>
      </c>
      <c r="BP81" s="480">
        <f t="shared" si="153"/>
        <v>0</v>
      </c>
      <c r="BQ81" s="480">
        <f t="shared" si="154"/>
        <v>0</v>
      </c>
      <c r="BR81" s="480">
        <f t="shared" si="155"/>
        <v>0</v>
      </c>
      <c r="BS81" s="480">
        <f t="shared" si="156"/>
        <v>0</v>
      </c>
      <c r="BT81" s="480">
        <f t="shared" si="157"/>
        <v>0</v>
      </c>
      <c r="BU81" s="480">
        <f t="shared" si="158"/>
        <v>0</v>
      </c>
      <c r="BV81" s="480">
        <f t="shared" si="159"/>
        <v>0</v>
      </c>
      <c r="BW81" s="41"/>
      <c r="BX81" s="39">
        <f>(AB81+AF81+AG81)/$BX$8</f>
        <v>0</v>
      </c>
      <c r="BY81" s="39">
        <f>(AI81+AM81+AN81)/$BY$8</f>
        <v>0</v>
      </c>
      <c r="BZ81" s="39">
        <f>(AP81+AT81+AU81)/$BZ$8</f>
        <v>0</v>
      </c>
      <c r="CA81" s="40"/>
      <c r="CB81" s="40"/>
      <c r="CC81" s="40"/>
    </row>
    <row r="82" spans="1:81" ht="15" hidden="1">
      <c r="A82" s="453">
        <f t="shared" si="118"/>
        <v>73</v>
      </c>
      <c r="B82" s="454" t="s">
        <v>370</v>
      </c>
      <c r="C82" s="492" t="s">
        <v>451</v>
      </c>
      <c r="D82" s="456"/>
      <c r="E82" s="457" t="s">
        <v>381</v>
      </c>
      <c r="F82" s="458"/>
      <c r="G82" s="459">
        <v>5</v>
      </c>
      <c r="H82" s="460">
        <v>5</v>
      </c>
      <c r="I82" s="461" t="s">
        <v>373</v>
      </c>
      <c r="J82" s="462">
        <v>60000</v>
      </c>
      <c r="K82" s="463"/>
      <c r="L82" s="464">
        <v>0</v>
      </c>
      <c r="M82" s="466"/>
      <c r="N82" s="466"/>
      <c r="O82" s="466"/>
      <c r="P82" s="466"/>
      <c r="Q82" s="467">
        <f t="shared" si="228"/>
        <v>60000</v>
      </c>
      <c r="R82" s="483">
        <f t="shared" si="241"/>
        <v>61800</v>
      </c>
      <c r="S82" s="483">
        <f t="shared" si="241"/>
        <v>63654</v>
      </c>
      <c r="T82" s="483">
        <f t="shared" si="241"/>
        <v>65563.62</v>
      </c>
      <c r="U82" s="483">
        <f t="shared" si="241"/>
        <v>67530.528599999991</v>
      </c>
      <c r="V82" s="468">
        <f t="shared" si="242"/>
        <v>0</v>
      </c>
      <c r="W82" s="468">
        <f t="shared" si="242"/>
        <v>0</v>
      </c>
      <c r="X82" s="468">
        <f t="shared" si="242"/>
        <v>0</v>
      </c>
      <c r="Y82" s="468">
        <f t="shared" si="242"/>
        <v>0</v>
      </c>
      <c r="Z82" s="468">
        <f t="shared" si="242"/>
        <v>0</v>
      </c>
      <c r="AA82" s="469">
        <f t="shared" si="123"/>
        <v>0</v>
      </c>
      <c r="AB82" s="470">
        <f t="shared" si="124"/>
        <v>0</v>
      </c>
      <c r="AC82" s="471">
        <f t="shared" si="125"/>
        <v>0</v>
      </c>
      <c r="AD82" s="471">
        <f t="shared" si="126"/>
        <v>0</v>
      </c>
      <c r="AE82" s="472">
        <v>0.05</v>
      </c>
      <c r="AF82" s="471">
        <f t="shared" si="229"/>
        <v>0</v>
      </c>
      <c r="AG82" s="471">
        <f t="shared" si="127"/>
        <v>0</v>
      </c>
      <c r="AH82" s="473">
        <f t="shared" si="128"/>
        <v>0</v>
      </c>
      <c r="AI82" s="484">
        <f t="shared" si="129"/>
        <v>0</v>
      </c>
      <c r="AJ82" s="474">
        <f t="shared" si="230"/>
        <v>0</v>
      </c>
      <c r="AK82" s="471">
        <f t="shared" si="130"/>
        <v>0</v>
      </c>
      <c r="AL82" s="475">
        <f t="shared" si="131"/>
        <v>5.7500000000000002E-2</v>
      </c>
      <c r="AM82" s="471">
        <f t="shared" si="231"/>
        <v>0</v>
      </c>
      <c r="AN82" s="471">
        <f t="shared" si="132"/>
        <v>0</v>
      </c>
      <c r="AO82" s="476">
        <f t="shared" si="133"/>
        <v>0</v>
      </c>
      <c r="AP82" s="484">
        <f t="shared" si="134"/>
        <v>0</v>
      </c>
      <c r="AQ82" s="485">
        <f t="shared" si="135"/>
        <v>0</v>
      </c>
      <c r="AR82" s="471">
        <f t="shared" si="136"/>
        <v>0</v>
      </c>
      <c r="AS82" s="475">
        <f t="shared" si="137"/>
        <v>6.5000000000000002E-2</v>
      </c>
      <c r="AT82" s="471">
        <f t="shared" si="232"/>
        <v>0</v>
      </c>
      <c r="AU82" s="471">
        <f t="shared" si="138"/>
        <v>0</v>
      </c>
      <c r="AV82" s="476">
        <f t="shared" si="233"/>
        <v>0</v>
      </c>
      <c r="AW82" s="484">
        <f t="shared" si="139"/>
        <v>0</v>
      </c>
      <c r="AX82" s="474">
        <f t="shared" si="140"/>
        <v>0</v>
      </c>
      <c r="AY82" s="471">
        <f t="shared" si="141"/>
        <v>0</v>
      </c>
      <c r="AZ82" s="475">
        <f t="shared" si="234"/>
        <v>7.2500000000000009E-2</v>
      </c>
      <c r="BA82" s="471">
        <f t="shared" si="235"/>
        <v>0</v>
      </c>
      <c r="BB82" s="471">
        <f t="shared" si="142"/>
        <v>0</v>
      </c>
      <c r="BC82" s="476">
        <f t="shared" si="143"/>
        <v>0</v>
      </c>
      <c r="BD82" s="484">
        <f t="shared" si="144"/>
        <v>0</v>
      </c>
      <c r="BE82" s="474">
        <f t="shared" si="145"/>
        <v>0</v>
      </c>
      <c r="BF82" s="471">
        <f t="shared" si="146"/>
        <v>0</v>
      </c>
      <c r="BG82" s="475">
        <f t="shared" si="147"/>
        <v>8.0000000000000016E-2</v>
      </c>
      <c r="BH82" s="471">
        <f t="shared" si="236"/>
        <v>0</v>
      </c>
      <c r="BI82" s="471">
        <f t="shared" si="148"/>
        <v>0</v>
      </c>
      <c r="BJ82" s="473">
        <f t="shared" si="149"/>
        <v>0</v>
      </c>
      <c r="BK82" s="479">
        <f t="shared" si="237"/>
        <v>0</v>
      </c>
      <c r="BL82" s="480">
        <f t="shared" si="238"/>
        <v>0</v>
      </c>
      <c r="BM82" s="480">
        <f t="shared" si="239"/>
        <v>0</v>
      </c>
      <c r="BN82" s="480">
        <f t="shared" si="240"/>
        <v>0</v>
      </c>
      <c r="BO82" s="480">
        <f t="shared" si="152"/>
        <v>0</v>
      </c>
      <c r="BP82" s="480">
        <f t="shared" si="153"/>
        <v>0</v>
      </c>
      <c r="BQ82" s="480">
        <f t="shared" si="154"/>
        <v>0</v>
      </c>
      <c r="BR82" s="480">
        <f t="shared" si="155"/>
        <v>0</v>
      </c>
      <c r="BS82" s="480">
        <f t="shared" si="156"/>
        <v>0</v>
      </c>
      <c r="BT82" s="480">
        <f t="shared" si="157"/>
        <v>0</v>
      </c>
      <c r="BU82" s="480">
        <f t="shared" si="158"/>
        <v>0</v>
      </c>
      <c r="BV82" s="480">
        <f t="shared" si="159"/>
        <v>0</v>
      </c>
      <c r="BW82" s="41"/>
      <c r="BX82" s="39">
        <f>(AB82+AF82+AG82)/$BX$8</f>
        <v>0</v>
      </c>
      <c r="BY82" s="39">
        <f>(AI82+AM82+AN82)/$BY$8</f>
        <v>0</v>
      </c>
      <c r="BZ82" s="39">
        <f>(AP82+AT82+AU82)/$BZ$8</f>
        <v>0</v>
      </c>
      <c r="CA82" s="40"/>
      <c r="CB82" s="40"/>
      <c r="CC82" s="40"/>
    </row>
    <row r="83" spans="1:81" ht="15">
      <c r="A83" s="453">
        <f t="shared" si="118"/>
        <v>74</v>
      </c>
      <c r="B83" s="454" t="s">
        <v>370</v>
      </c>
      <c r="C83" s="492" t="s">
        <v>452</v>
      </c>
      <c r="D83" s="456"/>
      <c r="E83" s="457" t="s">
        <v>381</v>
      </c>
      <c r="F83" s="458"/>
      <c r="G83" s="459">
        <v>3</v>
      </c>
      <c r="H83" s="460">
        <v>3</v>
      </c>
      <c r="I83" s="461" t="s">
        <v>373</v>
      </c>
      <c r="J83" s="462">
        <v>2500</v>
      </c>
      <c r="K83" s="463"/>
      <c r="L83" s="464">
        <v>4</v>
      </c>
      <c r="M83" s="466"/>
      <c r="N83" s="466"/>
      <c r="O83" s="466"/>
      <c r="P83" s="466"/>
      <c r="Q83" s="467">
        <f t="shared" si="228"/>
        <v>2500</v>
      </c>
      <c r="R83" s="483">
        <f t="shared" si="241"/>
        <v>2575</v>
      </c>
      <c r="S83" s="483">
        <f t="shared" si="241"/>
        <v>2652.25</v>
      </c>
      <c r="T83" s="483">
        <f t="shared" si="241"/>
        <v>2731.8175000000001</v>
      </c>
      <c r="U83" s="483">
        <f t="shared" si="241"/>
        <v>2813.7720250000002</v>
      </c>
      <c r="V83" s="468">
        <f t="shared" si="242"/>
        <v>10000</v>
      </c>
      <c r="W83" s="468">
        <f t="shared" si="242"/>
        <v>0</v>
      </c>
      <c r="X83" s="468">
        <f t="shared" si="242"/>
        <v>0</v>
      </c>
      <c r="Y83" s="468">
        <f t="shared" si="242"/>
        <v>0</v>
      </c>
      <c r="Z83" s="468">
        <f t="shared" si="242"/>
        <v>0</v>
      </c>
      <c r="AA83" s="469">
        <f t="shared" si="123"/>
        <v>10000</v>
      </c>
      <c r="AB83" s="470">
        <f t="shared" si="124"/>
        <v>4211.6528861087854</v>
      </c>
      <c r="AC83" s="471">
        <f t="shared" si="125"/>
        <v>3333.3333333333335</v>
      </c>
      <c r="AD83" s="471">
        <f t="shared" si="126"/>
        <v>878.31955277545171</v>
      </c>
      <c r="AE83" s="472">
        <v>0.05</v>
      </c>
      <c r="AF83" s="471">
        <f t="shared" si="229"/>
        <v>500</v>
      </c>
      <c r="AG83" s="471">
        <f t="shared" si="127"/>
        <v>25</v>
      </c>
      <c r="AH83" s="473">
        <f t="shared" si="128"/>
        <v>6666.6666666666661</v>
      </c>
      <c r="AI83" s="484">
        <f t="shared" si="129"/>
        <v>3918.8797018503014</v>
      </c>
      <c r="AJ83" s="474">
        <f t="shared" si="230"/>
        <v>3333.3333333333335</v>
      </c>
      <c r="AK83" s="471">
        <f t="shared" si="130"/>
        <v>585.54636851696796</v>
      </c>
      <c r="AL83" s="475">
        <f t="shared" si="131"/>
        <v>5.7500000000000002E-2</v>
      </c>
      <c r="AM83" s="471">
        <f t="shared" si="231"/>
        <v>575</v>
      </c>
      <c r="AN83" s="471">
        <f t="shared" si="132"/>
        <v>17</v>
      </c>
      <c r="AO83" s="476">
        <f t="shared" si="133"/>
        <v>3333.3333333333326</v>
      </c>
      <c r="AP83" s="484">
        <f t="shared" si="134"/>
        <v>3626.1065175918175</v>
      </c>
      <c r="AQ83" s="485">
        <f t="shared" si="135"/>
        <v>3333.3333333333335</v>
      </c>
      <c r="AR83" s="471">
        <f t="shared" si="136"/>
        <v>292.77318425848387</v>
      </c>
      <c r="AS83" s="475">
        <f t="shared" si="137"/>
        <v>6.5000000000000002E-2</v>
      </c>
      <c r="AT83" s="471">
        <f t="shared" si="232"/>
        <v>650</v>
      </c>
      <c r="AU83" s="471">
        <f t="shared" si="138"/>
        <v>8.6699999999999982</v>
      </c>
      <c r="AV83" s="476">
        <f t="shared" si="233"/>
        <v>10609</v>
      </c>
      <c r="AW83" s="484">
        <f t="shared" si="139"/>
        <v>4468.1425468728103</v>
      </c>
      <c r="AX83" s="485">
        <f t="shared" si="140"/>
        <v>3536.3333333333335</v>
      </c>
      <c r="AY83" s="471">
        <f t="shared" si="141"/>
        <v>931.8092135394769</v>
      </c>
      <c r="AZ83" s="475">
        <f t="shared" si="234"/>
        <v>7.2500000000000009E-2</v>
      </c>
      <c r="BA83" s="471">
        <f t="shared" si="235"/>
        <v>725.00000000000011</v>
      </c>
      <c r="BB83" s="471">
        <f t="shared" si="142"/>
        <v>28.145889179999998</v>
      </c>
      <c r="BC83" s="476">
        <f t="shared" si="143"/>
        <v>7072.6666666666661</v>
      </c>
      <c r="BD83" s="484">
        <f t="shared" si="144"/>
        <v>4157.5394756929845</v>
      </c>
      <c r="BE83" s="474">
        <f t="shared" si="145"/>
        <v>3536.3333333333335</v>
      </c>
      <c r="BF83" s="471">
        <f t="shared" si="146"/>
        <v>621.20614235965127</v>
      </c>
      <c r="BG83" s="475">
        <f t="shared" si="147"/>
        <v>8.0000000000000016E-2</v>
      </c>
      <c r="BH83" s="471">
        <f t="shared" si="236"/>
        <v>800.00000000000011</v>
      </c>
      <c r="BI83" s="471">
        <f t="shared" si="148"/>
        <v>19.139204642399999</v>
      </c>
      <c r="BJ83" s="473">
        <f t="shared" si="149"/>
        <v>3536.3333333333326</v>
      </c>
      <c r="BK83" s="479">
        <f t="shared" si="237"/>
        <v>17072.666666666668</v>
      </c>
      <c r="BL83" s="480">
        <f t="shared" si="238"/>
        <v>3309.6544614500317</v>
      </c>
      <c r="BM83" s="480">
        <f t="shared" si="239"/>
        <v>3250</v>
      </c>
      <c r="BN83" s="480">
        <f t="shared" si="240"/>
        <v>97.955093822400002</v>
      </c>
      <c r="BO83" s="480">
        <f t="shared" si="152"/>
        <v>20382.321128116699</v>
      </c>
      <c r="BP83" s="480">
        <f t="shared" si="153"/>
        <v>23730.276221939101</v>
      </c>
      <c r="BQ83" s="480">
        <f t="shared" si="154"/>
        <v>20382.321128116699</v>
      </c>
      <c r="BR83" s="480">
        <f t="shared" si="155"/>
        <v>0</v>
      </c>
      <c r="BS83" s="480">
        <f t="shared" si="156"/>
        <v>-7072.6666666666679</v>
      </c>
      <c r="BT83" s="480">
        <f t="shared" si="157"/>
        <v>10609</v>
      </c>
      <c r="BU83" s="480">
        <f t="shared" si="158"/>
        <v>3536.3333333333321</v>
      </c>
      <c r="BV83" s="480">
        <f t="shared" si="159"/>
        <v>0</v>
      </c>
      <c r="BW83" s="41"/>
      <c r="BX83" s="39">
        <f>(AB83+AF83+AG83)/$BX$8</f>
        <v>394.72107384239877</v>
      </c>
      <c r="BY83" s="39">
        <f>(AI83+AM83+AN83)/$BY$8</f>
        <v>375.9066418208584</v>
      </c>
      <c r="BZ83" s="39">
        <f>(AP83+AT83+AU83)/$BZ$8</f>
        <v>357.06470979931811</v>
      </c>
      <c r="CA83" s="40"/>
      <c r="CB83" s="40"/>
      <c r="CC83" s="40"/>
    </row>
    <row r="84" spans="1:81" ht="15" hidden="1">
      <c r="A84" s="453">
        <f t="shared" si="118"/>
        <v>75</v>
      </c>
      <c r="B84" s="454" t="s">
        <v>370</v>
      </c>
      <c r="C84" s="492" t="s">
        <v>453</v>
      </c>
      <c r="D84" s="456"/>
      <c r="E84" s="457" t="s">
        <v>381</v>
      </c>
      <c r="F84" s="458"/>
      <c r="G84" s="459">
        <v>3</v>
      </c>
      <c r="H84" s="460">
        <v>3</v>
      </c>
      <c r="I84" s="461" t="s">
        <v>373</v>
      </c>
      <c r="J84" s="462">
        <v>2500</v>
      </c>
      <c r="K84" s="463"/>
      <c r="L84" s="464">
        <v>0</v>
      </c>
      <c r="M84" s="466"/>
      <c r="N84" s="466"/>
      <c r="O84" s="466"/>
      <c r="P84" s="466"/>
      <c r="Q84" s="467">
        <f t="shared" si="228"/>
        <v>2500</v>
      </c>
      <c r="R84" s="483">
        <f t="shared" ref="R84:U89" si="243">Q84*R$3+Q84</f>
        <v>2575</v>
      </c>
      <c r="S84" s="483">
        <f t="shared" si="243"/>
        <v>2652.25</v>
      </c>
      <c r="T84" s="483">
        <f t="shared" si="243"/>
        <v>2731.8175000000001</v>
      </c>
      <c r="U84" s="483">
        <f t="shared" si="243"/>
        <v>2813.7720250000002</v>
      </c>
      <c r="V84" s="468">
        <f t="shared" ref="V84:V89" si="244">Q84*L84</f>
        <v>0</v>
      </c>
      <c r="W84" s="468">
        <f t="shared" ref="W84:W89" si="245">R84*M84</f>
        <v>0</v>
      </c>
      <c r="X84" s="468">
        <f t="shared" ref="X84:X89" si="246">S84*N84</f>
        <v>0</v>
      </c>
      <c r="Y84" s="468">
        <f t="shared" ref="Y84:Y89" si="247">T84*O84</f>
        <v>0</v>
      </c>
      <c r="Z84" s="468">
        <f t="shared" ref="Z84:Z89" si="248">U84*P84</f>
        <v>0</v>
      </c>
      <c r="AA84" s="469">
        <f t="shared" si="123"/>
        <v>0</v>
      </c>
      <c r="AB84" s="470">
        <f t="shared" si="124"/>
        <v>0</v>
      </c>
      <c r="AC84" s="471">
        <f t="shared" si="125"/>
        <v>0</v>
      </c>
      <c r="AD84" s="471">
        <f t="shared" si="126"/>
        <v>0</v>
      </c>
      <c r="AE84" s="472">
        <v>0.05</v>
      </c>
      <c r="AF84" s="471">
        <f t="shared" si="229"/>
        <v>0</v>
      </c>
      <c r="AG84" s="471">
        <f t="shared" si="127"/>
        <v>0</v>
      </c>
      <c r="AH84" s="473">
        <f t="shared" si="128"/>
        <v>0</v>
      </c>
      <c r="AI84" s="484">
        <f t="shared" si="129"/>
        <v>0</v>
      </c>
      <c r="AJ84" s="474">
        <f t="shared" si="230"/>
        <v>0</v>
      </c>
      <c r="AK84" s="471">
        <f t="shared" si="130"/>
        <v>0</v>
      </c>
      <c r="AL84" s="475">
        <f t="shared" si="131"/>
        <v>5.7500000000000002E-2</v>
      </c>
      <c r="AM84" s="471">
        <f t="shared" si="231"/>
        <v>0</v>
      </c>
      <c r="AN84" s="471">
        <f t="shared" si="132"/>
        <v>0</v>
      </c>
      <c r="AO84" s="476">
        <f t="shared" si="133"/>
        <v>0</v>
      </c>
      <c r="AP84" s="484">
        <f t="shared" si="134"/>
        <v>0</v>
      </c>
      <c r="AQ84" s="485">
        <f t="shared" si="135"/>
        <v>0</v>
      </c>
      <c r="AR84" s="471">
        <f t="shared" si="136"/>
        <v>0</v>
      </c>
      <c r="AS84" s="475">
        <f t="shared" si="137"/>
        <v>6.5000000000000002E-2</v>
      </c>
      <c r="AT84" s="471">
        <f t="shared" si="232"/>
        <v>0</v>
      </c>
      <c r="AU84" s="471">
        <f t="shared" si="138"/>
        <v>0</v>
      </c>
      <c r="AV84" s="476">
        <f t="shared" si="233"/>
        <v>0</v>
      </c>
      <c r="AW84" s="484">
        <f t="shared" si="139"/>
        <v>0</v>
      </c>
      <c r="AX84" s="485">
        <f t="shared" si="140"/>
        <v>0</v>
      </c>
      <c r="AY84" s="471">
        <f t="shared" si="141"/>
        <v>0</v>
      </c>
      <c r="AZ84" s="475">
        <f t="shared" si="234"/>
        <v>7.2500000000000009E-2</v>
      </c>
      <c r="BA84" s="471">
        <f t="shared" si="235"/>
        <v>0</v>
      </c>
      <c r="BB84" s="471">
        <f t="shared" si="142"/>
        <v>0</v>
      </c>
      <c r="BC84" s="476">
        <f t="shared" si="143"/>
        <v>0</v>
      </c>
      <c r="BD84" s="484">
        <f t="shared" si="144"/>
        <v>0</v>
      </c>
      <c r="BE84" s="474">
        <f t="shared" si="145"/>
        <v>0</v>
      </c>
      <c r="BF84" s="471">
        <f t="shared" si="146"/>
        <v>0</v>
      </c>
      <c r="BG84" s="475">
        <f t="shared" si="147"/>
        <v>8.0000000000000016E-2</v>
      </c>
      <c r="BH84" s="471">
        <f t="shared" si="236"/>
        <v>0</v>
      </c>
      <c r="BI84" s="471">
        <f t="shared" si="148"/>
        <v>0</v>
      </c>
      <c r="BJ84" s="473">
        <f t="shared" si="149"/>
        <v>0</v>
      </c>
      <c r="BK84" s="479">
        <f t="shared" si="237"/>
        <v>0</v>
      </c>
      <c r="BL84" s="480">
        <f t="shared" si="238"/>
        <v>0</v>
      </c>
      <c r="BM84" s="480">
        <f t="shared" si="239"/>
        <v>0</v>
      </c>
      <c r="BN84" s="480">
        <f t="shared" si="240"/>
        <v>0</v>
      </c>
      <c r="BO84" s="480">
        <f t="shared" si="152"/>
        <v>0</v>
      </c>
      <c r="BP84" s="480">
        <f t="shared" si="153"/>
        <v>0</v>
      </c>
      <c r="BQ84" s="480">
        <f t="shared" si="154"/>
        <v>0</v>
      </c>
      <c r="BR84" s="480">
        <f t="shared" si="155"/>
        <v>0</v>
      </c>
      <c r="BS84" s="480">
        <f t="shared" si="156"/>
        <v>0</v>
      </c>
      <c r="BT84" s="480">
        <f t="shared" si="157"/>
        <v>0</v>
      </c>
      <c r="BU84" s="480">
        <f t="shared" si="158"/>
        <v>0</v>
      </c>
      <c r="BV84" s="480">
        <f t="shared" si="159"/>
        <v>0</v>
      </c>
      <c r="BW84" s="41"/>
      <c r="BX84" s="39"/>
      <c r="BY84" s="39"/>
      <c r="BZ84" s="39"/>
      <c r="CA84" s="40"/>
      <c r="CB84" s="40"/>
      <c r="CC84" s="40"/>
    </row>
    <row r="85" spans="1:81" ht="15" hidden="1">
      <c r="A85" s="453">
        <f t="shared" si="118"/>
        <v>76</v>
      </c>
      <c r="B85" s="454" t="s">
        <v>370</v>
      </c>
      <c r="C85" s="492" t="s">
        <v>454</v>
      </c>
      <c r="D85" s="456"/>
      <c r="E85" s="457" t="s">
        <v>381</v>
      </c>
      <c r="F85" s="458"/>
      <c r="G85" s="459">
        <v>3</v>
      </c>
      <c r="H85" s="460">
        <v>3</v>
      </c>
      <c r="I85" s="461" t="s">
        <v>373</v>
      </c>
      <c r="J85" s="462">
        <v>2500</v>
      </c>
      <c r="K85" s="463"/>
      <c r="L85" s="464">
        <v>0</v>
      </c>
      <c r="M85" s="466"/>
      <c r="N85" s="466"/>
      <c r="O85" s="466"/>
      <c r="P85" s="466"/>
      <c r="Q85" s="467">
        <f t="shared" si="228"/>
        <v>2500</v>
      </c>
      <c r="R85" s="483">
        <f t="shared" si="243"/>
        <v>2575</v>
      </c>
      <c r="S85" s="483">
        <f t="shared" si="243"/>
        <v>2652.25</v>
      </c>
      <c r="T85" s="483">
        <f t="shared" si="243"/>
        <v>2731.8175000000001</v>
      </c>
      <c r="U85" s="483">
        <f t="shared" si="243"/>
        <v>2813.7720250000002</v>
      </c>
      <c r="V85" s="468">
        <f t="shared" si="244"/>
        <v>0</v>
      </c>
      <c r="W85" s="468">
        <f t="shared" si="245"/>
        <v>0</v>
      </c>
      <c r="X85" s="468">
        <f t="shared" si="246"/>
        <v>0</v>
      </c>
      <c r="Y85" s="468">
        <f t="shared" si="247"/>
        <v>0</v>
      </c>
      <c r="Z85" s="468">
        <f t="shared" si="248"/>
        <v>0</v>
      </c>
      <c r="AA85" s="469">
        <f t="shared" si="123"/>
        <v>0</v>
      </c>
      <c r="AB85" s="470">
        <f t="shared" si="124"/>
        <v>0</v>
      </c>
      <c r="AC85" s="471">
        <f t="shared" si="125"/>
        <v>0</v>
      </c>
      <c r="AD85" s="471">
        <f t="shared" si="126"/>
        <v>0</v>
      </c>
      <c r="AE85" s="472">
        <v>0.05</v>
      </c>
      <c r="AF85" s="471">
        <f t="shared" si="229"/>
        <v>0</v>
      </c>
      <c r="AG85" s="471">
        <f t="shared" si="127"/>
        <v>0</v>
      </c>
      <c r="AH85" s="473">
        <f t="shared" si="128"/>
        <v>0</v>
      </c>
      <c r="AI85" s="484">
        <f t="shared" si="129"/>
        <v>0</v>
      </c>
      <c r="AJ85" s="474">
        <f t="shared" si="230"/>
        <v>0</v>
      </c>
      <c r="AK85" s="471">
        <f t="shared" si="130"/>
        <v>0</v>
      </c>
      <c r="AL85" s="475">
        <f t="shared" si="131"/>
        <v>5.7500000000000002E-2</v>
      </c>
      <c r="AM85" s="471">
        <f t="shared" si="231"/>
        <v>0</v>
      </c>
      <c r="AN85" s="471">
        <f t="shared" si="132"/>
        <v>0</v>
      </c>
      <c r="AO85" s="476">
        <f t="shared" si="133"/>
        <v>0</v>
      </c>
      <c r="AP85" s="484">
        <f t="shared" si="134"/>
        <v>0</v>
      </c>
      <c r="AQ85" s="485">
        <f t="shared" si="135"/>
        <v>0</v>
      </c>
      <c r="AR85" s="471">
        <f t="shared" si="136"/>
        <v>0</v>
      </c>
      <c r="AS85" s="475">
        <f t="shared" si="137"/>
        <v>6.5000000000000002E-2</v>
      </c>
      <c r="AT85" s="471">
        <f t="shared" si="232"/>
        <v>0</v>
      </c>
      <c r="AU85" s="471">
        <f t="shared" si="138"/>
        <v>0</v>
      </c>
      <c r="AV85" s="476">
        <f t="shared" si="233"/>
        <v>0</v>
      </c>
      <c r="AW85" s="484">
        <f t="shared" si="139"/>
        <v>0</v>
      </c>
      <c r="AX85" s="485">
        <f t="shared" si="140"/>
        <v>0</v>
      </c>
      <c r="AY85" s="471">
        <f t="shared" si="141"/>
        <v>0</v>
      </c>
      <c r="AZ85" s="475">
        <f t="shared" si="234"/>
        <v>7.2500000000000009E-2</v>
      </c>
      <c r="BA85" s="471">
        <f t="shared" si="235"/>
        <v>0</v>
      </c>
      <c r="BB85" s="471">
        <f t="shared" si="142"/>
        <v>0</v>
      </c>
      <c r="BC85" s="476">
        <f t="shared" si="143"/>
        <v>0</v>
      </c>
      <c r="BD85" s="484">
        <f t="shared" si="144"/>
        <v>0</v>
      </c>
      <c r="BE85" s="474">
        <f t="shared" si="145"/>
        <v>0</v>
      </c>
      <c r="BF85" s="471">
        <f t="shared" si="146"/>
        <v>0</v>
      </c>
      <c r="BG85" s="475">
        <f t="shared" si="147"/>
        <v>8.0000000000000016E-2</v>
      </c>
      <c r="BH85" s="471">
        <f t="shared" si="236"/>
        <v>0</v>
      </c>
      <c r="BI85" s="471">
        <f t="shared" si="148"/>
        <v>0</v>
      </c>
      <c r="BJ85" s="473">
        <f t="shared" si="149"/>
        <v>0</v>
      </c>
      <c r="BK85" s="479">
        <f t="shared" si="237"/>
        <v>0</v>
      </c>
      <c r="BL85" s="480">
        <f t="shared" si="238"/>
        <v>0</v>
      </c>
      <c r="BM85" s="480">
        <f t="shared" si="239"/>
        <v>0</v>
      </c>
      <c r="BN85" s="480">
        <f t="shared" si="240"/>
        <v>0</v>
      </c>
      <c r="BO85" s="480">
        <f t="shared" si="152"/>
        <v>0</v>
      </c>
      <c r="BP85" s="480">
        <f t="shared" si="153"/>
        <v>0</v>
      </c>
      <c r="BQ85" s="480">
        <f t="shared" si="154"/>
        <v>0</v>
      </c>
      <c r="BR85" s="480">
        <f t="shared" si="155"/>
        <v>0</v>
      </c>
      <c r="BS85" s="480">
        <f t="shared" si="156"/>
        <v>0</v>
      </c>
      <c r="BT85" s="480">
        <f t="shared" si="157"/>
        <v>0</v>
      </c>
      <c r="BU85" s="480">
        <f t="shared" si="158"/>
        <v>0</v>
      </c>
      <c r="BV85" s="480">
        <f t="shared" si="159"/>
        <v>0</v>
      </c>
      <c r="BW85" s="41"/>
      <c r="BX85" s="39"/>
      <c r="BY85" s="39"/>
      <c r="BZ85" s="39"/>
      <c r="CA85" s="40"/>
      <c r="CB85" s="40"/>
      <c r="CC85" s="40"/>
    </row>
    <row r="86" spans="1:81" ht="15">
      <c r="A86" s="453">
        <f t="shared" si="118"/>
        <v>77</v>
      </c>
      <c r="B86" s="454" t="s">
        <v>370</v>
      </c>
      <c r="C86" s="492" t="s">
        <v>455</v>
      </c>
      <c r="D86" s="456"/>
      <c r="E86" s="457" t="s">
        <v>381</v>
      </c>
      <c r="F86" s="458"/>
      <c r="G86" s="459">
        <v>5</v>
      </c>
      <c r="H86" s="460">
        <v>5</v>
      </c>
      <c r="I86" s="461" t="s">
        <v>373</v>
      </c>
      <c r="J86" s="462">
        <v>15000</v>
      </c>
      <c r="K86" s="463"/>
      <c r="L86" s="464">
        <v>2</v>
      </c>
      <c r="M86" s="465"/>
      <c r="N86" s="465"/>
      <c r="O86" s="465"/>
      <c r="P86" s="465"/>
      <c r="Q86" s="467">
        <f t="shared" ref="Q86:Q92" si="249">J86</f>
        <v>15000</v>
      </c>
      <c r="R86" s="483">
        <f t="shared" si="243"/>
        <v>15450</v>
      </c>
      <c r="S86" s="483">
        <f t="shared" si="243"/>
        <v>15913.5</v>
      </c>
      <c r="T86" s="483">
        <f t="shared" si="243"/>
        <v>16390.904999999999</v>
      </c>
      <c r="U86" s="483">
        <f t="shared" si="243"/>
        <v>16882.632149999998</v>
      </c>
      <c r="V86" s="468">
        <f t="shared" si="244"/>
        <v>30000</v>
      </c>
      <c r="W86" s="468">
        <f t="shared" si="245"/>
        <v>0</v>
      </c>
      <c r="X86" s="468">
        <f t="shared" si="246"/>
        <v>0</v>
      </c>
      <c r="Y86" s="468">
        <f t="shared" si="247"/>
        <v>0</v>
      </c>
      <c r="Z86" s="468">
        <f t="shared" si="248"/>
        <v>0</v>
      </c>
      <c r="AA86" s="469">
        <f t="shared" ref="AA86:AA92" si="250">SUM(V86:Z86)</f>
        <v>30000</v>
      </c>
      <c r="AB86" s="470">
        <f t="shared" ref="AB86:AB92" si="251">SUM(AC86:AD86)</f>
        <v>8803.0388856361023</v>
      </c>
      <c r="AC86" s="471">
        <f t="shared" ref="AC86:AC92" si="252">V86/$G86</f>
        <v>6000</v>
      </c>
      <c r="AD86" s="471">
        <f t="shared" ref="AD86:AD92" si="253">-IPMT(AB$3/12,$AD$3,$H86*12,V86,0)*12</f>
        <v>2803.0388856361023</v>
      </c>
      <c r="AE86" s="472">
        <v>0.05</v>
      </c>
      <c r="AF86" s="471">
        <f t="shared" ref="AF86:AF92" si="254">V86*AE86</f>
        <v>1500</v>
      </c>
      <c r="AG86" s="471">
        <f t="shared" ref="AG86:AG92" si="255">V86*AG$3</f>
        <v>75</v>
      </c>
      <c r="AH86" s="473">
        <f t="shared" ref="AH86:AH92" si="256">V86-AC86+W86</f>
        <v>24000</v>
      </c>
      <c r="AI86" s="484">
        <f t="shared" ref="AI86:AI92" si="257">SUM(AJ86:AK86)</f>
        <v>8242.4311085088812</v>
      </c>
      <c r="AJ86" s="474">
        <f t="shared" ref="AJ86:AJ92" si="258">SUM(W86/G86)+AC86</f>
        <v>6000</v>
      </c>
      <c r="AK86" s="471">
        <f t="shared" ref="AK86:AK92" si="259">-IPMT(AI$3/12,$AK$3,$H86*12,AH86,0)*12</f>
        <v>2242.4311085088812</v>
      </c>
      <c r="AL86" s="475">
        <f t="shared" ref="AL86:AL92" si="260">IF(AE86=0,0,AE86+AL$3)</f>
        <v>5.7500000000000002E-2</v>
      </c>
      <c r="AM86" s="471">
        <f t="shared" ref="AM86:AM92" si="261">AL86*V86+AE86*W86</f>
        <v>1725</v>
      </c>
      <c r="AN86" s="471">
        <f t="shared" ref="AN86:AN92" si="262">AH86*AN$3</f>
        <v>61.2</v>
      </c>
      <c r="AO86" s="476">
        <f t="shared" ref="AO86:AO92" si="263">SUM(AH86+W86)-AJ86+IF(G86=2,L86*R86)</f>
        <v>18000</v>
      </c>
      <c r="AP86" s="484">
        <f t="shared" ref="AP86:AP92" si="264">SUM(AQ86:AR86)</f>
        <v>7681.8233313816609</v>
      </c>
      <c r="AQ86" s="485">
        <f t="shared" si="135"/>
        <v>6000</v>
      </c>
      <c r="AR86" s="471">
        <f t="shared" ref="AR86:AR92" si="265">-IPMT(AP$3/12,$AR$3,$G86*12,AO86,0)*12</f>
        <v>1681.8233313816609</v>
      </c>
      <c r="AS86" s="475">
        <f t="shared" ref="AS86:AS92" si="266">IF(AL86=0,0,AL86+AS$3)</f>
        <v>6.5000000000000002E-2</v>
      </c>
      <c r="AT86" s="471">
        <f t="shared" ref="AT86:AT92" si="267">AS86*V86+W86*AL86+AE86*X86</f>
        <v>1950</v>
      </c>
      <c r="AU86" s="471">
        <f t="shared" ref="AU86:AU92" si="268">AO86*AU$3</f>
        <v>46.817999999999998</v>
      </c>
      <c r="AV86" s="476">
        <f t="shared" ref="AV86:AV92" si="269">SUM(AO86+X86)-AQ86+IF(G86=3,L86*S86)</f>
        <v>12000</v>
      </c>
      <c r="AW86" s="484">
        <f t="shared" ref="AW86:AW92" si="270">SUM(AX86:AY86)</f>
        <v>7121.2155542544406</v>
      </c>
      <c r="AX86" s="485">
        <f t="shared" ref="AX86:AX92" si="271">IF(G86=3,AV86/3,SUM(Y86/G86)+AQ86)</f>
        <v>6000</v>
      </c>
      <c r="AY86" s="471">
        <f t="shared" ref="AY86:AY92" si="272">-IPMT(AW$3/12,$AY$3,$G86*12,AV86,0)*12</f>
        <v>1121.2155542544406</v>
      </c>
      <c r="AZ86" s="475">
        <f t="shared" ref="AZ86:AZ92" si="273">IF(AS86=0,0,AS86+AZ$3)</f>
        <v>7.2500000000000009E-2</v>
      </c>
      <c r="BA86" s="471">
        <f t="shared" ref="BA86:BA92" si="274">AZ86*V86+W86*AS86+AL86*X86+Y86*AE86</f>
        <v>2175.0000000000005</v>
      </c>
      <c r="BB86" s="471">
        <f t="shared" ref="BB86:BB92" si="275">AV86*BB$3</f>
        <v>31.836239999999997</v>
      </c>
      <c r="BC86" s="476">
        <f t="shared" ref="BC86:BC92" si="276">AV86-AX86+Z86++IF(G86=4,V86)</f>
        <v>6000</v>
      </c>
      <c r="BD86" s="484">
        <f t="shared" ref="BD86:BD92" si="277">SUM(BE86:BF86)</f>
        <v>6560.6077771272203</v>
      </c>
      <c r="BE86" s="474">
        <f t="shared" ref="BE86:BE92" si="278">SUM(Z86/G86)+AX86</f>
        <v>6000</v>
      </c>
      <c r="BF86" s="471">
        <f t="shared" ref="BF86:BF92" si="279">-IPMT(BD$3/12,$BF$3,$G86*12,BC86,0)*12</f>
        <v>560.60777712722029</v>
      </c>
      <c r="BG86" s="475">
        <f t="shared" ref="BG86:BG92" si="280">IF(AZ86=0,0,AZ86+BG$3)</f>
        <v>8.0000000000000016E-2</v>
      </c>
      <c r="BH86" s="471">
        <f t="shared" ref="BH86:BH92" si="281">BG86*V86+W86*AZ86+AS86*X86+Y86*AL86+Z86*AE86</f>
        <v>2400.0000000000005</v>
      </c>
      <c r="BI86" s="471">
        <f t="shared" ref="BI86:BI92" si="282">BC86*BI$3</f>
        <v>16.2364824</v>
      </c>
      <c r="BJ86" s="473">
        <f t="shared" ref="BJ86:BJ92" si="283">BC86-BE86</f>
        <v>0</v>
      </c>
      <c r="BK86" s="479">
        <f t="shared" ref="BK86:BL91" si="284">AC86+AJ86+AQ86+AX86+BE86</f>
        <v>30000</v>
      </c>
      <c r="BL86" s="480">
        <f t="shared" si="284"/>
        <v>8409.1166569083052</v>
      </c>
      <c r="BM86" s="480">
        <f t="shared" ref="BM86:BN91" si="285">BH86+BA86+AT86++AM86+AF86</f>
        <v>9750</v>
      </c>
      <c r="BN86" s="480">
        <f t="shared" si="285"/>
        <v>231.0907224</v>
      </c>
      <c r="BO86" s="480">
        <f t="shared" ref="BO86:BO92" si="286">SUM(BK86:BL86)</f>
        <v>38409.116656908307</v>
      </c>
      <c r="BP86" s="480">
        <f t="shared" ref="BP86:BP92" si="287">BM86+BN86+BO86</f>
        <v>48390.207379308311</v>
      </c>
      <c r="BQ86" s="480">
        <f t="shared" ref="BQ86:BQ92" si="288">AB86+AI86+AP86+AW86+BD86</f>
        <v>38409.1166569083</v>
      </c>
      <c r="BR86" s="480">
        <f t="shared" ref="BR86:BR92" si="289">BQ86-BO86</f>
        <v>0</v>
      </c>
      <c r="BS86" s="480">
        <f t="shared" ref="BS86:BS92" si="290">AA86-BK86</f>
        <v>0</v>
      </c>
      <c r="BT86" s="480">
        <f t="shared" ref="BT86:BT92" si="291">BJ86-BS86</f>
        <v>0</v>
      </c>
      <c r="BU86" s="480">
        <f t="shared" ref="BU86:BU92" si="292">BT86+BS86</f>
        <v>0</v>
      </c>
      <c r="BV86" s="480">
        <f t="shared" ref="BV86:BV92" si="293">BJ86-BU86</f>
        <v>0</v>
      </c>
      <c r="BW86" s="41"/>
      <c r="BX86" s="39">
        <f t="shared" ref="BX86:BX93" si="294">(AB86+AF86+AG86)/$BX$8</f>
        <v>864.83657380300849</v>
      </c>
      <c r="BY86" s="39">
        <f t="shared" ref="BY86:BY93" si="295">(AI86+AM86+AN86)/$BY$8</f>
        <v>835.71925904240686</v>
      </c>
      <c r="BZ86" s="39">
        <f t="shared" ref="BZ86:BZ93" si="296">(AP86+AT86+AU86)/$BZ$8</f>
        <v>806.5534442818049</v>
      </c>
      <c r="CA86" s="40"/>
      <c r="CB86" s="40"/>
      <c r="CC86" s="40"/>
    </row>
    <row r="87" spans="1:81" ht="15" hidden="1">
      <c r="A87" s="453">
        <f t="shared" si="118"/>
        <v>78</v>
      </c>
      <c r="B87" s="500" t="s">
        <v>456</v>
      </c>
      <c r="C87" s="505" t="s">
        <v>457</v>
      </c>
      <c r="D87" s="507"/>
      <c r="E87" s="457" t="s">
        <v>381</v>
      </c>
      <c r="F87" s="458"/>
      <c r="G87" s="459">
        <v>5</v>
      </c>
      <c r="H87" s="460">
        <v>5</v>
      </c>
      <c r="I87" s="461" t="s">
        <v>373</v>
      </c>
      <c r="J87" s="462">
        <v>100000</v>
      </c>
      <c r="K87" s="463"/>
      <c r="L87" s="497">
        <v>0</v>
      </c>
      <c r="M87" s="466"/>
      <c r="N87" s="466"/>
      <c r="O87" s="466"/>
      <c r="P87" s="466"/>
      <c r="Q87" s="467">
        <f t="shared" si="249"/>
        <v>100000</v>
      </c>
      <c r="R87" s="483">
        <f t="shared" si="243"/>
        <v>103000</v>
      </c>
      <c r="S87" s="483">
        <f t="shared" si="243"/>
        <v>106090</v>
      </c>
      <c r="T87" s="483">
        <f t="shared" si="243"/>
        <v>109272.7</v>
      </c>
      <c r="U87" s="483">
        <f t="shared" si="243"/>
        <v>112550.88099999999</v>
      </c>
      <c r="V87" s="468">
        <f t="shared" si="244"/>
        <v>0</v>
      </c>
      <c r="W87" s="468">
        <f t="shared" si="245"/>
        <v>0</v>
      </c>
      <c r="X87" s="468">
        <f t="shared" si="246"/>
        <v>0</v>
      </c>
      <c r="Y87" s="468">
        <f t="shared" si="247"/>
        <v>0</v>
      </c>
      <c r="Z87" s="468">
        <f t="shared" si="248"/>
        <v>0</v>
      </c>
      <c r="AA87" s="469">
        <f t="shared" ref="AA87:AA90" si="297">SUM(V87:Z87)</f>
        <v>0</v>
      </c>
      <c r="AB87" s="470">
        <f t="shared" si="251"/>
        <v>0</v>
      </c>
      <c r="AC87" s="471">
        <f t="shared" si="252"/>
        <v>0</v>
      </c>
      <c r="AD87" s="471">
        <f t="shared" si="253"/>
        <v>0</v>
      </c>
      <c r="AE87" s="472">
        <v>0.05</v>
      </c>
      <c r="AF87" s="471">
        <f t="shared" si="254"/>
        <v>0</v>
      </c>
      <c r="AG87" s="471">
        <f t="shared" si="255"/>
        <v>0</v>
      </c>
      <c r="AH87" s="473">
        <f t="shared" si="256"/>
        <v>0</v>
      </c>
      <c r="AI87" s="484">
        <f t="shared" si="257"/>
        <v>0</v>
      </c>
      <c r="AJ87" s="474">
        <f t="shared" si="258"/>
        <v>0</v>
      </c>
      <c r="AK87" s="471">
        <f t="shared" si="259"/>
        <v>0</v>
      </c>
      <c r="AL87" s="475">
        <f t="shared" si="260"/>
        <v>5.7500000000000002E-2</v>
      </c>
      <c r="AM87" s="471">
        <f t="shared" si="261"/>
        <v>0</v>
      </c>
      <c r="AN87" s="471">
        <f t="shared" si="262"/>
        <v>0</v>
      </c>
      <c r="AO87" s="476">
        <f t="shared" si="263"/>
        <v>0</v>
      </c>
      <c r="AP87" s="484">
        <f t="shared" si="264"/>
        <v>0</v>
      </c>
      <c r="AQ87" s="485">
        <f t="shared" ref="AQ87:AQ92" si="298">SUM(X87/G87)+AJ87</f>
        <v>0</v>
      </c>
      <c r="AR87" s="471">
        <f t="shared" si="265"/>
        <v>0</v>
      </c>
      <c r="AS87" s="475">
        <f t="shared" si="266"/>
        <v>6.5000000000000002E-2</v>
      </c>
      <c r="AT87" s="471">
        <f t="shared" si="267"/>
        <v>0</v>
      </c>
      <c r="AU87" s="471">
        <f t="shared" si="268"/>
        <v>0</v>
      </c>
      <c r="AV87" s="476">
        <f t="shared" si="269"/>
        <v>0</v>
      </c>
      <c r="AW87" s="484">
        <f t="shared" si="270"/>
        <v>0</v>
      </c>
      <c r="AX87" s="485">
        <f t="shared" si="271"/>
        <v>0</v>
      </c>
      <c r="AY87" s="471">
        <f t="shared" si="272"/>
        <v>0</v>
      </c>
      <c r="AZ87" s="475">
        <f t="shared" si="273"/>
        <v>7.2500000000000009E-2</v>
      </c>
      <c r="BA87" s="471">
        <f t="shared" si="274"/>
        <v>0</v>
      </c>
      <c r="BB87" s="471">
        <f t="shared" si="275"/>
        <v>0</v>
      </c>
      <c r="BC87" s="476">
        <f t="shared" si="276"/>
        <v>0</v>
      </c>
      <c r="BD87" s="484">
        <f t="shared" si="277"/>
        <v>0</v>
      </c>
      <c r="BE87" s="474">
        <f t="shared" si="278"/>
        <v>0</v>
      </c>
      <c r="BF87" s="471">
        <f t="shared" si="279"/>
        <v>0</v>
      </c>
      <c r="BG87" s="475">
        <f t="shared" si="280"/>
        <v>8.0000000000000016E-2</v>
      </c>
      <c r="BH87" s="471">
        <f t="shared" si="281"/>
        <v>0</v>
      </c>
      <c r="BI87" s="471">
        <f t="shared" si="282"/>
        <v>0</v>
      </c>
      <c r="BJ87" s="473">
        <f t="shared" si="283"/>
        <v>0</v>
      </c>
      <c r="BK87" s="479">
        <f t="shared" si="284"/>
        <v>0</v>
      </c>
      <c r="BL87" s="480">
        <f t="shared" si="284"/>
        <v>0</v>
      </c>
      <c r="BM87" s="480">
        <f t="shared" si="285"/>
        <v>0</v>
      </c>
      <c r="BN87" s="480">
        <f t="shared" si="285"/>
        <v>0</v>
      </c>
      <c r="BO87" s="480">
        <f t="shared" si="286"/>
        <v>0</v>
      </c>
      <c r="BP87" s="480">
        <f t="shared" si="287"/>
        <v>0</v>
      </c>
      <c r="BQ87" s="480">
        <f t="shared" si="288"/>
        <v>0</v>
      </c>
      <c r="BR87" s="480">
        <f t="shared" si="289"/>
        <v>0</v>
      </c>
      <c r="BS87" s="480">
        <f t="shared" si="290"/>
        <v>0</v>
      </c>
      <c r="BT87" s="480">
        <f t="shared" si="291"/>
        <v>0</v>
      </c>
      <c r="BU87" s="480">
        <f t="shared" si="292"/>
        <v>0</v>
      </c>
      <c r="BV87" s="480">
        <f t="shared" si="293"/>
        <v>0</v>
      </c>
      <c r="BW87" s="41"/>
      <c r="BX87" s="39">
        <f t="shared" si="294"/>
        <v>0</v>
      </c>
      <c r="BY87" s="39">
        <f t="shared" si="295"/>
        <v>0</v>
      </c>
      <c r="BZ87" s="39">
        <f t="shared" si="296"/>
        <v>0</v>
      </c>
      <c r="CA87" s="40"/>
      <c r="CB87" s="40"/>
      <c r="CC87" s="40"/>
    </row>
    <row r="88" spans="1:81" ht="15">
      <c r="A88" s="453">
        <f t="shared" si="118"/>
        <v>79</v>
      </c>
      <c r="B88" s="500" t="s">
        <v>456</v>
      </c>
      <c r="C88" s="492" t="s">
        <v>458</v>
      </c>
      <c r="D88" s="456"/>
      <c r="E88" s="457" t="s">
        <v>381</v>
      </c>
      <c r="F88" s="458"/>
      <c r="G88" s="459">
        <v>3</v>
      </c>
      <c r="H88" s="460">
        <v>3</v>
      </c>
      <c r="I88" s="461" t="s">
        <v>373</v>
      </c>
      <c r="J88" s="508">
        <v>300000</v>
      </c>
      <c r="K88" s="463"/>
      <c r="L88" s="464">
        <v>1</v>
      </c>
      <c r="M88" s="466"/>
      <c r="N88" s="466"/>
      <c r="O88" s="466"/>
      <c r="P88" s="466"/>
      <c r="Q88" s="467">
        <f t="shared" si="249"/>
        <v>300000</v>
      </c>
      <c r="R88" s="483">
        <f t="shared" si="243"/>
        <v>309000</v>
      </c>
      <c r="S88" s="483">
        <f t="shared" si="243"/>
        <v>318270</v>
      </c>
      <c r="T88" s="483">
        <f t="shared" si="243"/>
        <v>327818.09999999998</v>
      </c>
      <c r="U88" s="483">
        <f t="shared" si="243"/>
        <v>337652.64299999998</v>
      </c>
      <c r="V88" s="468">
        <f t="shared" si="244"/>
        <v>300000</v>
      </c>
      <c r="W88" s="468">
        <f t="shared" si="245"/>
        <v>0</v>
      </c>
      <c r="X88" s="468">
        <f t="shared" si="246"/>
        <v>0</v>
      </c>
      <c r="Y88" s="468">
        <f t="shared" si="247"/>
        <v>0</v>
      </c>
      <c r="Z88" s="468">
        <f t="shared" si="248"/>
        <v>0</v>
      </c>
      <c r="AA88" s="469">
        <f t="shared" si="297"/>
        <v>300000</v>
      </c>
      <c r="AB88" s="470">
        <f t="shared" si="251"/>
        <v>126349.58658326356</v>
      </c>
      <c r="AC88" s="471">
        <f t="shared" si="252"/>
        <v>100000</v>
      </c>
      <c r="AD88" s="471">
        <f t="shared" si="253"/>
        <v>26349.586583263554</v>
      </c>
      <c r="AE88" s="472">
        <v>0.05</v>
      </c>
      <c r="AF88" s="471">
        <f t="shared" si="254"/>
        <v>15000</v>
      </c>
      <c r="AG88" s="471">
        <f t="shared" si="255"/>
        <v>750</v>
      </c>
      <c r="AH88" s="473">
        <f t="shared" si="256"/>
        <v>200000</v>
      </c>
      <c r="AI88" s="484">
        <f t="shared" si="257"/>
        <v>117566.39105550904</v>
      </c>
      <c r="AJ88" s="474">
        <f t="shared" si="258"/>
        <v>100000</v>
      </c>
      <c r="AK88" s="471">
        <f t="shared" si="259"/>
        <v>17566.391055509041</v>
      </c>
      <c r="AL88" s="475">
        <f t="shared" si="260"/>
        <v>5.7500000000000002E-2</v>
      </c>
      <c r="AM88" s="471">
        <f t="shared" si="261"/>
        <v>17250</v>
      </c>
      <c r="AN88" s="471">
        <f t="shared" si="262"/>
        <v>510.00000000000006</v>
      </c>
      <c r="AO88" s="476">
        <f t="shared" si="263"/>
        <v>100000</v>
      </c>
      <c r="AP88" s="484">
        <f t="shared" si="264"/>
        <v>108783.19552775452</v>
      </c>
      <c r="AQ88" s="485">
        <f t="shared" si="298"/>
        <v>100000</v>
      </c>
      <c r="AR88" s="471">
        <f t="shared" si="265"/>
        <v>8783.1955277545203</v>
      </c>
      <c r="AS88" s="475">
        <f t="shared" si="266"/>
        <v>6.5000000000000002E-2</v>
      </c>
      <c r="AT88" s="471">
        <f t="shared" si="267"/>
        <v>19500</v>
      </c>
      <c r="AU88" s="471">
        <f t="shared" si="268"/>
        <v>260.10000000000002</v>
      </c>
      <c r="AV88" s="476">
        <f t="shared" si="269"/>
        <v>318270</v>
      </c>
      <c r="AW88" s="484">
        <f t="shared" si="270"/>
        <v>134044.2764061843</v>
      </c>
      <c r="AX88" s="485">
        <f t="shared" si="271"/>
        <v>106090</v>
      </c>
      <c r="AY88" s="471">
        <f t="shared" si="272"/>
        <v>27954.276406184312</v>
      </c>
      <c r="AZ88" s="475">
        <f t="shared" si="273"/>
        <v>7.2500000000000009E-2</v>
      </c>
      <c r="BA88" s="471">
        <f t="shared" si="274"/>
        <v>21750.000000000004</v>
      </c>
      <c r="BB88" s="471">
        <f t="shared" si="275"/>
        <v>844.37667539999995</v>
      </c>
      <c r="BC88" s="476">
        <f t="shared" si="276"/>
        <v>212180</v>
      </c>
      <c r="BD88" s="484">
        <f t="shared" si="277"/>
        <v>124726.18427078954</v>
      </c>
      <c r="BE88" s="474">
        <f t="shared" si="278"/>
        <v>106090</v>
      </c>
      <c r="BF88" s="471">
        <f t="shared" si="279"/>
        <v>18636.184270789541</v>
      </c>
      <c r="BG88" s="475">
        <f t="shared" si="280"/>
        <v>8.0000000000000016E-2</v>
      </c>
      <c r="BH88" s="471">
        <f t="shared" si="281"/>
        <v>24000.000000000004</v>
      </c>
      <c r="BI88" s="471">
        <f t="shared" si="282"/>
        <v>574.176139272</v>
      </c>
      <c r="BJ88" s="473">
        <f t="shared" si="283"/>
        <v>106090</v>
      </c>
      <c r="BK88" s="479">
        <f t="shared" si="284"/>
        <v>512180</v>
      </c>
      <c r="BL88" s="480">
        <f t="shared" si="284"/>
        <v>99289.633843500967</v>
      </c>
      <c r="BM88" s="480">
        <f t="shared" si="285"/>
        <v>97500</v>
      </c>
      <c r="BN88" s="480">
        <f t="shared" si="285"/>
        <v>2938.6528146719997</v>
      </c>
      <c r="BO88" s="480">
        <f t="shared" si="286"/>
        <v>611469.63384350098</v>
      </c>
      <c r="BP88" s="480">
        <f t="shared" si="287"/>
        <v>711908.28665817296</v>
      </c>
      <c r="BQ88" s="480">
        <f t="shared" si="288"/>
        <v>611469.63384350098</v>
      </c>
      <c r="BR88" s="480">
        <f t="shared" si="289"/>
        <v>0</v>
      </c>
      <c r="BS88" s="480">
        <f t="shared" si="290"/>
        <v>-212180</v>
      </c>
      <c r="BT88" s="480">
        <f t="shared" si="291"/>
        <v>318270</v>
      </c>
      <c r="BU88" s="480">
        <f t="shared" si="292"/>
        <v>106090</v>
      </c>
      <c r="BV88" s="480">
        <f t="shared" si="293"/>
        <v>0</v>
      </c>
      <c r="BW88" s="41"/>
      <c r="BX88" s="39">
        <f t="shared" si="294"/>
        <v>11841.632215271964</v>
      </c>
      <c r="BY88" s="39">
        <f t="shared" si="295"/>
        <v>11277.199254625753</v>
      </c>
      <c r="BZ88" s="39">
        <f t="shared" si="296"/>
        <v>10711.941293979544</v>
      </c>
      <c r="CA88" s="40"/>
      <c r="CB88" s="40"/>
      <c r="CC88" s="40"/>
    </row>
    <row r="89" spans="1:81" ht="15" hidden="1">
      <c r="A89" s="453">
        <f t="shared" si="118"/>
        <v>80</v>
      </c>
      <c r="B89" s="500" t="s">
        <v>456</v>
      </c>
      <c r="C89" s="492" t="s">
        <v>456</v>
      </c>
      <c r="D89" s="456"/>
      <c r="E89" s="457" t="s">
        <v>381</v>
      </c>
      <c r="F89" s="458"/>
      <c r="G89" s="459">
        <v>3</v>
      </c>
      <c r="H89" s="460">
        <v>3</v>
      </c>
      <c r="I89" s="461" t="s">
        <v>394</v>
      </c>
      <c r="J89" s="462">
        <v>150</v>
      </c>
      <c r="K89" s="509"/>
      <c r="L89" s="464">
        <v>0</v>
      </c>
      <c r="M89" s="466"/>
      <c r="N89" s="466"/>
      <c r="O89" s="466"/>
      <c r="P89" s="466"/>
      <c r="Q89" s="467">
        <f t="shared" si="249"/>
        <v>150</v>
      </c>
      <c r="R89" s="483">
        <f t="shared" si="243"/>
        <v>154.5</v>
      </c>
      <c r="S89" s="483">
        <f t="shared" si="243"/>
        <v>159.13499999999999</v>
      </c>
      <c r="T89" s="483">
        <f t="shared" si="243"/>
        <v>163.90904999999998</v>
      </c>
      <c r="U89" s="483">
        <f t="shared" si="243"/>
        <v>168.82632149999998</v>
      </c>
      <c r="V89" s="468">
        <f t="shared" si="244"/>
        <v>0</v>
      </c>
      <c r="W89" s="468">
        <f t="shared" si="245"/>
        <v>0</v>
      </c>
      <c r="X89" s="468">
        <f t="shared" si="246"/>
        <v>0</v>
      </c>
      <c r="Y89" s="468">
        <f t="shared" si="247"/>
        <v>0</v>
      </c>
      <c r="Z89" s="468">
        <f t="shared" si="248"/>
        <v>0</v>
      </c>
      <c r="AA89" s="469">
        <f t="shared" si="297"/>
        <v>0</v>
      </c>
      <c r="AB89" s="470">
        <f t="shared" si="251"/>
        <v>0</v>
      </c>
      <c r="AC89" s="471">
        <f t="shared" si="252"/>
        <v>0</v>
      </c>
      <c r="AD89" s="471">
        <f t="shared" si="253"/>
        <v>0</v>
      </c>
      <c r="AE89" s="472">
        <v>0.05</v>
      </c>
      <c r="AF89" s="471">
        <f t="shared" si="254"/>
        <v>0</v>
      </c>
      <c r="AG89" s="471">
        <f t="shared" si="255"/>
        <v>0</v>
      </c>
      <c r="AH89" s="473">
        <f t="shared" si="256"/>
        <v>0</v>
      </c>
      <c r="AI89" s="484">
        <f t="shared" si="257"/>
        <v>0</v>
      </c>
      <c r="AJ89" s="474">
        <f t="shared" si="258"/>
        <v>0</v>
      </c>
      <c r="AK89" s="471">
        <f t="shared" si="259"/>
        <v>0</v>
      </c>
      <c r="AL89" s="475">
        <f t="shared" si="260"/>
        <v>5.7500000000000002E-2</v>
      </c>
      <c r="AM89" s="471">
        <f t="shared" si="261"/>
        <v>0</v>
      </c>
      <c r="AN89" s="471">
        <f t="shared" si="262"/>
        <v>0</v>
      </c>
      <c r="AO89" s="476">
        <f t="shared" si="263"/>
        <v>0</v>
      </c>
      <c r="AP89" s="484">
        <f t="shared" si="264"/>
        <v>0</v>
      </c>
      <c r="AQ89" s="485">
        <f t="shared" si="298"/>
        <v>0</v>
      </c>
      <c r="AR89" s="471">
        <f t="shared" si="265"/>
        <v>0</v>
      </c>
      <c r="AS89" s="475">
        <f t="shared" si="266"/>
        <v>6.5000000000000002E-2</v>
      </c>
      <c r="AT89" s="471">
        <f t="shared" si="267"/>
        <v>0</v>
      </c>
      <c r="AU89" s="471">
        <f t="shared" si="268"/>
        <v>0</v>
      </c>
      <c r="AV89" s="476">
        <f t="shared" si="269"/>
        <v>0</v>
      </c>
      <c r="AW89" s="484">
        <f t="shared" si="270"/>
        <v>0</v>
      </c>
      <c r="AX89" s="485">
        <f t="shared" si="271"/>
        <v>0</v>
      </c>
      <c r="AY89" s="471">
        <f t="shared" si="272"/>
        <v>0</v>
      </c>
      <c r="AZ89" s="475">
        <f t="shared" si="273"/>
        <v>7.2500000000000009E-2</v>
      </c>
      <c r="BA89" s="471">
        <f t="shared" si="274"/>
        <v>0</v>
      </c>
      <c r="BB89" s="471">
        <f t="shared" si="275"/>
        <v>0</v>
      </c>
      <c r="BC89" s="476">
        <f t="shared" si="276"/>
        <v>0</v>
      </c>
      <c r="BD89" s="484">
        <f t="shared" si="277"/>
        <v>0</v>
      </c>
      <c r="BE89" s="474">
        <f t="shared" si="278"/>
        <v>0</v>
      </c>
      <c r="BF89" s="471">
        <f t="shared" si="279"/>
        <v>0</v>
      </c>
      <c r="BG89" s="475">
        <f t="shared" si="280"/>
        <v>8.0000000000000016E-2</v>
      </c>
      <c r="BH89" s="471">
        <f t="shared" si="281"/>
        <v>0</v>
      </c>
      <c r="BI89" s="471">
        <f t="shared" si="282"/>
        <v>0</v>
      </c>
      <c r="BJ89" s="473">
        <f t="shared" si="283"/>
        <v>0</v>
      </c>
      <c r="BK89" s="479">
        <f t="shared" si="284"/>
        <v>0</v>
      </c>
      <c r="BL89" s="480">
        <f t="shared" si="284"/>
        <v>0</v>
      </c>
      <c r="BM89" s="480">
        <f t="shared" si="285"/>
        <v>0</v>
      </c>
      <c r="BN89" s="480">
        <f t="shared" si="285"/>
        <v>0</v>
      </c>
      <c r="BO89" s="480">
        <f t="shared" si="286"/>
        <v>0</v>
      </c>
      <c r="BP89" s="480">
        <f t="shared" si="287"/>
        <v>0</v>
      </c>
      <c r="BQ89" s="480">
        <f t="shared" si="288"/>
        <v>0</v>
      </c>
      <c r="BR89" s="480">
        <f t="shared" si="289"/>
        <v>0</v>
      </c>
      <c r="BS89" s="480">
        <f t="shared" si="290"/>
        <v>0</v>
      </c>
      <c r="BT89" s="480">
        <f t="shared" si="291"/>
        <v>0</v>
      </c>
      <c r="BU89" s="480">
        <f t="shared" si="292"/>
        <v>0</v>
      </c>
      <c r="BV89" s="480">
        <f t="shared" si="293"/>
        <v>0</v>
      </c>
      <c r="BW89" s="41"/>
      <c r="BX89" s="39">
        <f t="shared" si="294"/>
        <v>0</v>
      </c>
      <c r="BY89" s="39">
        <f t="shared" si="295"/>
        <v>0</v>
      </c>
      <c r="BZ89" s="39">
        <f t="shared" si="296"/>
        <v>0</v>
      </c>
      <c r="CA89" s="40"/>
      <c r="CB89" s="40"/>
      <c r="CC89" s="40"/>
    </row>
    <row r="90" spans="1:81" ht="15" hidden="1">
      <c r="A90" s="453">
        <f t="shared" si="118"/>
        <v>81</v>
      </c>
      <c r="B90" s="454" t="s">
        <v>382</v>
      </c>
      <c r="C90" s="492" t="s">
        <v>456</v>
      </c>
      <c r="D90" s="456"/>
      <c r="E90" s="457" t="s">
        <v>381</v>
      </c>
      <c r="F90" s="458"/>
      <c r="G90" s="459">
        <v>3</v>
      </c>
      <c r="H90" s="460">
        <v>3</v>
      </c>
      <c r="I90" s="461" t="s">
        <v>373</v>
      </c>
      <c r="J90" s="462">
        <v>8000</v>
      </c>
      <c r="K90" s="463"/>
      <c r="L90" s="464">
        <v>0</v>
      </c>
      <c r="M90" s="466"/>
      <c r="N90" s="466"/>
      <c r="O90" s="466"/>
      <c r="P90" s="466"/>
      <c r="Q90" s="467">
        <f t="shared" si="249"/>
        <v>8000</v>
      </c>
      <c r="R90" s="483">
        <f t="shared" ref="R90:U91" si="299">Q90*R$3+Q90</f>
        <v>8240</v>
      </c>
      <c r="S90" s="483">
        <f t="shared" si="299"/>
        <v>8487.2000000000007</v>
      </c>
      <c r="T90" s="483">
        <f t="shared" si="299"/>
        <v>8741.8160000000007</v>
      </c>
      <c r="U90" s="483">
        <f t="shared" si="299"/>
        <v>9004.0704800000003</v>
      </c>
      <c r="V90" s="468">
        <f t="shared" ref="V90:Z91" si="300">Q90*L90</f>
        <v>0</v>
      </c>
      <c r="W90" s="468">
        <f t="shared" si="300"/>
        <v>0</v>
      </c>
      <c r="X90" s="468">
        <f t="shared" si="300"/>
        <v>0</v>
      </c>
      <c r="Y90" s="468">
        <f t="shared" si="300"/>
        <v>0</v>
      </c>
      <c r="Z90" s="468">
        <f t="shared" si="300"/>
        <v>0</v>
      </c>
      <c r="AA90" s="469">
        <f t="shared" si="297"/>
        <v>0</v>
      </c>
      <c r="AB90" s="470">
        <f t="shared" si="251"/>
        <v>0</v>
      </c>
      <c r="AC90" s="471">
        <f t="shared" si="252"/>
        <v>0</v>
      </c>
      <c r="AD90" s="471">
        <f t="shared" si="253"/>
        <v>0</v>
      </c>
      <c r="AE90" s="472">
        <v>0.05</v>
      </c>
      <c r="AF90" s="471">
        <f t="shared" si="254"/>
        <v>0</v>
      </c>
      <c r="AG90" s="471">
        <f t="shared" si="255"/>
        <v>0</v>
      </c>
      <c r="AH90" s="473">
        <f t="shared" si="256"/>
        <v>0</v>
      </c>
      <c r="AI90" s="484">
        <f t="shared" si="257"/>
        <v>0</v>
      </c>
      <c r="AJ90" s="474">
        <f t="shared" si="258"/>
        <v>0</v>
      </c>
      <c r="AK90" s="471">
        <f t="shared" si="259"/>
        <v>0</v>
      </c>
      <c r="AL90" s="475">
        <f t="shared" si="260"/>
        <v>5.7500000000000002E-2</v>
      </c>
      <c r="AM90" s="471">
        <f t="shared" si="261"/>
        <v>0</v>
      </c>
      <c r="AN90" s="471">
        <f t="shared" si="262"/>
        <v>0</v>
      </c>
      <c r="AO90" s="476">
        <f t="shared" si="263"/>
        <v>0</v>
      </c>
      <c r="AP90" s="484">
        <f t="shared" si="264"/>
        <v>0</v>
      </c>
      <c r="AQ90" s="485">
        <f t="shared" si="298"/>
        <v>0</v>
      </c>
      <c r="AR90" s="471">
        <f t="shared" si="265"/>
        <v>0</v>
      </c>
      <c r="AS90" s="475">
        <f t="shared" si="266"/>
        <v>6.5000000000000002E-2</v>
      </c>
      <c r="AT90" s="471">
        <f t="shared" si="267"/>
        <v>0</v>
      </c>
      <c r="AU90" s="471">
        <f t="shared" si="268"/>
        <v>0</v>
      </c>
      <c r="AV90" s="476">
        <f t="shared" si="269"/>
        <v>0</v>
      </c>
      <c r="AW90" s="484">
        <f t="shared" si="270"/>
        <v>0</v>
      </c>
      <c r="AX90" s="485">
        <f t="shared" si="271"/>
        <v>0</v>
      </c>
      <c r="AY90" s="471">
        <f t="shared" si="272"/>
        <v>0</v>
      </c>
      <c r="AZ90" s="475">
        <f t="shared" si="273"/>
        <v>7.2500000000000009E-2</v>
      </c>
      <c r="BA90" s="471">
        <f t="shared" si="274"/>
        <v>0</v>
      </c>
      <c r="BB90" s="471">
        <f t="shared" si="275"/>
        <v>0</v>
      </c>
      <c r="BC90" s="476">
        <f t="shared" si="276"/>
        <v>0</v>
      </c>
      <c r="BD90" s="484">
        <f t="shared" si="277"/>
        <v>0</v>
      </c>
      <c r="BE90" s="474">
        <f t="shared" si="278"/>
        <v>0</v>
      </c>
      <c r="BF90" s="471">
        <f t="shared" si="279"/>
        <v>0</v>
      </c>
      <c r="BG90" s="475">
        <f t="shared" si="280"/>
        <v>8.0000000000000016E-2</v>
      </c>
      <c r="BH90" s="471">
        <f t="shared" si="281"/>
        <v>0</v>
      </c>
      <c r="BI90" s="471">
        <f t="shared" si="282"/>
        <v>0</v>
      </c>
      <c r="BJ90" s="473">
        <f t="shared" si="283"/>
        <v>0</v>
      </c>
      <c r="BK90" s="479">
        <f t="shared" si="284"/>
        <v>0</v>
      </c>
      <c r="BL90" s="480">
        <f t="shared" si="284"/>
        <v>0</v>
      </c>
      <c r="BM90" s="480">
        <f t="shared" si="285"/>
        <v>0</v>
      </c>
      <c r="BN90" s="480">
        <f t="shared" si="285"/>
        <v>0</v>
      </c>
      <c r="BO90" s="480">
        <f t="shared" si="286"/>
        <v>0</v>
      </c>
      <c r="BP90" s="480">
        <f t="shared" si="287"/>
        <v>0</v>
      </c>
      <c r="BQ90" s="480">
        <f t="shared" si="288"/>
        <v>0</v>
      </c>
      <c r="BR90" s="480">
        <f t="shared" si="289"/>
        <v>0</v>
      </c>
      <c r="BS90" s="480">
        <f t="shared" si="290"/>
        <v>0</v>
      </c>
      <c r="BT90" s="480">
        <f t="shared" si="291"/>
        <v>0</v>
      </c>
      <c r="BU90" s="480">
        <f t="shared" si="292"/>
        <v>0</v>
      </c>
      <c r="BV90" s="480">
        <f t="shared" si="293"/>
        <v>0</v>
      </c>
      <c r="BW90" s="41"/>
      <c r="BX90" s="39">
        <f t="shared" si="294"/>
        <v>0</v>
      </c>
      <c r="BY90" s="39">
        <f t="shared" si="295"/>
        <v>0</v>
      </c>
      <c r="BZ90" s="39">
        <f t="shared" si="296"/>
        <v>0</v>
      </c>
      <c r="CA90" s="40"/>
      <c r="CB90" s="40"/>
      <c r="CC90" s="40"/>
    </row>
    <row r="91" spans="1:81" ht="15" hidden="1">
      <c r="A91" s="453">
        <f t="shared" si="118"/>
        <v>82</v>
      </c>
      <c r="B91" s="500" t="s">
        <v>456</v>
      </c>
      <c r="C91" s="492" t="s">
        <v>456</v>
      </c>
      <c r="D91" s="456"/>
      <c r="E91" s="457" t="s">
        <v>381</v>
      </c>
      <c r="F91" s="458"/>
      <c r="G91" s="459">
        <v>3</v>
      </c>
      <c r="H91" s="460">
        <v>3</v>
      </c>
      <c r="I91" s="461" t="s">
        <v>394</v>
      </c>
      <c r="J91" s="462">
        <v>80</v>
      </c>
      <c r="K91" s="489"/>
      <c r="L91" s="464">
        <v>0</v>
      </c>
      <c r="M91" s="466"/>
      <c r="N91" s="466"/>
      <c r="O91" s="466"/>
      <c r="P91" s="466"/>
      <c r="Q91" s="467">
        <f t="shared" si="249"/>
        <v>80</v>
      </c>
      <c r="R91" s="483">
        <f t="shared" si="299"/>
        <v>82.4</v>
      </c>
      <c r="S91" s="483">
        <f t="shared" si="299"/>
        <v>84.872</v>
      </c>
      <c r="T91" s="483">
        <f t="shared" si="299"/>
        <v>87.41816</v>
      </c>
      <c r="U91" s="483">
        <f t="shared" si="299"/>
        <v>90.0407048</v>
      </c>
      <c r="V91" s="468">
        <f t="shared" si="300"/>
        <v>0</v>
      </c>
      <c r="W91" s="468">
        <f t="shared" si="300"/>
        <v>0</v>
      </c>
      <c r="X91" s="468">
        <f t="shared" si="300"/>
        <v>0</v>
      </c>
      <c r="Y91" s="468">
        <f t="shared" si="300"/>
        <v>0</v>
      </c>
      <c r="Z91" s="468">
        <f t="shared" si="300"/>
        <v>0</v>
      </c>
      <c r="AA91" s="469">
        <f t="shared" si="250"/>
        <v>0</v>
      </c>
      <c r="AB91" s="470">
        <f t="shared" si="251"/>
        <v>0</v>
      </c>
      <c r="AC91" s="471">
        <f t="shared" si="252"/>
        <v>0</v>
      </c>
      <c r="AD91" s="471">
        <f t="shared" si="253"/>
        <v>0</v>
      </c>
      <c r="AE91" s="472">
        <v>0.05</v>
      </c>
      <c r="AF91" s="471">
        <f t="shared" si="254"/>
        <v>0</v>
      </c>
      <c r="AG91" s="471">
        <f t="shared" si="255"/>
        <v>0</v>
      </c>
      <c r="AH91" s="473">
        <f t="shared" si="256"/>
        <v>0</v>
      </c>
      <c r="AI91" s="484">
        <f t="shared" si="257"/>
        <v>0</v>
      </c>
      <c r="AJ91" s="474">
        <f t="shared" si="258"/>
        <v>0</v>
      </c>
      <c r="AK91" s="471">
        <f t="shared" si="259"/>
        <v>0</v>
      </c>
      <c r="AL91" s="475">
        <f t="shared" si="260"/>
        <v>5.7500000000000002E-2</v>
      </c>
      <c r="AM91" s="471">
        <f t="shared" si="261"/>
        <v>0</v>
      </c>
      <c r="AN91" s="471">
        <f t="shared" si="262"/>
        <v>0</v>
      </c>
      <c r="AO91" s="476">
        <f t="shared" si="263"/>
        <v>0</v>
      </c>
      <c r="AP91" s="484">
        <f t="shared" si="264"/>
        <v>0</v>
      </c>
      <c r="AQ91" s="485">
        <f t="shared" si="298"/>
        <v>0</v>
      </c>
      <c r="AR91" s="471">
        <f t="shared" si="265"/>
        <v>0</v>
      </c>
      <c r="AS91" s="475">
        <f t="shared" si="266"/>
        <v>6.5000000000000002E-2</v>
      </c>
      <c r="AT91" s="471">
        <f t="shared" si="267"/>
        <v>0</v>
      </c>
      <c r="AU91" s="471">
        <f t="shared" si="268"/>
        <v>0</v>
      </c>
      <c r="AV91" s="476">
        <f t="shared" si="269"/>
        <v>0</v>
      </c>
      <c r="AW91" s="484">
        <f t="shared" si="270"/>
        <v>0</v>
      </c>
      <c r="AX91" s="485">
        <f t="shared" si="271"/>
        <v>0</v>
      </c>
      <c r="AY91" s="471">
        <f t="shared" si="272"/>
        <v>0</v>
      </c>
      <c r="AZ91" s="475">
        <f t="shared" si="273"/>
        <v>7.2500000000000009E-2</v>
      </c>
      <c r="BA91" s="471">
        <f t="shared" si="274"/>
        <v>0</v>
      </c>
      <c r="BB91" s="471">
        <f t="shared" si="275"/>
        <v>0</v>
      </c>
      <c r="BC91" s="476">
        <f t="shared" si="276"/>
        <v>0</v>
      </c>
      <c r="BD91" s="484">
        <f t="shared" si="277"/>
        <v>0</v>
      </c>
      <c r="BE91" s="474">
        <f t="shared" si="278"/>
        <v>0</v>
      </c>
      <c r="BF91" s="471">
        <f t="shared" si="279"/>
        <v>0</v>
      </c>
      <c r="BG91" s="475">
        <f t="shared" si="280"/>
        <v>8.0000000000000016E-2</v>
      </c>
      <c r="BH91" s="471">
        <f t="shared" si="281"/>
        <v>0</v>
      </c>
      <c r="BI91" s="471">
        <f t="shared" si="282"/>
        <v>0</v>
      </c>
      <c r="BJ91" s="473">
        <f t="shared" si="283"/>
        <v>0</v>
      </c>
      <c r="BK91" s="479">
        <f t="shared" si="284"/>
        <v>0</v>
      </c>
      <c r="BL91" s="480">
        <f t="shared" si="284"/>
        <v>0</v>
      </c>
      <c r="BM91" s="480">
        <f t="shared" si="285"/>
        <v>0</v>
      </c>
      <c r="BN91" s="480">
        <f t="shared" si="285"/>
        <v>0</v>
      </c>
      <c r="BO91" s="480">
        <f t="shared" si="286"/>
        <v>0</v>
      </c>
      <c r="BP91" s="480">
        <f t="shared" si="287"/>
        <v>0</v>
      </c>
      <c r="BQ91" s="480">
        <f t="shared" si="288"/>
        <v>0</v>
      </c>
      <c r="BR91" s="480">
        <f t="shared" si="289"/>
        <v>0</v>
      </c>
      <c r="BS91" s="480">
        <f t="shared" si="290"/>
        <v>0</v>
      </c>
      <c r="BT91" s="480">
        <f t="shared" si="291"/>
        <v>0</v>
      </c>
      <c r="BU91" s="480">
        <f t="shared" si="292"/>
        <v>0</v>
      </c>
      <c r="BV91" s="480">
        <f t="shared" si="293"/>
        <v>0</v>
      </c>
      <c r="BW91" s="41"/>
      <c r="BX91" s="39">
        <f t="shared" si="294"/>
        <v>0</v>
      </c>
      <c r="BY91" s="39">
        <f t="shared" si="295"/>
        <v>0</v>
      </c>
      <c r="BZ91" s="39">
        <f t="shared" si="296"/>
        <v>0</v>
      </c>
      <c r="CA91" s="40"/>
      <c r="CB91" s="40"/>
      <c r="CC91" s="40"/>
    </row>
    <row r="92" spans="1:81" ht="15">
      <c r="A92" s="453">
        <f t="shared" si="118"/>
        <v>83</v>
      </c>
      <c r="B92" s="500" t="s">
        <v>456</v>
      </c>
      <c r="C92" s="492" t="s">
        <v>459</v>
      </c>
      <c r="D92" s="456"/>
      <c r="E92" s="457" t="s">
        <v>381</v>
      </c>
      <c r="F92" s="458"/>
      <c r="G92" s="459">
        <v>3</v>
      </c>
      <c r="H92" s="459">
        <v>3</v>
      </c>
      <c r="I92" s="461" t="s">
        <v>373</v>
      </c>
      <c r="J92" s="462">
        <v>300000</v>
      </c>
      <c r="K92" s="489"/>
      <c r="L92" s="464">
        <v>1</v>
      </c>
      <c r="M92" s="466"/>
      <c r="N92" s="466"/>
      <c r="O92" s="466"/>
      <c r="P92" s="466"/>
      <c r="Q92" s="467">
        <f t="shared" si="249"/>
        <v>300000</v>
      </c>
      <c r="R92" s="483">
        <f>Q92*R$3+Q92</f>
        <v>309000</v>
      </c>
      <c r="S92" s="483">
        <f>R92*S$3+R92</f>
        <v>318270</v>
      </c>
      <c r="T92" s="483">
        <f>S92*T$3+S92</f>
        <v>327818.09999999998</v>
      </c>
      <c r="U92" s="483">
        <f>T92*U$3+T92</f>
        <v>337652.64299999998</v>
      </c>
      <c r="V92" s="468">
        <f>Q92*L92</f>
        <v>300000</v>
      </c>
      <c r="W92" s="468">
        <f>R92*M92</f>
        <v>0</v>
      </c>
      <c r="X92" s="468">
        <f>S92*N92</f>
        <v>0</v>
      </c>
      <c r="Y92" s="468">
        <f>T92*O92</f>
        <v>0</v>
      </c>
      <c r="Z92" s="468">
        <f>U92*P92</f>
        <v>0</v>
      </c>
      <c r="AA92" s="469">
        <f t="shared" si="250"/>
        <v>300000</v>
      </c>
      <c r="AB92" s="470">
        <f t="shared" si="251"/>
        <v>126349.58658326356</v>
      </c>
      <c r="AC92" s="471">
        <f t="shared" si="252"/>
        <v>100000</v>
      </c>
      <c r="AD92" s="471">
        <f t="shared" si="253"/>
        <v>26349.586583263554</v>
      </c>
      <c r="AE92" s="472">
        <v>0</v>
      </c>
      <c r="AF92" s="471">
        <f t="shared" si="254"/>
        <v>0</v>
      </c>
      <c r="AG92" s="471">
        <f t="shared" si="255"/>
        <v>750</v>
      </c>
      <c r="AH92" s="473">
        <f t="shared" si="256"/>
        <v>200000</v>
      </c>
      <c r="AI92" s="484">
        <f t="shared" si="257"/>
        <v>117566.39105550904</v>
      </c>
      <c r="AJ92" s="474">
        <f t="shared" si="258"/>
        <v>100000</v>
      </c>
      <c r="AK92" s="471">
        <f t="shared" si="259"/>
        <v>17566.391055509041</v>
      </c>
      <c r="AL92" s="475">
        <f t="shared" si="260"/>
        <v>0</v>
      </c>
      <c r="AM92" s="471">
        <f t="shared" si="261"/>
        <v>0</v>
      </c>
      <c r="AN92" s="471">
        <f t="shared" si="262"/>
        <v>510.00000000000006</v>
      </c>
      <c r="AO92" s="476">
        <f t="shared" si="263"/>
        <v>100000</v>
      </c>
      <c r="AP92" s="484">
        <f t="shared" si="264"/>
        <v>108783.19552775452</v>
      </c>
      <c r="AQ92" s="485">
        <f t="shared" si="298"/>
        <v>100000</v>
      </c>
      <c r="AR92" s="471">
        <f t="shared" si="265"/>
        <v>8783.1955277545203</v>
      </c>
      <c r="AS92" s="475">
        <f t="shared" si="266"/>
        <v>0</v>
      </c>
      <c r="AT92" s="471">
        <f t="shared" si="267"/>
        <v>0</v>
      </c>
      <c r="AU92" s="471">
        <f t="shared" si="268"/>
        <v>260.10000000000002</v>
      </c>
      <c r="AV92" s="476">
        <f t="shared" si="269"/>
        <v>318270</v>
      </c>
      <c r="AW92" s="484">
        <f t="shared" si="270"/>
        <v>134044.2764061843</v>
      </c>
      <c r="AX92" s="485">
        <f t="shared" si="271"/>
        <v>106090</v>
      </c>
      <c r="AY92" s="471">
        <f t="shared" si="272"/>
        <v>27954.276406184312</v>
      </c>
      <c r="AZ92" s="475">
        <f t="shared" si="273"/>
        <v>0</v>
      </c>
      <c r="BA92" s="471">
        <f t="shared" si="274"/>
        <v>0</v>
      </c>
      <c r="BB92" s="471">
        <f t="shared" si="275"/>
        <v>844.37667539999995</v>
      </c>
      <c r="BC92" s="476">
        <f t="shared" si="276"/>
        <v>212180</v>
      </c>
      <c r="BD92" s="484">
        <f t="shared" si="277"/>
        <v>124726.18427078954</v>
      </c>
      <c r="BE92" s="474">
        <f t="shared" si="278"/>
        <v>106090</v>
      </c>
      <c r="BF92" s="471">
        <f t="shared" si="279"/>
        <v>18636.184270789541</v>
      </c>
      <c r="BG92" s="475">
        <f t="shared" si="280"/>
        <v>0</v>
      </c>
      <c r="BH92" s="471">
        <f t="shared" si="281"/>
        <v>0</v>
      </c>
      <c r="BI92" s="471">
        <f t="shared" si="282"/>
        <v>574.176139272</v>
      </c>
      <c r="BJ92" s="473">
        <f t="shared" si="283"/>
        <v>106090</v>
      </c>
      <c r="BK92" s="479">
        <f>AC92+AJ92+AQ92+AX92+BE92</f>
        <v>512180</v>
      </c>
      <c r="BL92" s="480">
        <f>AD92+AK92+AR92+AY92+BF92</f>
        <v>99289.633843500967</v>
      </c>
      <c r="BM92" s="480">
        <f>BH92+BA92+AT92++AM92+AF92</f>
        <v>0</v>
      </c>
      <c r="BN92" s="480">
        <f>BI92+BB92+AU92++AN92+AG92</f>
        <v>2938.6528146719997</v>
      </c>
      <c r="BO92" s="480">
        <f t="shared" si="286"/>
        <v>611469.63384350098</v>
      </c>
      <c r="BP92" s="480">
        <f t="shared" si="287"/>
        <v>614408.28665817296</v>
      </c>
      <c r="BQ92" s="480">
        <f t="shared" si="288"/>
        <v>611469.63384350098</v>
      </c>
      <c r="BR92" s="480">
        <f t="shared" si="289"/>
        <v>0</v>
      </c>
      <c r="BS92" s="480">
        <f t="shared" si="290"/>
        <v>-212180</v>
      </c>
      <c r="BT92" s="480">
        <f t="shared" si="291"/>
        <v>318270</v>
      </c>
      <c r="BU92" s="480">
        <f t="shared" si="292"/>
        <v>106090</v>
      </c>
      <c r="BV92" s="480">
        <f t="shared" si="293"/>
        <v>0</v>
      </c>
      <c r="BW92" s="41"/>
      <c r="BX92" s="39">
        <f t="shared" si="294"/>
        <v>10591.632215271964</v>
      </c>
      <c r="BY92" s="39">
        <f t="shared" si="295"/>
        <v>9839.6992546257534</v>
      </c>
      <c r="BZ92" s="39">
        <f t="shared" si="296"/>
        <v>9086.9412939795438</v>
      </c>
      <c r="CA92" s="40" t="s">
        <v>374</v>
      </c>
      <c r="CB92" s="40"/>
      <c r="CC92" s="40"/>
    </row>
    <row r="93" spans="1:81">
      <c r="A93" s="40"/>
      <c r="B93" s="40"/>
      <c r="C93" s="42"/>
      <c r="D93" s="42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9"/>
      <c r="AC93" s="40"/>
      <c r="AD93" s="40"/>
      <c r="AE93" s="5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39">
        <f t="shared" si="294"/>
        <v>0</v>
      </c>
      <c r="BY93" s="39">
        <f t="shared" si="295"/>
        <v>0</v>
      </c>
      <c r="BZ93" s="39">
        <f t="shared" si="296"/>
        <v>0</v>
      </c>
      <c r="CA93" s="40"/>
      <c r="CB93" s="40"/>
      <c r="CC93" s="40"/>
    </row>
    <row r="94" spans="1:81">
      <c r="T94" s="28" t="s">
        <v>460</v>
      </c>
      <c r="U94" s="28">
        <v>1</v>
      </c>
      <c r="V94" s="45">
        <f t="shared" ref="V94:Z99" si="301">SUMIFS(V$10:V$92,$G$10:$G$92,$U94,$E$10:$E$92,$T$95)</f>
        <v>0</v>
      </c>
      <c r="W94" s="45">
        <f t="shared" si="301"/>
        <v>0</v>
      </c>
      <c r="X94" s="45">
        <f t="shared" si="301"/>
        <v>0</v>
      </c>
      <c r="Y94" s="45">
        <f t="shared" si="301"/>
        <v>0</v>
      </c>
      <c r="Z94" s="45">
        <f t="shared" si="301"/>
        <v>0</v>
      </c>
      <c r="AB94" s="51"/>
      <c r="AV94" s="47">
        <f>AV50/3</f>
        <v>3536.3333333333335</v>
      </c>
      <c r="BM94" s="28" t="s">
        <v>225</v>
      </c>
      <c r="BP94" s="28" t="s">
        <v>296</v>
      </c>
      <c r="BS94" s="28" t="s">
        <v>297</v>
      </c>
      <c r="BZ94" s="31"/>
    </row>
    <row r="95" spans="1:81">
      <c r="Q95" s="28" t="str">
        <f>A1</f>
        <v>Faridabad</v>
      </c>
      <c r="S95" s="46"/>
      <c r="T95" s="28" t="s">
        <v>372</v>
      </c>
      <c r="U95" s="28">
        <v>2</v>
      </c>
      <c r="V95" s="45">
        <f t="shared" si="301"/>
        <v>0</v>
      </c>
      <c r="W95" s="45">
        <f t="shared" si="301"/>
        <v>0</v>
      </c>
      <c r="X95" s="45">
        <f t="shared" si="301"/>
        <v>0</v>
      </c>
      <c r="Y95" s="45">
        <f t="shared" si="301"/>
        <v>0</v>
      </c>
      <c r="Z95" s="45">
        <f t="shared" si="301"/>
        <v>0</v>
      </c>
      <c r="AB95" s="51"/>
      <c r="AV95" s="47">
        <f>AV94-AQ50</f>
        <v>203</v>
      </c>
      <c r="BZ95" s="31"/>
    </row>
    <row r="96" spans="1:81">
      <c r="Q96" s="28" t="str">
        <f>A3</f>
        <v>Capex</v>
      </c>
      <c r="U96" s="28">
        <v>3</v>
      </c>
      <c r="V96" s="45">
        <f t="shared" si="301"/>
        <v>1364500</v>
      </c>
      <c r="W96" s="45">
        <f t="shared" si="301"/>
        <v>0</v>
      </c>
      <c r="X96" s="45">
        <f t="shared" si="301"/>
        <v>0</v>
      </c>
      <c r="Y96" s="45">
        <f t="shared" si="301"/>
        <v>0</v>
      </c>
      <c r="Z96" s="45">
        <f t="shared" si="301"/>
        <v>0</v>
      </c>
      <c r="AB96" s="51"/>
      <c r="BZ96" s="31"/>
    </row>
    <row r="97" spans="10:77">
      <c r="J97" s="28" t="s">
        <v>461</v>
      </c>
      <c r="K97" s="510" t="s">
        <v>330</v>
      </c>
      <c r="L97" s="511" t="s">
        <v>306</v>
      </c>
      <c r="M97" s="511" t="s">
        <v>308</v>
      </c>
      <c r="N97" s="511" t="s">
        <v>313</v>
      </c>
      <c r="O97" s="511" t="s">
        <v>314</v>
      </c>
      <c r="P97" s="512" t="s">
        <v>462</v>
      </c>
      <c r="Q97" s="512" t="s">
        <v>463</v>
      </c>
      <c r="U97" s="28">
        <v>5</v>
      </c>
      <c r="V97" s="45">
        <f t="shared" si="301"/>
        <v>0</v>
      </c>
      <c r="W97" s="45">
        <f t="shared" si="301"/>
        <v>0</v>
      </c>
      <c r="X97" s="45">
        <f t="shared" si="301"/>
        <v>0</v>
      </c>
      <c r="Y97" s="45">
        <f t="shared" si="301"/>
        <v>0</v>
      </c>
      <c r="Z97" s="45">
        <f t="shared" si="301"/>
        <v>0</v>
      </c>
      <c r="BM97" s="28" t="s">
        <v>374</v>
      </c>
      <c r="BN97" s="28" t="s">
        <v>409</v>
      </c>
      <c r="BO97" s="28" t="s">
        <v>464</v>
      </c>
      <c r="BP97" s="28" t="s">
        <v>374</v>
      </c>
      <c r="BQ97" s="28" t="s">
        <v>409</v>
      </c>
      <c r="BR97" s="28" t="s">
        <v>464</v>
      </c>
      <c r="BS97" s="28" t="s">
        <v>374</v>
      </c>
      <c r="BT97" s="28" t="s">
        <v>409</v>
      </c>
      <c r="BU97" s="28" t="s">
        <v>464</v>
      </c>
    </row>
    <row r="98" spans="10:77">
      <c r="K98" s="513" t="s">
        <v>370</v>
      </c>
      <c r="L98" s="514">
        <f>SUMIF($B$10:$B$92,$K98,$AC$10:$AC$92)</f>
        <v>2002425</v>
      </c>
      <c r="M98" s="514">
        <f t="shared" ref="M98:M103" si="302">SUMIF($B$10:$B$92,$K98,$AD$10:$AD$92)</f>
        <v>1707530.9695634642</v>
      </c>
      <c r="N98" s="514">
        <f t="shared" ref="N98:N103" si="303">SUMIF($B$10:$B$92,$K98,$AF$10:$AF$92)</f>
        <v>78523.75</v>
      </c>
      <c r="O98" s="514">
        <f t="shared" ref="O98:O103" si="304">SUMIF($B$10:$B$92,$K98,$AG$10:$AG$92)</f>
        <v>44029.6875</v>
      </c>
      <c r="P98" s="514">
        <f t="shared" ref="P98:P103" si="305">SUM(L98:O98)</f>
        <v>3832509.4070634642</v>
      </c>
      <c r="Q98" s="514">
        <f t="shared" ref="Q98:Q103" si="306">P98/12</f>
        <v>319375.78392195533</v>
      </c>
      <c r="U98" s="28">
        <v>8</v>
      </c>
      <c r="V98" s="45">
        <f t="shared" si="301"/>
        <v>0</v>
      </c>
      <c r="W98" s="45">
        <f t="shared" si="301"/>
        <v>0</v>
      </c>
      <c r="X98" s="45">
        <f t="shared" si="301"/>
        <v>0</v>
      </c>
      <c r="Y98" s="45">
        <f t="shared" si="301"/>
        <v>0</v>
      </c>
      <c r="Z98" s="45">
        <f t="shared" si="301"/>
        <v>0</v>
      </c>
    </row>
    <row r="99" spans="10:77">
      <c r="K99" s="513" t="s">
        <v>382</v>
      </c>
      <c r="L99" s="514">
        <f>SUMIF($B$10:$B$92,$K99,$AC$10:$AC$92)</f>
        <v>1083666.6666666665</v>
      </c>
      <c r="M99" s="514">
        <f t="shared" si="302"/>
        <v>315380.4083870998</v>
      </c>
      <c r="N99" s="514">
        <f t="shared" si="303"/>
        <v>152920</v>
      </c>
      <c r="O99" s="514">
        <f t="shared" si="304"/>
        <v>8860</v>
      </c>
      <c r="P99" s="514">
        <f t="shared" si="305"/>
        <v>1560827.0750537664</v>
      </c>
      <c r="Q99" s="514">
        <f t="shared" si="306"/>
        <v>130068.9229211472</v>
      </c>
      <c r="U99" s="28">
        <v>10</v>
      </c>
      <c r="V99" s="45">
        <f t="shared" si="301"/>
        <v>16000000</v>
      </c>
      <c r="W99" s="45">
        <f t="shared" si="301"/>
        <v>0</v>
      </c>
      <c r="X99" s="45">
        <f t="shared" si="301"/>
        <v>0</v>
      </c>
      <c r="Y99" s="45">
        <f t="shared" si="301"/>
        <v>0</v>
      </c>
      <c r="Z99" s="45">
        <f t="shared" si="301"/>
        <v>0</v>
      </c>
      <c r="BM99" s="28">
        <f>SUMIF($CA$10:$CA$92,BM97,$BX$10:$BX$92)</f>
        <v>443626.14999940677</v>
      </c>
      <c r="BN99" s="28">
        <f>SUMIF($CA$10:$CA$92,BN97,$BX$10:$BX$92)</f>
        <v>18486.053692119938</v>
      </c>
      <c r="BO99" s="28">
        <f>SUMIF($CA$10:$CA$92,BO97,$BX$10:$BX$92)</f>
        <v>0</v>
      </c>
      <c r="BP99" s="28">
        <f>SUMIF($CA$10:$CA$92,BP97,$BY$10:$BY$92)</f>
        <v>432373.61202536372</v>
      </c>
      <c r="BQ99" s="28">
        <f>SUMIF($CA$10:$CA$92,BQ97,$BY$10:$BY$92)</f>
        <v>17545.332091042921</v>
      </c>
      <c r="BR99" s="28">
        <f>SUMIF($CA$10:$CA$92,BR97,$BY$10:$BY$92)</f>
        <v>0</v>
      </c>
      <c r="BS99" s="28">
        <f>SUMIF($CA$10:$CA$92,BS97,$BZ$10:$BZ$92)</f>
        <v>421097.0586617376</v>
      </c>
      <c r="BT99" s="28">
        <f>SUMIF($CA$10:$CA$92,BT97,$BZ$10:$BZ$92)</f>
        <v>16603.235489965904</v>
      </c>
      <c r="BU99" s="28">
        <f>SUMIF($CA$10:$CA$92,BU97,$BZ$10:$BZ$92)</f>
        <v>0</v>
      </c>
    </row>
    <row r="100" spans="10:77" ht="15">
      <c r="K100" s="513" t="s">
        <v>198</v>
      </c>
      <c r="L100" s="514"/>
      <c r="M100" s="514">
        <f t="shared" si="302"/>
        <v>0</v>
      </c>
      <c r="N100" s="514">
        <f t="shared" si="303"/>
        <v>0</v>
      </c>
      <c r="O100" s="514">
        <f t="shared" si="304"/>
        <v>0</v>
      </c>
      <c r="P100" s="514">
        <f t="shared" si="305"/>
        <v>0</v>
      </c>
      <c r="Q100" s="514">
        <f t="shared" si="306"/>
        <v>0</v>
      </c>
      <c r="V100" s="45">
        <f>SUM(V94:V99)</f>
        <v>17364500</v>
      </c>
      <c r="BM100" s="52">
        <f>BM99/($BM$99+BN99)</f>
        <v>0.95999661219840904</v>
      </c>
      <c r="BN100" s="52">
        <f>BN99/(BN99+BM99)</f>
        <v>4.0003387801590962E-2</v>
      </c>
      <c r="BO100" s="36"/>
      <c r="BP100" s="52">
        <f>BP99/(BP99+BQ99)</f>
        <v>0.96100334889098715</v>
      </c>
      <c r="BQ100" s="52">
        <f>BQ99/(BQ99+BP99)</f>
        <v>3.8996651109012764E-2</v>
      </c>
      <c r="BS100" s="52">
        <f>BS99/(BS99+BT99)</f>
        <v>0.96206711370358067</v>
      </c>
      <c r="BT100" s="52">
        <f>BT99/(BT99+BS99)</f>
        <v>3.7932886296419423E-2</v>
      </c>
      <c r="BX100" s="52"/>
      <c r="BY100" s="52"/>
    </row>
    <row r="101" spans="10:77" ht="15">
      <c r="K101" s="513" t="s">
        <v>436</v>
      </c>
      <c r="L101" s="514"/>
      <c r="M101" s="514">
        <f t="shared" si="302"/>
        <v>22424.311085088815</v>
      </c>
      <c r="N101" s="514">
        <f t="shared" si="303"/>
        <v>8800</v>
      </c>
      <c r="O101" s="514">
        <f t="shared" si="304"/>
        <v>600</v>
      </c>
      <c r="P101" s="514">
        <f t="shared" si="305"/>
        <v>31824.311085088815</v>
      </c>
      <c r="Q101" s="514">
        <f t="shared" si="306"/>
        <v>2652.0259237574014</v>
      </c>
      <c r="V101" s="47">
        <f>V100-V5</f>
        <v>-4631375</v>
      </c>
      <c r="BM101" s="52"/>
      <c r="BN101" s="52"/>
      <c r="BO101" s="36"/>
      <c r="BP101" s="52"/>
      <c r="BQ101" s="52"/>
      <c r="BS101" s="52"/>
      <c r="BT101" s="52"/>
      <c r="BX101" s="52"/>
      <c r="BY101" s="52"/>
    </row>
    <row r="102" spans="10:77" ht="15">
      <c r="K102" s="513" t="s">
        <v>245</v>
      </c>
      <c r="L102" s="514"/>
      <c r="M102" s="514">
        <f t="shared" si="302"/>
        <v>0</v>
      </c>
      <c r="N102" s="514">
        <f t="shared" si="303"/>
        <v>0</v>
      </c>
      <c r="O102" s="514">
        <f t="shared" si="304"/>
        <v>0</v>
      </c>
      <c r="P102" s="514">
        <f t="shared" si="305"/>
        <v>0</v>
      </c>
      <c r="Q102" s="514">
        <f t="shared" si="306"/>
        <v>0</v>
      </c>
      <c r="V102" s="48"/>
      <c r="W102" s="48"/>
      <c r="X102" s="48"/>
      <c r="BM102" s="28">
        <f>BO99*BM100</f>
        <v>0</v>
      </c>
      <c r="BN102" s="28">
        <f>BN100*BO99</f>
        <v>0</v>
      </c>
      <c r="BO102" s="36"/>
      <c r="BP102" s="28">
        <f>BR99*BP100</f>
        <v>0</v>
      </c>
      <c r="BQ102" s="28">
        <f>BR99*BQ100</f>
        <v>0</v>
      </c>
      <c r="BS102" s="28">
        <f>BU99*BS100</f>
        <v>0</v>
      </c>
      <c r="BT102" s="28">
        <f>BU99*BT100</f>
        <v>0</v>
      </c>
    </row>
    <row r="103" spans="10:77" ht="15">
      <c r="K103" s="513" t="s">
        <v>456</v>
      </c>
      <c r="L103" s="514">
        <f>SUMIF($B$10:$B$92,$K103,$AC$10:$AC$92)</f>
        <v>200000</v>
      </c>
      <c r="M103" s="514">
        <f t="shared" si="302"/>
        <v>52699.173166527107</v>
      </c>
      <c r="N103" s="514">
        <f t="shared" si="303"/>
        <v>15000</v>
      </c>
      <c r="O103" s="514">
        <f t="shared" si="304"/>
        <v>1500</v>
      </c>
      <c r="P103" s="514">
        <f t="shared" si="305"/>
        <v>269199.17316652712</v>
      </c>
      <c r="Q103" s="514">
        <f t="shared" si="306"/>
        <v>22433.264430543928</v>
      </c>
      <c r="T103" s="28" t="s">
        <v>465</v>
      </c>
      <c r="U103" s="28">
        <f>U94</f>
        <v>1</v>
      </c>
      <c r="V103" s="45">
        <f t="shared" ref="V103:Z104" si="307">SUMIFS(V$10:V$92,$G$10:$G$92,$U103,$E$10:$E$92,$T$104)</f>
        <v>0</v>
      </c>
      <c r="W103" s="45">
        <f t="shared" si="307"/>
        <v>0</v>
      </c>
      <c r="X103" s="45">
        <f t="shared" si="307"/>
        <v>0</v>
      </c>
      <c r="Y103" s="45">
        <f t="shared" si="307"/>
        <v>0</v>
      </c>
      <c r="Z103" s="45">
        <f t="shared" si="307"/>
        <v>0</v>
      </c>
      <c r="BM103" s="28">
        <f>BM99+BM102</f>
        <v>443626.14999940677</v>
      </c>
      <c r="BN103" s="28">
        <f>BN99+BN102</f>
        <v>18486.053692119938</v>
      </c>
      <c r="BO103" s="36"/>
      <c r="BP103" s="28">
        <f>BP102+BP99</f>
        <v>432373.61202536372</v>
      </c>
      <c r="BQ103" s="28">
        <f>BQ102+BQ99</f>
        <v>17545.332091042921</v>
      </c>
      <c r="BS103" s="28">
        <f>BS102+BS99</f>
        <v>421097.0586617376</v>
      </c>
      <c r="BT103" s="28">
        <f>BT102+BT99</f>
        <v>16603.235489965904</v>
      </c>
    </row>
    <row r="104" spans="10:77" ht="15">
      <c r="K104"/>
      <c r="L104" s="43">
        <f t="shared" ref="L104:Q104" si="308">SUM(L98:L103)</f>
        <v>3286091.6666666665</v>
      </c>
      <c r="M104" s="43">
        <f t="shared" si="308"/>
        <v>2098034.8622021801</v>
      </c>
      <c r="N104" s="43">
        <f t="shared" si="308"/>
        <v>255243.75</v>
      </c>
      <c r="O104" s="43">
        <f t="shared" si="308"/>
        <v>54989.6875</v>
      </c>
      <c r="P104" s="43">
        <f t="shared" si="308"/>
        <v>5694359.9663688466</v>
      </c>
      <c r="Q104" s="43">
        <f t="shared" si="308"/>
        <v>474529.99719740386</v>
      </c>
      <c r="T104" s="28" t="s">
        <v>381</v>
      </c>
      <c r="U104" s="28">
        <f t="shared" ref="U104:U108" si="309">U95</f>
        <v>2</v>
      </c>
      <c r="V104" s="45">
        <f t="shared" si="307"/>
        <v>0</v>
      </c>
      <c r="W104" s="45">
        <f t="shared" si="307"/>
        <v>0</v>
      </c>
      <c r="X104" s="45">
        <f t="shared" si="307"/>
        <v>0</v>
      </c>
      <c r="Y104" s="45">
        <f t="shared" si="307"/>
        <v>0</v>
      </c>
      <c r="Z104" s="45">
        <f t="shared" si="307"/>
        <v>0</v>
      </c>
    </row>
    <row r="105" spans="10:77" ht="15">
      <c r="K105"/>
      <c r="L105" s="44" t="b">
        <f>L104=G3</f>
        <v>0</v>
      </c>
      <c r="M105" s="28" t="b">
        <f>M104=G4</f>
        <v>1</v>
      </c>
      <c r="N105" s="28" t="b">
        <f>N104=G5</f>
        <v>1</v>
      </c>
      <c r="O105" s="28" t="b">
        <f>O104=G6</f>
        <v>1</v>
      </c>
      <c r="P105" s="28" t="b">
        <f>P104=G7</f>
        <v>0</v>
      </c>
      <c r="Q105" s="28" t="b">
        <f>Q104=G8</f>
        <v>0</v>
      </c>
      <c r="U105" s="28">
        <f t="shared" si="309"/>
        <v>3</v>
      </c>
      <c r="V105" s="45">
        <f>SUMIFS(V$10:V$92,$G$10:$G$92,$U105,$E$10:$E$92,$T$104)-V92</f>
        <v>2347375</v>
      </c>
      <c r="W105" s="45">
        <f t="shared" ref="W105:Z108" si="310">SUMIFS(W$10:W$92,$G$10:$G$92,$U105,$E$10:$E$92,$T$104)</f>
        <v>0</v>
      </c>
      <c r="X105" s="45">
        <f t="shared" si="310"/>
        <v>0</v>
      </c>
      <c r="Y105" s="45">
        <f t="shared" si="310"/>
        <v>0</v>
      </c>
      <c r="Z105" s="45">
        <f t="shared" si="310"/>
        <v>0</v>
      </c>
    </row>
    <row r="106" spans="10:77" ht="15">
      <c r="K106"/>
      <c r="U106" s="28">
        <f t="shared" si="309"/>
        <v>5</v>
      </c>
      <c r="V106" s="45">
        <f>SUMIFS(V$10:V$92,$G$10:$G$92,$U106,$E$10:$E$92,$T$104)</f>
        <v>1984000</v>
      </c>
      <c r="W106" s="45">
        <f t="shared" si="310"/>
        <v>0</v>
      </c>
      <c r="X106" s="45">
        <f t="shared" si="310"/>
        <v>0</v>
      </c>
      <c r="Y106" s="45">
        <f t="shared" si="310"/>
        <v>0</v>
      </c>
      <c r="Z106" s="45">
        <f t="shared" si="310"/>
        <v>0</v>
      </c>
    </row>
    <row r="107" spans="10:77" ht="15">
      <c r="K107"/>
      <c r="U107" s="28">
        <f t="shared" si="309"/>
        <v>8</v>
      </c>
      <c r="V107" s="45">
        <f>SUMIFS(V$10:V$92,$G$10:$G$92,$U107,$E$10:$E$92,$T$104)</f>
        <v>0</v>
      </c>
      <c r="W107" s="45">
        <f t="shared" si="310"/>
        <v>0</v>
      </c>
      <c r="X107" s="45">
        <f t="shared" si="310"/>
        <v>0</v>
      </c>
      <c r="Y107" s="45">
        <f t="shared" si="310"/>
        <v>0</v>
      </c>
      <c r="Z107" s="45">
        <f t="shared" si="310"/>
        <v>0</v>
      </c>
    </row>
    <row r="108" spans="10:77" ht="15">
      <c r="K108"/>
      <c r="U108" s="28">
        <f t="shared" si="309"/>
        <v>10</v>
      </c>
      <c r="V108" s="45">
        <f>SUMIFS(V$10:V$92,$G$10:$G$92,$U108,$E$10:$E$92,$T$104)</f>
        <v>0</v>
      </c>
      <c r="W108" s="45">
        <f t="shared" si="310"/>
        <v>0</v>
      </c>
      <c r="X108" s="45">
        <f t="shared" si="310"/>
        <v>0</v>
      </c>
      <c r="Y108" s="45">
        <f t="shared" si="310"/>
        <v>0</v>
      </c>
      <c r="Z108" s="45">
        <f t="shared" si="310"/>
        <v>0</v>
      </c>
    </row>
    <row r="109" spans="10:77" ht="15">
      <c r="K109"/>
      <c r="V109" s="45">
        <f>SUM(V103:V108)</f>
        <v>4331375</v>
      </c>
    </row>
    <row r="110" spans="10:77" ht="15">
      <c r="K110"/>
      <c r="V110" s="47"/>
    </row>
    <row r="111" spans="10:77" ht="15">
      <c r="K111"/>
      <c r="V111" s="47">
        <f>V5-V109-V100</f>
        <v>300000</v>
      </c>
      <c r="W111" s="29" t="s">
        <v>466</v>
      </c>
    </row>
    <row r="112" spans="10:77" ht="15">
      <c r="K112"/>
    </row>
    <row r="113" spans="11:11" ht="15">
      <c r="K113"/>
    </row>
    <row r="114" spans="11:11" ht="15">
      <c r="K114"/>
    </row>
    <row r="115" spans="11:11" ht="15">
      <c r="K115"/>
    </row>
    <row r="116" spans="11:11" ht="15">
      <c r="K116"/>
    </row>
    <row r="117" spans="11:11" ht="15">
      <c r="K117"/>
    </row>
    <row r="118" spans="11:11" ht="15">
      <c r="K118"/>
    </row>
    <row r="119" spans="11:11" ht="15">
      <c r="K119"/>
    </row>
    <row r="120" spans="11:11" ht="15">
      <c r="K120"/>
    </row>
    <row r="121" spans="11:11" ht="15">
      <c r="K121"/>
    </row>
    <row r="122" spans="11:11" ht="15">
      <c r="K122"/>
    </row>
    <row r="123" spans="11:11" ht="15">
      <c r="K123"/>
    </row>
    <row r="124" spans="11:11" ht="15">
      <c r="K124"/>
    </row>
    <row r="125" spans="11:11" ht="15">
      <c r="K125"/>
    </row>
    <row r="126" spans="11:11" ht="15">
      <c r="K126"/>
    </row>
    <row r="127" spans="11:11" ht="15">
      <c r="K127"/>
    </row>
    <row r="128" spans="11:11" ht="15">
      <c r="K128"/>
    </row>
    <row r="129" spans="11:11" ht="15">
      <c r="K129"/>
    </row>
    <row r="130" spans="11:11" ht="15">
      <c r="K130"/>
    </row>
    <row r="131" spans="11:11" ht="15">
      <c r="K131"/>
    </row>
    <row r="132" spans="11:11" ht="15">
      <c r="K132"/>
    </row>
    <row r="133" spans="11:11" ht="15">
      <c r="K133"/>
    </row>
    <row r="134" spans="11:11" ht="15">
      <c r="K134"/>
    </row>
    <row r="135" spans="11:11" ht="15">
      <c r="K135"/>
    </row>
    <row r="136" spans="11:11" ht="15">
      <c r="K136"/>
    </row>
    <row r="137" spans="11:11" ht="15">
      <c r="K137"/>
    </row>
    <row r="138" spans="11:11" ht="15">
      <c r="K138"/>
    </row>
    <row r="139" spans="11:11" ht="15">
      <c r="K139"/>
    </row>
    <row r="140" spans="11:11" ht="15">
      <c r="K140"/>
    </row>
    <row r="141" spans="11:11" ht="15">
      <c r="K141"/>
    </row>
    <row r="142" spans="11:11" ht="15">
      <c r="K142"/>
    </row>
    <row r="143" spans="11:11" ht="15">
      <c r="K143"/>
    </row>
    <row r="144" spans="11:11" ht="15">
      <c r="K144"/>
    </row>
    <row r="145" spans="11:11" ht="15">
      <c r="K145"/>
    </row>
    <row r="146" spans="11:11" ht="15">
      <c r="K146"/>
    </row>
    <row r="147" spans="11:11" ht="15">
      <c r="K147"/>
    </row>
    <row r="148" spans="11:11" ht="15">
      <c r="K148"/>
    </row>
    <row r="149" spans="11:11" ht="15">
      <c r="K149"/>
    </row>
    <row r="150" spans="11:11" ht="15">
      <c r="K150"/>
    </row>
    <row r="151" spans="11:11" ht="15">
      <c r="K151"/>
    </row>
    <row r="152" spans="11:11" ht="15">
      <c r="K152"/>
    </row>
    <row r="153" spans="11:11" ht="15">
      <c r="K153"/>
    </row>
    <row r="154" spans="11:11" ht="15">
      <c r="K154"/>
    </row>
    <row r="155" spans="11:11" ht="15">
      <c r="K155"/>
    </row>
    <row r="156" spans="11:11" ht="15">
      <c r="K156"/>
    </row>
    <row r="157" spans="11:11" ht="15">
      <c r="K157"/>
    </row>
    <row r="158" spans="11:11" ht="15">
      <c r="K158"/>
    </row>
    <row r="159" spans="11:11" ht="15">
      <c r="K159"/>
    </row>
    <row r="160" spans="11:11" ht="15">
      <c r="K160"/>
    </row>
    <row r="161" spans="11:11" ht="15">
      <c r="K161"/>
    </row>
    <row r="162" spans="11:11" ht="15">
      <c r="K162"/>
    </row>
    <row r="163" spans="11:11" ht="15">
      <c r="K163"/>
    </row>
    <row r="164" spans="11:11" ht="15">
      <c r="K164"/>
    </row>
    <row r="165" spans="11:11" ht="15">
      <c r="K165"/>
    </row>
    <row r="166" spans="11:11" ht="15">
      <c r="K166"/>
    </row>
    <row r="167" spans="11:11" ht="15">
      <c r="K167"/>
    </row>
    <row r="168" spans="11:11" ht="15">
      <c r="K168"/>
    </row>
    <row r="169" spans="11:11" ht="15">
      <c r="K169"/>
    </row>
    <row r="170" spans="11:11" ht="15">
      <c r="K170"/>
    </row>
    <row r="171" spans="11:11" ht="15">
      <c r="K171"/>
    </row>
    <row r="172" spans="11:11" ht="15">
      <c r="K172"/>
    </row>
    <row r="173" spans="11:11" ht="15">
      <c r="K173"/>
    </row>
    <row r="174" spans="11:11" ht="15">
      <c r="K174"/>
    </row>
    <row r="175" spans="11:11" ht="15">
      <c r="K175"/>
    </row>
    <row r="176" spans="11:11" ht="15">
      <c r="K176"/>
    </row>
    <row r="177" spans="11:11" ht="15">
      <c r="K177"/>
    </row>
    <row r="178" spans="11:11" ht="15">
      <c r="K178"/>
    </row>
    <row r="179" spans="11:11" ht="15">
      <c r="K179"/>
    </row>
    <row r="180" spans="11:11" ht="15">
      <c r="K180"/>
    </row>
    <row r="181" spans="11:11" ht="15">
      <c r="K181"/>
    </row>
    <row r="182" spans="11:11" ht="15">
      <c r="K182"/>
    </row>
    <row r="183" spans="11:11" ht="15">
      <c r="K183"/>
    </row>
  </sheetData>
  <autoFilter ref="A9:BV92" xr:uid="{00000000-0001-0000-1400-000000000000}">
    <filterColumn colId="11">
      <filters>
        <filter val="1"/>
        <filter val="1.0"/>
        <filter val="1.00"/>
        <filter val="100"/>
        <filter val="2.0"/>
        <filter val="2.00"/>
        <filter val="250"/>
        <filter val="29.00"/>
        <filter val="3"/>
        <filter val="3.00"/>
        <filter val="4"/>
        <filter val="4.0"/>
        <filter val="4.00"/>
        <filter val="49.00"/>
        <filter val="5"/>
        <filter val="54,938"/>
        <filter val="73,250"/>
        <filter val="8"/>
        <filter val="8,000.00"/>
        <filter val="8.00"/>
        <filter val="9.0"/>
      </filters>
    </filterColumn>
  </autoFilter>
  <mergeCells count="11">
    <mergeCell ref="L4:P4"/>
    <mergeCell ref="Q4:U4"/>
    <mergeCell ref="V4:Z4"/>
    <mergeCell ref="BK4:BT4"/>
    <mergeCell ref="A1:A2"/>
    <mergeCell ref="A3:A4"/>
    <mergeCell ref="AB2:AH2"/>
    <mergeCell ref="AI2:AO2"/>
    <mergeCell ref="AP2:AV2"/>
    <mergeCell ref="AW2:BC2"/>
    <mergeCell ref="BD2:BJ2"/>
  </mergeCells>
  <conditionalFormatting sqref="H2:I6 J3:K6">
    <cfRule type="cellIs" dxfId="21" priority="7" stopIfTrue="1" operator="greaterThan">
      <formula>0</formula>
    </cfRule>
  </conditionalFormatting>
  <conditionalFormatting sqref="J2:J3">
    <cfRule type="cellIs" dxfId="20" priority="4" stopIfTrue="1" operator="greaterThan">
      <formula>0</formula>
    </cfRule>
  </conditionalFormatting>
  <conditionalFormatting sqref="K2:K6">
    <cfRule type="cellIs" dxfId="19" priority="3" stopIfTrue="1" operator="greaterThan">
      <formula>0</formula>
    </cfRule>
  </conditionalFormatting>
  <conditionalFormatting sqref="AA2:AA4 G2:G8 H7:K8">
    <cfRule type="cellIs" dxfId="18" priority="8" stopIfTrue="1" operator="greaterThan">
      <formula>0</formula>
    </cfRule>
  </conditionalFormatting>
  <conditionalFormatting sqref="AA9:AA92">
    <cfRule type="cellIs" dxfId="17" priority="2" stopIfTrue="1" operator="greaterThan">
      <formula>0</formula>
    </cfRule>
  </conditionalFormatting>
  <conditionalFormatting sqref="AB2 BK2:BT3 BK4">
    <cfRule type="cellIs" dxfId="16" priority="11" stopIfTrue="1" operator="greaterThan">
      <formula>0</formula>
    </cfRule>
  </conditionalFormatting>
  <conditionalFormatting sqref="AI2">
    <cfRule type="cellIs" dxfId="15" priority="5" stopIfTrue="1" operator="greaterThan">
      <formula>0</formula>
    </cfRule>
  </conditionalFormatting>
  <conditionalFormatting sqref="AP2">
    <cfRule type="cellIs" dxfId="14" priority="9" stopIfTrue="1" operator="greaterThan">
      <formula>0</formula>
    </cfRule>
  </conditionalFormatting>
  <conditionalFormatting sqref="AW2">
    <cfRule type="cellIs" dxfId="13" priority="6" stopIfTrue="1" operator="greaterThan">
      <formula>0</formula>
    </cfRule>
  </conditionalFormatting>
  <conditionalFormatting sqref="BD2">
    <cfRule type="cellIs" dxfId="12" priority="10" stopIfTrue="1" operator="greaterThan">
      <formula>0</formula>
    </cfRule>
  </conditionalFormatting>
  <conditionalFormatting sqref="BR5:BR92 BT9:BT92 BV9:BV92">
    <cfRule type="cellIs" dxfId="11" priority="1" stopIfTrue="1" operator="notEqual">
      <formula>0</formula>
    </cfRule>
  </conditionalFormatting>
  <pageMargins left="0.7" right="0.7" top="0.75" bottom="0.75" header="0.3" footer="0.3"/>
  <pageSetup orientation="portrait"/>
  <ignoredErrors>
    <ignoredError sqref="Q10:U14 J33:J35 V94:Z108 L103:Q104 M105:Q105 M100:Q102 L98:Q99 J57:J59 H7:K8 G4:K6 H3:K3 H2:K2 Q18:U75 S17:U17 Q17 Q16:U16 Q79:U82 Q86:U92" unlocked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39997558519241921"/>
  </sheetPr>
  <dimension ref="A1:I16"/>
  <sheetViews>
    <sheetView showGridLines="0" tabSelected="1" workbookViewId="0">
      <selection activeCell="N13" sqref="N13"/>
    </sheetView>
  </sheetViews>
  <sheetFormatPr defaultColWidth="9.125" defaultRowHeight="15"/>
  <cols>
    <col min="1" max="1" width="33" style="3" customWidth="1"/>
    <col min="2" max="2" width="12.25" style="3" customWidth="1"/>
    <col min="3" max="3" width="17.125" style="3" customWidth="1"/>
    <col min="4" max="4" width="14.25" style="3" customWidth="1"/>
    <col min="5" max="5" width="13.625" style="3" customWidth="1"/>
    <col min="6" max="6" width="27.25" style="3" hidden="1" customWidth="1"/>
    <col min="7" max="7" width="16.125" style="3" hidden="1" customWidth="1"/>
    <col min="8" max="9" width="11.625" style="3" hidden="1" customWidth="1"/>
    <col min="10" max="10" width="16.25" style="3" customWidth="1"/>
    <col min="11" max="11" width="13.25" style="3" customWidth="1"/>
    <col min="12" max="16384" width="9.125" style="3"/>
  </cols>
  <sheetData>
    <row r="1" spans="1:8">
      <c r="A1" s="15" t="s">
        <v>467</v>
      </c>
      <c r="B1" s="16"/>
      <c r="C1" s="515" t="s">
        <v>113</v>
      </c>
    </row>
    <row r="2" spans="1:8">
      <c r="A2" s="516" t="s">
        <v>468</v>
      </c>
      <c r="B2" s="517"/>
      <c r="C2" s="518" t="s">
        <v>112</v>
      </c>
      <c r="F2" s="519" t="s">
        <v>468</v>
      </c>
      <c r="G2" s="519"/>
      <c r="H2" s="520" t="s">
        <v>112</v>
      </c>
    </row>
    <row r="3" spans="1:8">
      <c r="A3" s="521" t="s">
        <v>469</v>
      </c>
      <c r="B3" s="522">
        <f>Rental!B9</f>
        <v>81000</v>
      </c>
      <c r="C3" s="523">
        <f>Rental!B16</f>
        <v>1862190</v>
      </c>
      <c r="D3" s="238">
        <f>C3/$C$11</f>
        <v>0.33419994533052527</v>
      </c>
      <c r="E3" s="265">
        <f>C3/$B$3</f>
        <v>22.99</v>
      </c>
      <c r="F3" s="524" t="s">
        <v>470</v>
      </c>
      <c r="G3" s="525"/>
      <c r="H3" s="526">
        <f>'Capex (2)'!G8</f>
        <v>102345.03921968724</v>
      </c>
    </row>
    <row r="4" spans="1:8">
      <c r="A4" s="17" t="s">
        <v>471</v>
      </c>
      <c r="B4" s="18"/>
      <c r="C4" s="523">
        <f>'Manpower Summary'!H16</f>
        <v>1380000</v>
      </c>
      <c r="D4" s="238">
        <f t="shared" ref="D4:D11" si="0">C4/$C$11</f>
        <v>0.24766319470952203</v>
      </c>
      <c r="E4" s="265">
        <f>C4/$B$3</f>
        <v>17.037037037037038</v>
      </c>
      <c r="F4" s="527"/>
      <c r="G4" s="528" t="s">
        <v>472</v>
      </c>
      <c r="H4" s="529">
        <f>H3</f>
        <v>102345.03921968724</v>
      </c>
    </row>
    <row r="5" spans="1:8">
      <c r="A5" s="19" t="s">
        <v>473</v>
      </c>
      <c r="B5" s="20"/>
      <c r="C5" s="523">
        <f>Opex!F41</f>
        <v>1124570</v>
      </c>
      <c r="D5" s="238">
        <f t="shared" si="0"/>
        <v>0.20182217309745448</v>
      </c>
      <c r="E5" s="265">
        <f>C5/$B$3</f>
        <v>13.88358024691358</v>
      </c>
      <c r="F5" s="524" t="s">
        <v>474</v>
      </c>
      <c r="G5" s="530">
        <v>0.12</v>
      </c>
      <c r="H5" s="531">
        <f>H4*G5</f>
        <v>12281.404706362469</v>
      </c>
    </row>
    <row r="6" spans="1:8">
      <c r="A6" s="17" t="s">
        <v>475</v>
      </c>
      <c r="B6" s="21"/>
      <c r="C6" s="523">
        <f>Capex!G8</f>
        <v>478529.99719740386</v>
      </c>
      <c r="D6" s="238">
        <f t="shared" si="0"/>
        <v>8.5879904253802652E-2</v>
      </c>
      <c r="E6" s="265">
        <f>C6/$B$3</f>
        <v>5.9077777431778253</v>
      </c>
      <c r="F6" s="532" t="s">
        <v>476</v>
      </c>
      <c r="G6" s="532"/>
      <c r="H6" s="529">
        <f>H4+H5</f>
        <v>114626.44392604972</v>
      </c>
    </row>
    <row r="7" spans="1:8">
      <c r="A7" s="22"/>
      <c r="B7" s="528" t="s">
        <v>472</v>
      </c>
      <c r="C7" s="533">
        <f>SUM(C3:C6)</f>
        <v>4845289.9971974036</v>
      </c>
      <c r="D7" s="238"/>
      <c r="E7" s="265"/>
    </row>
    <row r="8" spans="1:8">
      <c r="A8" s="17" t="s">
        <v>477</v>
      </c>
      <c r="B8" s="23">
        <v>0.03</v>
      </c>
      <c r="C8" s="523">
        <f>$B8*SUM(C3:C6)</f>
        <v>145358.6999159221</v>
      </c>
      <c r="D8" s="238">
        <f t="shared" si="0"/>
        <v>2.6086956521739129E-2</v>
      </c>
      <c r="E8" s="265">
        <f t="shared" ref="E8:E9" si="1">C8/$B$3</f>
        <v>1.7945518508138532</v>
      </c>
    </row>
    <row r="9" spans="1:8">
      <c r="A9" s="17" t="s">
        <v>478</v>
      </c>
      <c r="B9" s="24">
        <v>0.12</v>
      </c>
      <c r="C9" s="523">
        <f>$B9*SUM(C3:C6)</f>
        <v>581434.79966368841</v>
      </c>
      <c r="D9" s="238">
        <f t="shared" si="0"/>
        <v>0.10434782608695652</v>
      </c>
      <c r="E9" s="265">
        <f t="shared" si="1"/>
        <v>7.1782074032554126</v>
      </c>
    </row>
    <row r="10" spans="1:8">
      <c r="A10" s="25"/>
      <c r="B10" s="26"/>
      <c r="C10" s="523"/>
      <c r="D10" s="238"/>
      <c r="E10" s="265"/>
    </row>
    <row r="11" spans="1:8">
      <c r="A11" s="534" t="s">
        <v>476</v>
      </c>
      <c r="B11" s="535"/>
      <c r="C11" s="536">
        <f>SUM(C7:C9)</f>
        <v>5572083.4967770139</v>
      </c>
      <c r="D11" s="238">
        <f t="shared" si="0"/>
        <v>1</v>
      </c>
      <c r="E11" s="265">
        <f>C11/$B$3</f>
        <v>68.791154281197706</v>
      </c>
    </row>
    <row r="12" spans="1:8">
      <c r="C12" s="27">
        <f>C11/B3</f>
        <v>68.791154281197706</v>
      </c>
      <c r="D12" s="27"/>
    </row>
    <row r="13" spans="1:8">
      <c r="C13" s="27"/>
    </row>
    <row r="14" spans="1:8">
      <c r="C14" s="27"/>
    </row>
    <row r="15" spans="1:8">
      <c r="C15" s="27"/>
    </row>
    <row r="16" spans="1:8">
      <c r="C16" s="27"/>
    </row>
  </sheetData>
  <mergeCells count="4">
    <mergeCell ref="A2:B2"/>
    <mergeCell ref="A11:B11"/>
    <mergeCell ref="F2:G2"/>
    <mergeCell ref="F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>
    <tabColor theme="9" tint="0.39997558519241921"/>
  </sheetPr>
  <dimension ref="A1:AG110"/>
  <sheetViews>
    <sheetView topLeftCell="A36" zoomScale="85" zoomScaleNormal="85" workbookViewId="0">
      <selection activeCell="C49" sqref="C49"/>
    </sheetView>
  </sheetViews>
  <sheetFormatPr defaultColWidth="46.75" defaultRowHeight="15"/>
  <cols>
    <col min="1" max="1" width="23.875" style="99" customWidth="1"/>
    <col min="2" max="2" width="84.375" style="99" customWidth="1"/>
    <col min="3" max="4" width="22.75" style="99" customWidth="1"/>
    <col min="5" max="5" width="21.25" style="99" customWidth="1"/>
    <col min="6" max="6" width="21.375" style="99" customWidth="1"/>
    <col min="7" max="7" width="22.25" style="99" customWidth="1"/>
    <col min="8" max="11" width="22.875" style="100" customWidth="1"/>
    <col min="12" max="13" width="18.75" style="99" customWidth="1"/>
    <col min="14" max="14" width="41.125" style="99" customWidth="1"/>
    <col min="15" max="15" width="13" style="99" customWidth="1"/>
    <col min="16" max="17" width="11.375" style="99" customWidth="1"/>
    <col min="18" max="18" width="20.875" style="99" customWidth="1"/>
    <col min="19" max="19" width="14.625" style="99" customWidth="1"/>
    <col min="20" max="20" width="25" style="99" customWidth="1"/>
    <col min="21" max="21" width="17.375" style="99" customWidth="1"/>
    <col min="22" max="16384" width="46.75" style="99"/>
  </cols>
  <sheetData>
    <row r="1" spans="1:14" ht="30">
      <c r="A1" s="537" t="s">
        <v>479</v>
      </c>
      <c r="B1" s="538">
        <f>'Plan Base'!D7</f>
        <v>8</v>
      </c>
      <c r="H1" s="101"/>
      <c r="I1" s="101"/>
      <c r="J1" s="101"/>
      <c r="K1" s="101"/>
      <c r="L1" s="103"/>
      <c r="M1" s="103"/>
    </row>
    <row r="2" spans="1:14">
      <c r="A2" s="537" t="s">
        <v>480</v>
      </c>
      <c r="B2" s="539">
        <v>0.9</v>
      </c>
      <c r="C2" s="101"/>
      <c r="D2" s="101"/>
      <c r="E2" s="101"/>
      <c r="F2" s="102"/>
      <c r="H2" s="101"/>
      <c r="I2" s="101"/>
      <c r="J2" s="101"/>
      <c r="K2" s="101"/>
      <c r="L2" s="103"/>
      <c r="M2" s="103"/>
    </row>
    <row r="3" spans="1:14">
      <c r="A3" s="537" t="s">
        <v>481</v>
      </c>
      <c r="B3" s="540">
        <f>(B1-0.7)*B2</f>
        <v>6.57</v>
      </c>
      <c r="C3" s="101"/>
      <c r="D3" s="101"/>
      <c r="E3" s="101"/>
      <c r="F3" s="102"/>
      <c r="H3" s="101"/>
      <c r="I3" s="101"/>
      <c r="J3" s="101"/>
      <c r="K3" s="101"/>
      <c r="L3" s="103"/>
      <c r="M3" s="103"/>
    </row>
    <row r="4" spans="1:14">
      <c r="A4"/>
      <c r="B4"/>
      <c r="C4" s="6"/>
      <c r="D4" s="6"/>
      <c r="E4"/>
      <c r="F4"/>
      <c r="G4"/>
      <c r="H4" s="2"/>
      <c r="I4" s="2"/>
      <c r="J4" s="2"/>
      <c r="K4" s="2"/>
      <c r="L4" s="104" t="s">
        <v>225</v>
      </c>
      <c r="M4" s="104"/>
    </row>
    <row r="5" spans="1:14">
      <c r="A5"/>
      <c r="B5"/>
      <c r="C5" s="1"/>
      <c r="D5" s="1"/>
      <c r="E5"/>
      <c r="F5"/>
      <c r="G5"/>
      <c r="H5" s="2"/>
      <c r="I5" s="2"/>
      <c r="J5" s="2"/>
      <c r="K5" s="2"/>
      <c r="L5" s="541"/>
      <c r="M5" s="263"/>
    </row>
    <row r="6" spans="1:14" s="98" customFormat="1">
      <c r="A6" s="542" t="s">
        <v>482</v>
      </c>
      <c r="B6" s="542" t="s">
        <v>483</v>
      </c>
      <c r="C6" s="542" t="s">
        <v>484</v>
      </c>
      <c r="D6" s="542" t="s">
        <v>485</v>
      </c>
      <c r="E6" s="542" t="s">
        <v>116</v>
      </c>
      <c r="F6" s="542" t="s">
        <v>486</v>
      </c>
      <c r="G6" s="542" t="s">
        <v>487</v>
      </c>
      <c r="H6" s="542" t="s">
        <v>382</v>
      </c>
      <c r="I6" s="543" t="s">
        <v>488</v>
      </c>
      <c r="J6" s="543" t="s">
        <v>489</v>
      </c>
      <c r="K6" s="543" t="s">
        <v>490</v>
      </c>
      <c r="L6" s="542" t="s">
        <v>222</v>
      </c>
      <c r="M6" s="542" t="s">
        <v>491</v>
      </c>
      <c r="N6" s="544" t="s">
        <v>62</v>
      </c>
    </row>
    <row r="7" spans="1:14" hidden="1">
      <c r="A7" s="545" t="s">
        <v>467</v>
      </c>
      <c r="B7" s="546" t="s">
        <v>232</v>
      </c>
      <c r="C7" s="547"/>
      <c r="D7" s="547"/>
      <c r="E7" s="548"/>
      <c r="F7" s="548" t="s">
        <v>232</v>
      </c>
      <c r="G7" s="548"/>
      <c r="H7" s="549" t="s">
        <v>384</v>
      </c>
      <c r="I7" s="262"/>
      <c r="J7" s="262"/>
      <c r="K7" s="262"/>
      <c r="L7" s="550">
        <v>1</v>
      </c>
      <c r="M7" s="264"/>
      <c r="N7" s="551"/>
    </row>
    <row r="8" spans="1:14" hidden="1">
      <c r="A8" s="552" t="s">
        <v>467</v>
      </c>
      <c r="B8" s="553" t="s">
        <v>234</v>
      </c>
      <c r="C8" s="554"/>
      <c r="D8" s="554"/>
      <c r="E8" s="555"/>
      <c r="F8" s="555" t="s">
        <v>492</v>
      </c>
      <c r="G8" s="555"/>
      <c r="H8" s="556" t="s">
        <v>384</v>
      </c>
      <c r="I8" s="556"/>
      <c r="J8" s="556"/>
      <c r="K8" s="556"/>
      <c r="L8" s="557">
        <v>0</v>
      </c>
      <c r="M8" s="558"/>
      <c r="N8" s="559"/>
    </row>
    <row r="9" spans="1:14">
      <c r="A9" s="552" t="s">
        <v>467</v>
      </c>
      <c r="B9" s="553" t="s">
        <v>493</v>
      </c>
      <c r="C9" s="554"/>
      <c r="D9" s="554"/>
      <c r="E9" s="555"/>
      <c r="F9" s="555" t="s">
        <v>238</v>
      </c>
      <c r="G9" s="555"/>
      <c r="H9" s="560" t="s">
        <v>383</v>
      </c>
      <c r="I9" s="556"/>
      <c r="J9" s="556"/>
      <c r="K9" s="556"/>
      <c r="L9" s="557">
        <v>0</v>
      </c>
      <c r="M9" s="558"/>
      <c r="N9" s="559"/>
    </row>
    <row r="10" spans="1:14" hidden="1">
      <c r="A10" s="552" t="s">
        <v>467</v>
      </c>
      <c r="B10" s="553" t="s">
        <v>494</v>
      </c>
      <c r="C10" s="554"/>
      <c r="D10" s="554"/>
      <c r="E10" s="555"/>
      <c r="F10" s="555" t="s">
        <v>234</v>
      </c>
      <c r="G10" s="555"/>
      <c r="H10" s="556" t="s">
        <v>384</v>
      </c>
      <c r="I10" s="556"/>
      <c r="J10" s="556"/>
      <c r="K10" s="556"/>
      <c r="L10" s="557">
        <v>0</v>
      </c>
      <c r="M10" s="558">
        <v>1</v>
      </c>
      <c r="N10" s="559"/>
    </row>
    <row r="11" spans="1:14" hidden="1">
      <c r="A11" s="552" t="s">
        <v>467</v>
      </c>
      <c r="B11" s="553" t="s">
        <v>235</v>
      </c>
      <c r="C11" s="554"/>
      <c r="D11" s="554"/>
      <c r="E11" s="555"/>
      <c r="F11" s="555" t="s">
        <v>235</v>
      </c>
      <c r="G11" s="555"/>
      <c r="H11" s="556" t="s">
        <v>384</v>
      </c>
      <c r="I11" s="556"/>
      <c r="J11" s="556"/>
      <c r="K11" s="556"/>
      <c r="L11" s="557">
        <v>0</v>
      </c>
      <c r="M11" s="558"/>
      <c r="N11" s="559"/>
    </row>
    <row r="12" spans="1:14" hidden="1">
      <c r="A12" s="552" t="s">
        <v>467</v>
      </c>
      <c r="B12" s="553" t="s">
        <v>492</v>
      </c>
      <c r="C12" s="554"/>
      <c r="D12" s="554"/>
      <c r="E12" s="555"/>
      <c r="F12" s="555" t="s">
        <v>492</v>
      </c>
      <c r="G12" s="555"/>
      <c r="H12" s="556" t="s">
        <v>384</v>
      </c>
      <c r="I12" s="556"/>
      <c r="J12" s="556"/>
      <c r="K12" s="556"/>
      <c r="L12" s="557">
        <v>0</v>
      </c>
      <c r="M12" s="558"/>
      <c r="N12" s="559"/>
    </row>
    <row r="13" spans="1:14" hidden="1">
      <c r="A13" s="552" t="s">
        <v>467</v>
      </c>
      <c r="B13" s="553" t="s">
        <v>495</v>
      </c>
      <c r="C13" s="554"/>
      <c r="D13" s="554"/>
      <c r="E13" s="555"/>
      <c r="F13" s="555" t="s">
        <v>110</v>
      </c>
      <c r="G13" s="555"/>
      <c r="H13" s="556"/>
      <c r="I13" s="556"/>
      <c r="J13" s="556"/>
      <c r="K13" s="556"/>
      <c r="L13" s="557">
        <v>2</v>
      </c>
      <c r="M13" s="558">
        <v>1</v>
      </c>
      <c r="N13" s="559"/>
    </row>
    <row r="14" spans="1:14" hidden="1">
      <c r="A14" s="552" t="s">
        <v>467</v>
      </c>
      <c r="B14" s="553" t="s">
        <v>496</v>
      </c>
      <c r="C14" s="554"/>
      <c r="D14" s="554"/>
      <c r="E14" s="555"/>
      <c r="F14" s="555" t="s">
        <v>110</v>
      </c>
      <c r="G14" s="555"/>
      <c r="H14" s="556"/>
      <c r="I14" s="556"/>
      <c r="J14" s="556"/>
      <c r="K14" s="556"/>
      <c r="L14" s="557">
        <v>0</v>
      </c>
      <c r="M14" s="558"/>
      <c r="N14" s="559"/>
    </row>
    <row r="15" spans="1:14" hidden="1">
      <c r="A15" s="552" t="s">
        <v>467</v>
      </c>
      <c r="B15" s="553" t="s">
        <v>497</v>
      </c>
      <c r="C15" s="554"/>
      <c r="D15" s="554"/>
      <c r="E15" s="555"/>
      <c r="F15" s="555" t="s">
        <v>110</v>
      </c>
      <c r="G15" s="555"/>
      <c r="H15" s="556"/>
      <c r="I15" s="556"/>
      <c r="J15" s="556"/>
      <c r="K15" s="556"/>
      <c r="L15" s="557">
        <v>0</v>
      </c>
      <c r="M15" s="558"/>
      <c r="N15" s="559"/>
    </row>
    <row r="16" spans="1:14" hidden="1">
      <c r="A16" s="552" t="s">
        <v>467</v>
      </c>
      <c r="B16" s="553" t="s">
        <v>498</v>
      </c>
      <c r="C16" s="554"/>
      <c r="D16" s="554"/>
      <c r="E16" s="555"/>
      <c r="F16" s="555" t="s">
        <v>110</v>
      </c>
      <c r="G16" s="555"/>
      <c r="H16" s="556"/>
      <c r="I16" s="561"/>
      <c r="J16" s="561"/>
      <c r="K16" s="561"/>
      <c r="L16" s="557">
        <v>0</v>
      </c>
      <c r="M16" s="558"/>
      <c r="N16" s="559"/>
    </row>
    <row r="17" spans="1:14" hidden="1">
      <c r="A17" s="552" t="s">
        <v>467</v>
      </c>
      <c r="B17" s="553" t="s">
        <v>245</v>
      </c>
      <c r="C17" s="554"/>
      <c r="D17" s="554"/>
      <c r="E17" s="555"/>
      <c r="F17" s="555" t="s">
        <v>245</v>
      </c>
      <c r="G17" s="555"/>
      <c r="H17" s="556"/>
      <c r="I17" s="561"/>
      <c r="J17" s="561"/>
      <c r="K17" s="561"/>
      <c r="L17" s="557">
        <v>2</v>
      </c>
      <c r="M17" s="558"/>
      <c r="N17" s="559"/>
    </row>
    <row r="18" spans="1:14" ht="15.75" hidden="1" thickBot="1">
      <c r="A18" s="562" t="s">
        <v>467</v>
      </c>
      <c r="B18" s="563" t="s">
        <v>499</v>
      </c>
      <c r="C18" s="564"/>
      <c r="D18" s="564"/>
      <c r="E18" s="565"/>
      <c r="F18" s="565" t="s">
        <v>236</v>
      </c>
      <c r="G18" s="565"/>
      <c r="H18" s="566"/>
      <c r="I18" s="566"/>
      <c r="J18" s="566"/>
      <c r="K18" s="566"/>
      <c r="L18" s="567">
        <v>0</v>
      </c>
      <c r="M18" s="568"/>
      <c r="N18" s="569"/>
    </row>
    <row r="19" spans="1:14" hidden="1">
      <c r="A19" s="570" t="s">
        <v>63</v>
      </c>
      <c r="B19" s="546" t="s">
        <v>65</v>
      </c>
      <c r="C19" s="547">
        <f>D19*$B$3</f>
        <v>985.5</v>
      </c>
      <c r="D19" s="547">
        <f>60/0.4</f>
        <v>150</v>
      </c>
      <c r="E19" s="548" t="s">
        <v>500</v>
      </c>
      <c r="F19" s="548" t="s">
        <v>110</v>
      </c>
      <c r="G19" s="548"/>
      <c r="H19" s="549"/>
      <c r="I19" s="571">
        <f>'Plan Base'!D41</f>
        <v>40</v>
      </c>
      <c r="J19" s="571">
        <f>Sheet1!K3+Sheet1!K4</f>
        <v>45</v>
      </c>
      <c r="K19" s="571">
        <f>Sheet1!K5</f>
        <v>5</v>
      </c>
      <c r="L19" s="572">
        <f>J19/C19</f>
        <v>4.5662100456621002E-2</v>
      </c>
      <c r="M19" s="550">
        <f>K19/C19</f>
        <v>5.0735667174023336E-3</v>
      </c>
      <c r="N19" s="551"/>
    </row>
    <row r="20" spans="1:14" hidden="1">
      <c r="A20" s="573" t="s">
        <v>63</v>
      </c>
      <c r="B20" s="553" t="s">
        <v>501</v>
      </c>
      <c r="C20" s="554">
        <f t="shared" ref="C20:C25" si="0">D20*$B$3</f>
        <v>394.20000000000005</v>
      </c>
      <c r="D20" s="554">
        <f>60/1</f>
        <v>60</v>
      </c>
      <c r="E20" s="574" t="s">
        <v>214</v>
      </c>
      <c r="F20" s="574" t="s">
        <v>236</v>
      </c>
      <c r="G20" s="555"/>
      <c r="H20" s="556"/>
      <c r="I20" s="561">
        <f>'Plan Base'!D40</f>
        <v>21</v>
      </c>
      <c r="J20" s="561">
        <f>Sheet1!J3+Sheet1!J4</f>
        <v>18.899999999999999</v>
      </c>
      <c r="K20" s="561">
        <f>Sheet1!J5</f>
        <v>2.1</v>
      </c>
      <c r="L20" s="572">
        <f>J20/C20</f>
        <v>4.7945205479452045E-2</v>
      </c>
      <c r="M20" s="558">
        <f>K20/C20</f>
        <v>5.3272450532724502E-3</v>
      </c>
      <c r="N20" s="559"/>
    </row>
    <row r="21" spans="1:14" hidden="1">
      <c r="A21" s="573" t="s">
        <v>63</v>
      </c>
      <c r="B21" s="575" t="s">
        <v>502</v>
      </c>
      <c r="C21" s="554">
        <f t="shared" si="0"/>
        <v>788.40000000000009</v>
      </c>
      <c r="D21" s="554">
        <f>60/0.5</f>
        <v>120</v>
      </c>
      <c r="E21" s="574" t="s">
        <v>175</v>
      </c>
      <c r="F21" s="574" t="s">
        <v>243</v>
      </c>
      <c r="G21" s="555"/>
      <c r="H21" s="556"/>
      <c r="I21" s="561">
        <f>'Plan Base'!D32+'Plan Base'!D35+'Plan Base'!D37</f>
        <v>350</v>
      </c>
      <c r="J21" s="561">
        <f>Sheet1!H3+Sheet1!H4</f>
        <v>315</v>
      </c>
      <c r="K21" s="561">
        <f>Sheet1!H5</f>
        <v>35</v>
      </c>
      <c r="L21" s="572">
        <f t="shared" ref="L21:L29" si="1">J21/C21</f>
        <v>0.39954337899543374</v>
      </c>
      <c r="M21" s="558">
        <f t="shared" ref="M21:M29" si="2">K21/C21</f>
        <v>4.4393708777270419E-2</v>
      </c>
      <c r="N21" s="559"/>
    </row>
    <row r="22" spans="1:14" hidden="1">
      <c r="A22" s="573" t="s">
        <v>63</v>
      </c>
      <c r="B22" s="575" t="s">
        <v>503</v>
      </c>
      <c r="C22" s="554">
        <f>D22*$B$3</f>
        <v>1576.8000000000002</v>
      </c>
      <c r="D22" s="554">
        <f>60/0.25</f>
        <v>240</v>
      </c>
      <c r="E22" s="574" t="s">
        <v>165</v>
      </c>
      <c r="F22" s="555" t="s">
        <v>243</v>
      </c>
      <c r="G22" s="574"/>
      <c r="H22" s="556"/>
      <c r="I22" s="561">
        <f>'Plan Base'!D31+'Plan Base'!D34+'Plan Base'!D37</f>
        <v>7150</v>
      </c>
      <c r="J22" s="561">
        <f>Sheet1!I3+Sheet1!I4</f>
        <v>6435</v>
      </c>
      <c r="K22" s="561">
        <f>Sheet1!I5</f>
        <v>715</v>
      </c>
      <c r="L22" s="572">
        <f t="shared" si="1"/>
        <v>4.0810502283105015</v>
      </c>
      <c r="M22" s="558">
        <f>K22/C22</f>
        <v>0.45345002536783352</v>
      </c>
      <c r="N22" s="559"/>
    </row>
    <row r="23" spans="1:14" hidden="1">
      <c r="A23" s="573" t="s">
        <v>63</v>
      </c>
      <c r="B23" s="553" t="s">
        <v>72</v>
      </c>
      <c r="C23" s="554">
        <f t="shared" si="0"/>
        <v>788.40000000000009</v>
      </c>
      <c r="D23" s="554">
        <f>60/0.5</f>
        <v>120</v>
      </c>
      <c r="E23" s="574" t="s">
        <v>175</v>
      </c>
      <c r="F23" s="574" t="s">
        <v>243</v>
      </c>
      <c r="G23" s="574" t="s">
        <v>504</v>
      </c>
      <c r="H23" s="556"/>
      <c r="I23" s="561">
        <f>'Plan Base'!D32+'Plan Base'!D35+'Plan Base'!D37</f>
        <v>350</v>
      </c>
      <c r="J23" s="561">
        <f>J21</f>
        <v>315</v>
      </c>
      <c r="K23" s="561">
        <f>K21</f>
        <v>35</v>
      </c>
      <c r="L23" s="572">
        <f t="shared" si="1"/>
        <v>0.39954337899543374</v>
      </c>
      <c r="M23" s="558">
        <f t="shared" si="2"/>
        <v>4.4393708777270419E-2</v>
      </c>
      <c r="N23" s="559"/>
    </row>
    <row r="24" spans="1:14" hidden="1">
      <c r="A24" s="573" t="s">
        <v>63</v>
      </c>
      <c r="B24" s="575" t="s">
        <v>505</v>
      </c>
      <c r="C24" s="554">
        <f t="shared" si="0"/>
        <v>7884</v>
      </c>
      <c r="D24" s="554">
        <f>60/0.05</f>
        <v>1200</v>
      </c>
      <c r="E24" s="574" t="s">
        <v>165</v>
      </c>
      <c r="F24" s="574" t="s">
        <v>236</v>
      </c>
      <c r="G24" s="555"/>
      <c r="H24" s="556" t="s">
        <v>388</v>
      </c>
      <c r="I24" s="561">
        <f>I22</f>
        <v>7150</v>
      </c>
      <c r="J24" s="561">
        <f>J22</f>
        <v>6435</v>
      </c>
      <c r="K24" s="561">
        <f>K22</f>
        <v>715</v>
      </c>
      <c r="L24" s="572">
        <f t="shared" si="1"/>
        <v>0.81621004566210043</v>
      </c>
      <c r="M24" s="558">
        <f t="shared" si="2"/>
        <v>9.0690005073566712E-2</v>
      </c>
      <c r="N24" s="559"/>
    </row>
    <row r="25" spans="1:14" hidden="1">
      <c r="A25" s="573" t="s">
        <v>63</v>
      </c>
      <c r="B25" s="575" t="s">
        <v>506</v>
      </c>
      <c r="C25" s="554">
        <f t="shared" si="0"/>
        <v>7884</v>
      </c>
      <c r="D25" s="554">
        <f>60/0.05</f>
        <v>1200</v>
      </c>
      <c r="E25" s="574" t="s">
        <v>165</v>
      </c>
      <c r="F25" s="574" t="s">
        <v>243</v>
      </c>
      <c r="G25" s="555"/>
      <c r="H25" s="560" t="s">
        <v>388</v>
      </c>
      <c r="I25" s="561">
        <f>I22</f>
        <v>7150</v>
      </c>
      <c r="J25" s="561">
        <f>J22</f>
        <v>6435</v>
      </c>
      <c r="K25" s="561">
        <f>K22</f>
        <v>715</v>
      </c>
      <c r="L25" s="572">
        <f t="shared" si="1"/>
        <v>0.81621004566210043</v>
      </c>
      <c r="M25" s="558">
        <f t="shared" si="2"/>
        <v>9.0690005073566712E-2</v>
      </c>
      <c r="N25" s="559"/>
    </row>
    <row r="26" spans="1:14" ht="15.75" thickBot="1">
      <c r="A26" s="573" t="s">
        <v>63</v>
      </c>
      <c r="B26" s="553" t="s">
        <v>78</v>
      </c>
      <c r="C26" s="554">
        <f>D26*$B$3</f>
        <v>78.84</v>
      </c>
      <c r="D26" s="554">
        <f>60/5</f>
        <v>12</v>
      </c>
      <c r="E26" s="574" t="s">
        <v>500</v>
      </c>
      <c r="F26" s="574" t="s">
        <v>238</v>
      </c>
      <c r="G26" s="555"/>
      <c r="H26" s="556" t="s">
        <v>383</v>
      </c>
      <c r="I26" s="576">
        <f>I19</f>
        <v>40</v>
      </c>
      <c r="J26" s="576">
        <f>Sheet1!K3+Sheet1!K4</f>
        <v>45</v>
      </c>
      <c r="K26" s="576">
        <f>Sheet1!K5</f>
        <v>5</v>
      </c>
      <c r="L26" s="572">
        <f t="shared" si="1"/>
        <v>0.57077625570776258</v>
      </c>
      <c r="M26" s="558">
        <f t="shared" si="2"/>
        <v>6.3419583967529169E-2</v>
      </c>
      <c r="N26" s="559"/>
    </row>
    <row r="27" spans="1:14" ht="15.75" hidden="1" thickBot="1">
      <c r="A27" s="573" t="s">
        <v>63</v>
      </c>
      <c r="B27" s="577" t="s">
        <v>80</v>
      </c>
      <c r="C27" s="554">
        <f>D27*$B$3</f>
        <v>78.84</v>
      </c>
      <c r="D27" s="554">
        <f>60/5</f>
        <v>12</v>
      </c>
      <c r="E27" s="578" t="s">
        <v>175</v>
      </c>
      <c r="F27" s="578" t="s">
        <v>243</v>
      </c>
      <c r="G27" s="579" t="s">
        <v>507</v>
      </c>
      <c r="H27" s="580"/>
      <c r="I27" s="581">
        <f>I23*2%</f>
        <v>7</v>
      </c>
      <c r="J27" s="581">
        <f>J22*2%</f>
        <v>128.69999999999999</v>
      </c>
      <c r="K27" s="581">
        <f>K22*2%</f>
        <v>14.3</v>
      </c>
      <c r="L27" s="572">
        <f t="shared" si="1"/>
        <v>1.6324200913242006</v>
      </c>
      <c r="M27" s="558">
        <f t="shared" si="2"/>
        <v>0.18138001014713342</v>
      </c>
      <c r="N27" s="582"/>
    </row>
    <row r="28" spans="1:14" ht="15.75" hidden="1" thickBot="1">
      <c r="A28" s="573" t="s">
        <v>63</v>
      </c>
      <c r="B28" s="583" t="s">
        <v>508</v>
      </c>
      <c r="C28" s="554">
        <f>D28*$B$3</f>
        <v>131.4</v>
      </c>
      <c r="D28" s="554">
        <f>60/3</f>
        <v>20</v>
      </c>
      <c r="E28" s="578" t="s">
        <v>175</v>
      </c>
      <c r="F28" s="578" t="s">
        <v>243</v>
      </c>
      <c r="G28" s="578" t="s">
        <v>504</v>
      </c>
      <c r="H28" s="580"/>
      <c r="I28" s="581">
        <f>I21</f>
        <v>350</v>
      </c>
      <c r="J28" s="581">
        <f>J21</f>
        <v>315</v>
      </c>
      <c r="K28" s="581">
        <f>K21</f>
        <v>35</v>
      </c>
      <c r="L28" s="572">
        <f t="shared" si="1"/>
        <v>2.3972602739726026</v>
      </c>
      <c r="M28" s="558">
        <f t="shared" si="2"/>
        <v>0.26636225266362251</v>
      </c>
      <c r="N28" s="582"/>
    </row>
    <row r="29" spans="1:14" ht="15.75" hidden="1" thickBot="1">
      <c r="A29" s="573" t="s">
        <v>63</v>
      </c>
      <c r="B29" s="583" t="s">
        <v>509</v>
      </c>
      <c r="C29" s="554">
        <f>D29*$B$3</f>
        <v>197.10000000000002</v>
      </c>
      <c r="D29" s="554">
        <f>60/2</f>
        <v>30</v>
      </c>
      <c r="E29" s="578" t="s">
        <v>175</v>
      </c>
      <c r="F29" s="574" t="s">
        <v>240</v>
      </c>
      <c r="G29" s="578" t="s">
        <v>510</v>
      </c>
      <c r="H29" s="580"/>
      <c r="I29" s="581">
        <f>I23</f>
        <v>350</v>
      </c>
      <c r="J29" s="581">
        <f>J21</f>
        <v>315</v>
      </c>
      <c r="K29" s="581">
        <f>K21</f>
        <v>35</v>
      </c>
      <c r="L29" s="572">
        <f t="shared" si="1"/>
        <v>1.598173515981735</v>
      </c>
      <c r="M29" s="558">
        <f t="shared" si="2"/>
        <v>0.17757483510908167</v>
      </c>
      <c r="N29" s="582"/>
    </row>
    <row r="30" spans="1:14">
      <c r="A30" s="570" t="s">
        <v>83</v>
      </c>
      <c r="B30" s="546" t="s">
        <v>85</v>
      </c>
      <c r="C30" s="547">
        <f t="shared" ref="C30:C40" si="3">D30*$B$3</f>
        <v>394.20000000000005</v>
      </c>
      <c r="D30" s="547">
        <f>60/1</f>
        <v>60</v>
      </c>
      <c r="E30" s="548" t="s">
        <v>500</v>
      </c>
      <c r="F30" s="548" t="s">
        <v>238</v>
      </c>
      <c r="G30" s="548"/>
      <c r="H30" s="549" t="s">
        <v>383</v>
      </c>
      <c r="I30" s="571">
        <f>'Plan Base'!D68</f>
        <v>40</v>
      </c>
      <c r="J30" s="571">
        <f>Sheet1!K9+Sheet1!K10</f>
        <v>40</v>
      </c>
      <c r="K30" s="571">
        <f>Sheet1!K11</f>
        <v>10</v>
      </c>
      <c r="L30" s="572">
        <f t="shared" ref="L30:L40" si="4">J30/C30</f>
        <v>0.10147133434804667</v>
      </c>
      <c r="M30" s="558">
        <f t="shared" ref="M30:M41" si="5">K30/C30</f>
        <v>2.5367833587011668E-2</v>
      </c>
      <c r="N30" s="551"/>
    </row>
    <row r="31" spans="1:14">
      <c r="A31" s="573" t="s">
        <v>83</v>
      </c>
      <c r="B31" s="553" t="s">
        <v>88</v>
      </c>
      <c r="C31" s="554">
        <f t="shared" si="3"/>
        <v>1314</v>
      </c>
      <c r="D31" s="554">
        <f>60/0.3</f>
        <v>200</v>
      </c>
      <c r="E31" s="574" t="s">
        <v>511</v>
      </c>
      <c r="F31" s="574" t="s">
        <v>238</v>
      </c>
      <c r="G31" s="574"/>
      <c r="H31" s="560" t="s">
        <v>383</v>
      </c>
      <c r="I31" s="561">
        <f>'Plan Base'!D69</f>
        <v>60</v>
      </c>
      <c r="J31" s="561">
        <f>I31*80%</f>
        <v>48</v>
      </c>
      <c r="K31" s="561">
        <f>I31*20%</f>
        <v>12</v>
      </c>
      <c r="L31" s="572">
        <f t="shared" si="4"/>
        <v>3.6529680365296802E-2</v>
      </c>
      <c r="M31" s="558">
        <f>K31/C31</f>
        <v>9.1324200913242004E-3</v>
      </c>
      <c r="N31" s="559"/>
    </row>
    <row r="32" spans="1:14" hidden="1">
      <c r="A32" s="573" t="s">
        <v>83</v>
      </c>
      <c r="B32" s="553" t="s">
        <v>512</v>
      </c>
      <c r="C32" s="554">
        <f t="shared" si="3"/>
        <v>197.10000000000002</v>
      </c>
      <c r="D32" s="554">
        <f>60/2</f>
        <v>30</v>
      </c>
      <c r="E32" s="555" t="s">
        <v>175</v>
      </c>
      <c r="F32" s="574" t="s">
        <v>240</v>
      </c>
      <c r="G32" s="574" t="s">
        <v>510</v>
      </c>
      <c r="H32" s="556"/>
      <c r="I32" s="561">
        <f>'Plan Base'!D67</f>
        <v>350</v>
      </c>
      <c r="J32" s="561">
        <f>Sheet1!H9+Sheet1!H10</f>
        <v>280</v>
      </c>
      <c r="K32" s="561">
        <f>Sheet1!H11</f>
        <v>70</v>
      </c>
      <c r="L32" s="572">
        <f t="shared" si="4"/>
        <v>1.4205986808726534</v>
      </c>
      <c r="M32" s="558">
        <f t="shared" si="5"/>
        <v>0.35514967021816335</v>
      </c>
      <c r="N32" s="559"/>
    </row>
    <row r="33" spans="1:33" hidden="1">
      <c r="A33" s="573" t="s">
        <v>83</v>
      </c>
      <c r="B33" s="553" t="s">
        <v>92</v>
      </c>
      <c r="C33" s="554">
        <f t="shared" si="3"/>
        <v>131.4</v>
      </c>
      <c r="D33" s="554">
        <f>60/3</f>
        <v>20</v>
      </c>
      <c r="E33" s="555" t="s">
        <v>175</v>
      </c>
      <c r="F33" s="574" t="s">
        <v>243</v>
      </c>
      <c r="G33" s="574" t="s">
        <v>507</v>
      </c>
      <c r="H33" s="556"/>
      <c r="I33" s="561">
        <f>I32</f>
        <v>350</v>
      </c>
      <c r="J33" s="561">
        <f>J32</f>
        <v>280</v>
      </c>
      <c r="K33" s="561">
        <f>K32</f>
        <v>70</v>
      </c>
      <c r="L33" s="572">
        <f t="shared" si="4"/>
        <v>2.1308980213089801</v>
      </c>
      <c r="M33" s="558">
        <f t="shared" si="5"/>
        <v>0.53272450532724502</v>
      </c>
      <c r="N33" s="559"/>
    </row>
    <row r="34" spans="1:33" hidden="1">
      <c r="A34" s="573" t="s">
        <v>83</v>
      </c>
      <c r="B34" s="553" t="s">
        <v>94</v>
      </c>
      <c r="C34" s="554">
        <f t="shared" si="3"/>
        <v>788.40000000000009</v>
      </c>
      <c r="D34" s="554">
        <f>60/0.5</f>
        <v>120</v>
      </c>
      <c r="E34" s="555" t="s">
        <v>175</v>
      </c>
      <c r="F34" s="574" t="s">
        <v>236</v>
      </c>
      <c r="G34" s="555"/>
      <c r="H34" s="556" t="s">
        <v>388</v>
      </c>
      <c r="I34" s="561">
        <f>I32</f>
        <v>350</v>
      </c>
      <c r="J34" s="561">
        <f>Sheet1!I9+Sheet1!I10</f>
        <v>3200</v>
      </c>
      <c r="K34" s="561">
        <f>Sheet1!I11</f>
        <v>800</v>
      </c>
      <c r="L34" s="572">
        <f t="shared" si="4"/>
        <v>4.0588533739218668</v>
      </c>
      <c r="M34" s="558">
        <f t="shared" si="5"/>
        <v>1.0147133434804667</v>
      </c>
      <c r="N34" s="559"/>
    </row>
    <row r="35" spans="1:33" hidden="1">
      <c r="A35" s="573" t="s">
        <v>83</v>
      </c>
      <c r="B35" s="577" t="s">
        <v>76</v>
      </c>
      <c r="C35" s="554">
        <f>D35*$B$3</f>
        <v>7884</v>
      </c>
      <c r="D35" s="554">
        <f>60/0.05</f>
        <v>1200</v>
      </c>
      <c r="E35" s="579" t="s">
        <v>172</v>
      </c>
      <c r="F35" s="578" t="s">
        <v>243</v>
      </c>
      <c r="G35" s="579"/>
      <c r="H35" s="584" t="s">
        <v>388</v>
      </c>
      <c r="I35" s="585">
        <f>'Plan Base'!D60+'Plan Base'!D63</f>
        <v>3850</v>
      </c>
      <c r="J35" s="585">
        <f>J34</f>
        <v>3200</v>
      </c>
      <c r="K35" s="586">
        <f>K34</f>
        <v>800</v>
      </c>
      <c r="L35" s="572">
        <f t="shared" si="4"/>
        <v>0.40588533739218668</v>
      </c>
      <c r="M35" s="558">
        <f t="shared" si="5"/>
        <v>0.10147133434804667</v>
      </c>
      <c r="N35" s="582"/>
    </row>
    <row r="36" spans="1:33" ht="15.75" thickBot="1">
      <c r="A36" s="587" t="s">
        <v>83</v>
      </c>
      <c r="B36" s="563" t="s">
        <v>96</v>
      </c>
      <c r="C36" s="564">
        <f t="shared" si="3"/>
        <v>78.84</v>
      </c>
      <c r="D36" s="564">
        <f>60/5</f>
        <v>12</v>
      </c>
      <c r="E36" s="588" t="s">
        <v>500</v>
      </c>
      <c r="F36" s="588" t="s">
        <v>238</v>
      </c>
      <c r="G36" s="565"/>
      <c r="H36" s="589" t="s">
        <v>383</v>
      </c>
      <c r="I36" s="590">
        <f>ARM!I30</f>
        <v>40</v>
      </c>
      <c r="J36" s="590">
        <f>J30</f>
        <v>40</v>
      </c>
      <c r="K36" s="590">
        <f>K30</f>
        <v>10</v>
      </c>
      <c r="L36" s="572">
        <f t="shared" si="4"/>
        <v>0.50735667174023336</v>
      </c>
      <c r="M36" s="558">
        <f t="shared" si="5"/>
        <v>0.12683916793505834</v>
      </c>
      <c r="N36" s="569"/>
    </row>
    <row r="37" spans="1:33" hidden="1">
      <c r="A37" s="570" t="s">
        <v>513</v>
      </c>
      <c r="B37" s="546" t="s">
        <v>99</v>
      </c>
      <c r="C37" s="547">
        <f t="shared" si="3"/>
        <v>231.88235294117649</v>
      </c>
      <c r="D37" s="547">
        <f>60/1.7</f>
        <v>35.294117647058826</v>
      </c>
      <c r="E37" s="591" t="s">
        <v>214</v>
      </c>
      <c r="F37" s="591" t="s">
        <v>110</v>
      </c>
      <c r="G37" s="548"/>
      <c r="H37" s="549"/>
      <c r="I37" s="571">
        <f>'Plan Base'!D71</f>
        <v>12</v>
      </c>
      <c r="J37" s="571">
        <f>Sheet1!J9+Sheet1!J10</f>
        <v>9.5999999999999979</v>
      </c>
      <c r="K37" s="571">
        <f>Sheet1!J11</f>
        <v>2.4000000000000004</v>
      </c>
      <c r="L37" s="572">
        <f t="shared" si="4"/>
        <v>4.1400304414003032E-2</v>
      </c>
      <c r="M37" s="558">
        <f t="shared" si="5"/>
        <v>1.0350076103500762E-2</v>
      </c>
      <c r="N37" s="551"/>
    </row>
    <row r="38" spans="1:33" hidden="1">
      <c r="A38" s="573" t="s">
        <v>513</v>
      </c>
      <c r="B38" s="575" t="s">
        <v>514</v>
      </c>
      <c r="C38" s="554">
        <f t="shared" si="3"/>
        <v>1576.8000000000002</v>
      </c>
      <c r="D38" s="554">
        <f>60/0.25</f>
        <v>240</v>
      </c>
      <c r="E38" s="574" t="s">
        <v>172</v>
      </c>
      <c r="F38" s="574" t="s">
        <v>243</v>
      </c>
      <c r="G38" s="574"/>
      <c r="H38" s="556"/>
      <c r="I38" s="561">
        <f>'Plan Base'!D60+'Plan Base'!D63</f>
        <v>3850</v>
      </c>
      <c r="J38" s="561">
        <f>Sheet1!I9+Sheet1!I10</f>
        <v>3200</v>
      </c>
      <c r="K38" s="561">
        <f>Sheet1!I11</f>
        <v>800</v>
      </c>
      <c r="L38" s="572">
        <f t="shared" si="4"/>
        <v>2.0294266869609334</v>
      </c>
      <c r="M38" s="558">
        <f t="shared" si="5"/>
        <v>0.50735667174023336</v>
      </c>
      <c r="N38" s="559"/>
    </row>
    <row r="39" spans="1:33" hidden="1">
      <c r="A39" s="573" t="s">
        <v>513</v>
      </c>
      <c r="B39" s="575" t="s">
        <v>515</v>
      </c>
      <c r="C39" s="554">
        <f t="shared" si="3"/>
        <v>197.10000000000002</v>
      </c>
      <c r="D39" s="554">
        <f>60/2</f>
        <v>30</v>
      </c>
      <c r="E39" s="574" t="s">
        <v>175</v>
      </c>
      <c r="F39" s="574" t="s">
        <v>241</v>
      </c>
      <c r="G39" s="574" t="s">
        <v>516</v>
      </c>
      <c r="H39" s="556"/>
      <c r="I39" s="561">
        <v>150</v>
      </c>
      <c r="J39" s="561">
        <f>I39*80%</f>
        <v>120</v>
      </c>
      <c r="K39" s="561">
        <f>I39*20%</f>
        <v>30</v>
      </c>
      <c r="L39" s="572">
        <f t="shared" si="4"/>
        <v>0.60882800608828003</v>
      </c>
      <c r="M39" s="558">
        <f t="shared" si="5"/>
        <v>0.15220700152207001</v>
      </c>
      <c r="N39" s="559"/>
    </row>
    <row r="40" spans="1:33">
      <c r="A40" s="573" t="s">
        <v>513</v>
      </c>
      <c r="B40" s="553" t="s">
        <v>102</v>
      </c>
      <c r="C40" s="554">
        <f t="shared" si="3"/>
        <v>394.20000000000005</v>
      </c>
      <c r="D40" s="554">
        <f>60/1</f>
        <v>60</v>
      </c>
      <c r="E40" s="574" t="s">
        <v>500</v>
      </c>
      <c r="F40" s="574" t="s">
        <v>238</v>
      </c>
      <c r="G40" s="574"/>
      <c r="H40" s="560" t="s">
        <v>383</v>
      </c>
      <c r="I40" s="561">
        <f>I30</f>
        <v>40</v>
      </c>
      <c r="J40" s="561">
        <f>J30</f>
        <v>40</v>
      </c>
      <c r="K40" s="561">
        <f>K30</f>
        <v>10</v>
      </c>
      <c r="L40" s="572">
        <f t="shared" si="4"/>
        <v>0.10147133434804667</v>
      </c>
      <c r="M40" s="558">
        <f t="shared" si="5"/>
        <v>2.5367833587011668E-2</v>
      </c>
      <c r="N40" s="559"/>
    </row>
    <row r="41" spans="1:33" ht="15.75" hidden="1" thickBot="1">
      <c r="A41" s="230" t="s">
        <v>108</v>
      </c>
      <c r="B41" s="231" t="s">
        <v>517</v>
      </c>
      <c r="C41" s="232">
        <f t="shared" ref="C41" si="6">D41*$B$3</f>
        <v>131.4</v>
      </c>
      <c r="D41" s="233">
        <f>60/3</f>
        <v>20</v>
      </c>
      <c r="E41" s="234" t="s">
        <v>518</v>
      </c>
      <c r="F41" s="234" t="s">
        <v>237</v>
      </c>
      <c r="G41" s="234"/>
      <c r="H41" s="235"/>
      <c r="I41" s="236">
        <v>0</v>
      </c>
      <c r="J41" s="236"/>
      <c r="K41" s="236"/>
      <c r="L41" s="572">
        <v>2</v>
      </c>
      <c r="M41" s="558">
        <f t="shared" si="5"/>
        <v>0</v>
      </c>
      <c r="N41" s="237"/>
    </row>
    <row r="42" spans="1:33">
      <c r="B42"/>
      <c r="C42" s="105"/>
      <c r="D42" s="105"/>
      <c r="E42"/>
      <c r="F42"/>
      <c r="G42"/>
      <c r="H42" s="2"/>
      <c r="I42" s="2"/>
      <c r="J42" s="2"/>
      <c r="K42" s="2"/>
      <c r="L42"/>
      <c r="M42"/>
      <c r="N42"/>
      <c r="O42"/>
      <c r="P42"/>
      <c r="Q42" s="1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>
      <c r="B43" s="592" t="s">
        <v>221</v>
      </c>
      <c r="C43" s="1"/>
      <c r="D43" s="109"/>
      <c r="E43"/>
      <c r="F43"/>
      <c r="G43"/>
      <c r="H43"/>
      <c r="I43"/>
      <c r="J43"/>
      <c r="K43"/>
      <c r="L43"/>
      <c r="M43"/>
      <c r="N43"/>
      <c r="O43"/>
      <c r="P43"/>
      <c r="Q43" s="1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>
      <c r="B44" s="593" t="s">
        <v>486</v>
      </c>
      <c r="C44" s="594" t="s">
        <v>519</v>
      </c>
      <c r="D44" s="594" t="s">
        <v>520</v>
      </c>
      <c r="E44" s="242"/>
      <c r="F44"/>
      <c r="G44"/>
      <c r="H44" s="106"/>
      <c r="I44" s="106"/>
      <c r="J44" s="106"/>
      <c r="K44" s="106"/>
      <c r="L44"/>
      <c r="M44"/>
      <c r="N44"/>
      <c r="O44"/>
      <c r="P44"/>
      <c r="Q44" s="1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>
      <c r="B45" s="555" t="s">
        <v>232</v>
      </c>
      <c r="C45" s="107">
        <f>ROUNDUP(SUMIF($F$7:$F$41,$B45,L$7:L$41),0)</f>
        <v>1</v>
      </c>
      <c r="D45" s="107">
        <f t="shared" ref="D45:D52" si="7">ROUNDUP(SUMIF($F$7:$F$41,$B45,M$7:M$41),0)</f>
        <v>0</v>
      </c>
      <c r="E45" s="242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>
      <c r="B46" s="108" t="s">
        <v>234</v>
      </c>
      <c r="C46" s="107">
        <f t="shared" ref="C46:C48" si="8">ROUNDUP(SUMIF($F$7:$F$41,$B46,L$7:L$41),0)</f>
        <v>0</v>
      </c>
      <c r="D46" s="107">
        <f t="shared" si="7"/>
        <v>1</v>
      </c>
      <c r="E46" s="242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>
      <c r="B47" s="555" t="s">
        <v>235</v>
      </c>
      <c r="C47" s="107">
        <f t="shared" si="8"/>
        <v>0</v>
      </c>
      <c r="D47" s="107">
        <f t="shared" si="7"/>
        <v>0</v>
      </c>
      <c r="E47" s="242"/>
      <c r="F47" s="109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>
      <c r="B48" s="555" t="s">
        <v>492</v>
      </c>
      <c r="C48" s="107">
        <f t="shared" si="8"/>
        <v>0</v>
      </c>
      <c r="D48" s="107">
        <f t="shared" si="7"/>
        <v>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2:33">
      <c r="B49" s="555" t="s">
        <v>236</v>
      </c>
      <c r="C49" s="107">
        <f>ROUND(SUMIF($F$7:$F$41,$B49,L$7:L$41),0)</f>
        <v>5</v>
      </c>
      <c r="D49" s="107">
        <f t="shared" si="7"/>
        <v>2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2:33">
      <c r="B50" s="555" t="s">
        <v>237</v>
      </c>
      <c r="C50" s="107">
        <f>ROUND(SUMIF($F$7:$F$41,$B50,L$7:L$41),0)</f>
        <v>2</v>
      </c>
      <c r="D50" s="107">
        <f t="shared" si="7"/>
        <v>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2:33">
      <c r="B51" s="555" t="s">
        <v>238</v>
      </c>
      <c r="C51" s="107">
        <f>ROUNDUP(SUMIF($F$7:$F$41,$B51,L$7:L$41),0)</f>
        <v>2</v>
      </c>
      <c r="D51" s="107">
        <f>ROUNDUP(SUMIF($F$7:$F$41,$B51,M$7:M$41),0)</f>
        <v>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2:33">
      <c r="B52" s="574" t="s">
        <v>240</v>
      </c>
      <c r="C52" s="107">
        <f>ROUND(SUMIF($F$7:$F$41,$B52,L$7:L$41),0)</f>
        <v>3</v>
      </c>
      <c r="D52" s="107">
        <f t="shared" si="7"/>
        <v>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2:33">
      <c r="B53" s="555" t="s">
        <v>241</v>
      </c>
      <c r="C53" s="107">
        <f>ROUND(SUMIF($F$7:$F$41,$B53,L$7:L$41),0)</f>
        <v>1</v>
      </c>
      <c r="D53" s="107">
        <f>ROUNDUP(SUMIF($F$7:$F$41,$B53,M$7:M$41),0)</f>
        <v>1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2:33">
      <c r="B54" s="555" t="s">
        <v>242</v>
      </c>
      <c r="C54" s="107">
        <f>ROUNDUP(SUMIF($F$7:$F$41,$B54,L$7:L$41),0)</f>
        <v>0</v>
      </c>
      <c r="D54" s="107">
        <f>ROUNDUP(SUMIF($F$7:$F$41,$B54,M$7:M$41),0)</f>
        <v>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2:33">
      <c r="B55" s="555" t="s">
        <v>243</v>
      </c>
      <c r="C55" s="107">
        <f>ROUND(SUMIF($F$7:$F$41,$B55,L$7:L$41),0)</f>
        <v>14</v>
      </c>
      <c r="D55" s="107">
        <f>ROUND(SUMIF($F$7:$F$41,$B55,M$7:M$41),0)</f>
        <v>2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2:33">
      <c r="B56" s="555" t="s">
        <v>521</v>
      </c>
      <c r="C56" s="107">
        <f>ROUNDUP(SUMIF($F$7:$F$41,$B56,L$7:L$41),0)</f>
        <v>0</v>
      </c>
      <c r="D56" s="107">
        <f>ROUNDUP(SUMIF($F$7:$F$41,$B56,M$7:M$41),0)</f>
        <v>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2:33">
      <c r="B57" s="555" t="s">
        <v>110</v>
      </c>
      <c r="C57" s="107">
        <f>ROUNDUP(SUMIF($F$7:$F$41,$B57,L$7:L$41),0)+5</f>
        <v>8</v>
      </c>
      <c r="D57" s="107">
        <f>ROUNDUP(SUMIF($F$7:$F$41,$B57,M$7:M$41),0)+1</f>
        <v>3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2:33">
      <c r="B58" s="110" t="s">
        <v>245</v>
      </c>
      <c r="C58" s="111">
        <f>(SUMIF($F$7:$F$41,$B58,L$7:L$41))</f>
        <v>2</v>
      </c>
      <c r="D58" s="111">
        <f>(SUMIF($F$7:$F$41,$B58,M$7:M$41))</f>
        <v>0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2:33">
      <c r="B59" s="595" t="s">
        <v>522</v>
      </c>
      <c r="C59" s="596">
        <f>SUM(C45:C58)</f>
        <v>38</v>
      </c>
      <c r="D59" s="596">
        <f>SUM(D45:D58)</f>
        <v>11</v>
      </c>
      <c r="F59"/>
      <c r="G59"/>
      <c r="H59"/>
      <c r="I59"/>
      <c r="J59"/>
      <c r="K59"/>
      <c r="L59"/>
      <c r="M59"/>
      <c r="N59"/>
      <c r="O59"/>
      <c r="P59"/>
      <c r="Q59" s="118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2:33">
      <c r="B60"/>
      <c r="E60"/>
      <c r="G60"/>
      <c r="H60"/>
      <c r="I60"/>
      <c r="J60"/>
      <c r="K60"/>
      <c r="L60" s="119"/>
      <c r="M60" s="119"/>
      <c r="N60"/>
      <c r="O60"/>
      <c r="P60" s="120"/>
      <c r="Q60" s="118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2:33">
      <c r="B61" s="112"/>
      <c r="C61" s="113"/>
      <c r="D61" s="113"/>
      <c r="E61"/>
      <c r="F61"/>
      <c r="G61"/>
      <c r="H61" s="114"/>
      <c r="I61" s="114"/>
      <c r="J61" s="114"/>
      <c r="K61" s="114"/>
      <c r="L61" s="120"/>
      <c r="M61" s="120"/>
      <c r="N61"/>
      <c r="O61"/>
      <c r="P61" s="120"/>
      <c r="Q61" s="118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2:33">
      <c r="C62" s="115"/>
      <c r="D62" s="115"/>
      <c r="E62"/>
      <c r="F62"/>
      <c r="G62"/>
      <c r="H62" s="2"/>
      <c r="I62" s="2"/>
      <c r="J62" s="2"/>
      <c r="K62" s="2"/>
      <c r="L62"/>
      <c r="M62"/>
      <c r="N62"/>
      <c r="O62"/>
      <c r="P62"/>
      <c r="Q62" s="1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2:33">
      <c r="B63"/>
      <c r="C63" s="116"/>
      <c r="D63" s="116"/>
      <c r="E63"/>
      <c r="F63"/>
      <c r="G63"/>
      <c r="H63" s="2"/>
      <c r="I63" s="2"/>
      <c r="J63" s="2"/>
      <c r="K63" s="2"/>
      <c r="L63"/>
      <c r="M63"/>
      <c r="N63"/>
      <c r="O63"/>
      <c r="P63"/>
      <c r="Q63" s="1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2:33">
      <c r="B64"/>
      <c r="C64" s="117"/>
      <c r="D64" s="117"/>
      <c r="E64"/>
      <c r="F64"/>
      <c r="G64" s="4"/>
      <c r="H64" s="2"/>
      <c r="I64" s="2"/>
      <c r="J64" s="2"/>
      <c r="K64" s="2"/>
      <c r="L64"/>
      <c r="M64"/>
      <c r="N64"/>
      <c r="O64"/>
      <c r="P64"/>
      <c r="Q64" s="1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2:33">
      <c r="B65" s="592" t="s">
        <v>523</v>
      </c>
      <c r="C65"/>
      <c r="D65"/>
      <c r="F65"/>
      <c r="G65"/>
      <c r="H65" s="2"/>
      <c r="I65" s="2"/>
      <c r="J65" s="2"/>
      <c r="K65" s="2"/>
      <c r="L65"/>
      <c r="M65"/>
      <c r="N65"/>
      <c r="O65"/>
      <c r="P65"/>
      <c r="Q65" s="1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2:33">
      <c r="B66" s="597" t="s">
        <v>524</v>
      </c>
      <c r="C66" s="598" t="str">
        <f>C44</f>
        <v>1st shift</v>
      </c>
      <c r="D66" s="598" t="str">
        <f>D44</f>
        <v>2nd shift</v>
      </c>
      <c r="F66"/>
      <c r="G66"/>
      <c r="H66" s="2"/>
      <c r="I66" s="2"/>
      <c r="J66" s="2"/>
      <c r="K66" s="2"/>
      <c r="L66"/>
      <c r="M66"/>
      <c r="N66"/>
      <c r="O66"/>
      <c r="P66"/>
      <c r="Q66" s="1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2:33">
      <c r="B67" s="599" t="s">
        <v>388</v>
      </c>
      <c r="C67" s="600">
        <f>ROUNDUP(SUMIF($H$7:$H$41,$B$67,$L$7:$L$41),0)</f>
        <v>7</v>
      </c>
      <c r="D67" s="600">
        <f>ROUNDUP(SUMIF($H$7:$H$41,B67,$M$7:$M$41),0)</f>
        <v>2</v>
      </c>
      <c r="E67"/>
      <c r="F67"/>
      <c r="G67"/>
      <c r="H67" s="2"/>
      <c r="I67" s="2"/>
      <c r="J67" s="2"/>
      <c r="K67" s="2"/>
      <c r="L67"/>
      <c r="M67"/>
      <c r="N67"/>
      <c r="O67"/>
      <c r="P67"/>
      <c r="Q67" s="1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2:33">
      <c r="B68" s="555" t="s">
        <v>384</v>
      </c>
      <c r="C68" s="600">
        <f>ROUNDUP(SUMIF($H$7:$H$41,$B68,L$7:L$41),0)</f>
        <v>1</v>
      </c>
      <c r="D68" s="600">
        <f t="shared" ref="D68:D83" si="9">ROUNDUP(SUMIF($H$7:$H$41,B68,$M$7:$M$41),0)</f>
        <v>1</v>
      </c>
      <c r="E68"/>
      <c r="F68"/>
      <c r="G68"/>
      <c r="H68" s="2"/>
      <c r="I68" s="2"/>
      <c r="J68" s="2"/>
      <c r="K68" s="2"/>
      <c r="L68"/>
      <c r="M68"/>
      <c r="N68"/>
      <c r="O68"/>
      <c r="P68"/>
      <c r="Q68" s="1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2:33">
      <c r="B69" s="555" t="s">
        <v>383</v>
      </c>
      <c r="C69" s="600">
        <f>ROUNDUP((SUMIF($H$7:$H$41,$B$69,$L$7:$L$41)),0)</f>
        <v>2</v>
      </c>
      <c r="D69" s="600">
        <f t="shared" si="9"/>
        <v>1</v>
      </c>
      <c r="E69"/>
      <c r="F69"/>
      <c r="G69"/>
      <c r="H69" s="2"/>
      <c r="I69" s="2"/>
      <c r="J69" s="2"/>
      <c r="K69" s="2"/>
      <c r="L69"/>
      <c r="M69"/>
      <c r="N69"/>
      <c r="O69"/>
      <c r="P69"/>
      <c r="Q69" s="1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2:33">
      <c r="B70" s="555" t="s">
        <v>525</v>
      </c>
      <c r="C70" s="600">
        <f>ROUNDUP(SUMIF($H$7:$H$41,$B$70,$L$7:$L$41),0)</f>
        <v>0</v>
      </c>
      <c r="D70" s="600">
        <f t="shared" si="9"/>
        <v>0</v>
      </c>
      <c r="E70"/>
      <c r="F70"/>
      <c r="G70"/>
      <c r="H70" s="2"/>
      <c r="I70" s="2"/>
      <c r="J70" s="2"/>
      <c r="K70" s="2"/>
      <c r="L70"/>
      <c r="M70"/>
      <c r="N70"/>
      <c r="O70"/>
      <c r="P70"/>
      <c r="Q70" s="1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2:33">
      <c r="B71" s="555" t="s">
        <v>526</v>
      </c>
      <c r="C71" s="600">
        <f>C69+2</f>
        <v>4</v>
      </c>
      <c r="D71" s="600">
        <f t="shared" si="9"/>
        <v>0</v>
      </c>
      <c r="E71"/>
      <c r="F71"/>
      <c r="G71"/>
      <c r="H71" s="2"/>
      <c r="I71" s="2"/>
      <c r="J71" s="2"/>
      <c r="K71" s="2"/>
      <c r="L71"/>
      <c r="M71"/>
      <c r="N71"/>
      <c r="O71"/>
      <c r="P71"/>
      <c r="Q71" s="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2:33">
      <c r="B72" s="555" t="s">
        <v>504</v>
      </c>
      <c r="C72" s="600">
        <f>ROUNDUP(SUMIF($G$7:$G$41,$B$72,$L$7:$L$41),0)</f>
        <v>3</v>
      </c>
      <c r="D72" s="600">
        <f t="shared" si="9"/>
        <v>0</v>
      </c>
      <c r="E72"/>
      <c r="F72"/>
      <c r="G72"/>
      <c r="H72" s="2"/>
      <c r="I72" s="2"/>
      <c r="J72" s="2"/>
      <c r="K72" s="2"/>
      <c r="L72"/>
      <c r="M72"/>
    </row>
    <row r="73" spans="2:33">
      <c r="B73" s="555" t="s">
        <v>527</v>
      </c>
      <c r="C73" s="600">
        <f>C69*0</f>
        <v>0</v>
      </c>
      <c r="D73" s="600">
        <f t="shared" si="9"/>
        <v>0</v>
      </c>
      <c r="E73"/>
      <c r="F73"/>
      <c r="G73"/>
      <c r="H73" s="2"/>
      <c r="I73" s="2"/>
      <c r="J73" s="2"/>
      <c r="K73" s="2"/>
      <c r="L73"/>
      <c r="M73"/>
    </row>
    <row r="74" spans="2:33">
      <c r="B74" s="555" t="s">
        <v>528</v>
      </c>
      <c r="C74" s="601">
        <v>0</v>
      </c>
      <c r="D74" s="600">
        <f t="shared" si="9"/>
        <v>0</v>
      </c>
      <c r="E74"/>
      <c r="F74"/>
      <c r="G74"/>
      <c r="H74" s="2"/>
      <c r="I74" s="2"/>
      <c r="J74" s="2"/>
      <c r="K74" s="2"/>
      <c r="L74"/>
      <c r="M74"/>
    </row>
    <row r="75" spans="2:33">
      <c r="B75" s="602" t="s">
        <v>510</v>
      </c>
      <c r="C75" s="600">
        <f>ROUND(SUMIF($G$7:$G$41,$B$75,$L$7:$L$41),0)</f>
        <v>3</v>
      </c>
      <c r="D75" s="600">
        <f>ROUNDUP(SUMIF($H$7:$H$41,B75,$M$7:$M$41),0)</f>
        <v>0</v>
      </c>
      <c r="E75"/>
      <c r="F75"/>
      <c r="G75"/>
      <c r="H75" s="2"/>
      <c r="I75" s="2"/>
      <c r="J75" s="2"/>
      <c r="K75" s="2"/>
      <c r="L75"/>
      <c r="M75"/>
    </row>
    <row r="76" spans="2:33">
      <c r="B76" s="574" t="s">
        <v>516</v>
      </c>
      <c r="C76" s="603">
        <f>ROUNDUP(SUMIF($G$7:$G$41,$B$76,$L$7:$L$41),0)</f>
        <v>1</v>
      </c>
      <c r="D76" s="600">
        <f t="shared" si="9"/>
        <v>0</v>
      </c>
      <c r="E76"/>
      <c r="F76"/>
      <c r="G76"/>
      <c r="H76" s="2"/>
      <c r="I76" s="2"/>
      <c r="J76" s="2"/>
      <c r="K76" s="2"/>
      <c r="L76"/>
      <c r="M76"/>
    </row>
    <row r="77" spans="2:33">
      <c r="B77" s="555" t="s">
        <v>507</v>
      </c>
      <c r="C77" s="600">
        <f>ROUNDUP(SUMIF($G$7:$G$41,$B$77,$L$7:$L$41),0)</f>
        <v>4</v>
      </c>
      <c r="D77" s="600">
        <f t="shared" si="9"/>
        <v>0</v>
      </c>
      <c r="E77"/>
      <c r="F77"/>
      <c r="G77"/>
      <c r="H77" s="2"/>
      <c r="I77" s="2"/>
      <c r="J77" s="2"/>
      <c r="K77" s="2"/>
      <c r="L77"/>
      <c r="M77"/>
    </row>
    <row r="78" spans="2:33">
      <c r="B78" s="602" t="s">
        <v>529</v>
      </c>
      <c r="C78" s="601">
        <v>0</v>
      </c>
      <c r="D78" s="600">
        <f t="shared" si="9"/>
        <v>0</v>
      </c>
      <c r="E78"/>
      <c r="F78"/>
      <c r="G78"/>
      <c r="H78" s="2"/>
      <c r="I78" s="2"/>
      <c r="J78" s="2"/>
      <c r="K78" s="2"/>
      <c r="L78"/>
      <c r="M78"/>
    </row>
    <row r="79" spans="2:33">
      <c r="B79" s="555" t="s">
        <v>530</v>
      </c>
      <c r="C79" s="604">
        <v>0</v>
      </c>
      <c r="D79" s="600">
        <f t="shared" si="9"/>
        <v>0</v>
      </c>
      <c r="E79"/>
      <c r="F79"/>
      <c r="G79"/>
      <c r="H79" s="2"/>
      <c r="I79" s="2"/>
      <c r="J79" s="2"/>
      <c r="K79" s="2"/>
      <c r="L79"/>
      <c r="M79"/>
    </row>
    <row r="80" spans="2:33">
      <c r="B80" s="555" t="s">
        <v>531</v>
      </c>
      <c r="C80" s="605">
        <v>0</v>
      </c>
      <c r="D80" s="600">
        <f t="shared" si="9"/>
        <v>0</v>
      </c>
      <c r="E80"/>
      <c r="F80"/>
      <c r="G80"/>
      <c r="H80" s="2"/>
      <c r="I80" s="2"/>
      <c r="J80" s="2"/>
      <c r="K80" s="2"/>
      <c r="L80"/>
      <c r="M80"/>
    </row>
    <row r="81" spans="1:17">
      <c r="B81" s="555" t="s">
        <v>532</v>
      </c>
      <c r="C81" s="605">
        <f>ROUNDUP(SUMIF($G$7:$G$41,$B81,L$7:L$41),0)</f>
        <v>0</v>
      </c>
      <c r="D81" s="600">
        <f t="shared" si="9"/>
        <v>0</v>
      </c>
      <c r="E81" s="112"/>
      <c r="F81"/>
      <c r="G81"/>
      <c r="H81" s="2"/>
      <c r="I81" s="2"/>
      <c r="J81" s="2"/>
      <c r="K81" s="2"/>
      <c r="L81"/>
      <c r="M81"/>
    </row>
    <row r="82" spans="1:17">
      <c r="B82" s="555" t="s">
        <v>533</v>
      </c>
      <c r="C82" s="605">
        <f>ROUNDUP(SUMIF($G$7:$G$41,$B82,L$7:L$41),0)</f>
        <v>0</v>
      </c>
      <c r="D82" s="600">
        <f t="shared" si="9"/>
        <v>0</v>
      </c>
      <c r="E82" s="7"/>
      <c r="F82"/>
      <c r="G82"/>
      <c r="H82" s="2"/>
      <c r="I82" s="2"/>
      <c r="J82" s="2"/>
      <c r="K82" s="2"/>
      <c r="L82"/>
      <c r="M82"/>
    </row>
    <row r="83" spans="1:17">
      <c r="A83" s="121"/>
      <c r="B83" s="555" t="s">
        <v>534</v>
      </c>
      <c r="C83" s="605">
        <f>ROUNDUP(SUMIF($G$7:$G$41,$B83,L$7:L$41),0)</f>
        <v>0</v>
      </c>
      <c r="D83" s="600">
        <f t="shared" si="9"/>
        <v>0</v>
      </c>
      <c r="E83"/>
      <c r="F83"/>
      <c r="G83"/>
      <c r="H83" s="2"/>
      <c r="I83" s="2"/>
      <c r="J83" s="2"/>
      <c r="K83" s="2"/>
      <c r="L83"/>
      <c r="M83"/>
    </row>
    <row r="84" spans="1:17">
      <c r="A84" s="121"/>
      <c r="C84" s="606"/>
      <c r="D84"/>
      <c r="E84"/>
      <c r="F84"/>
      <c r="G84"/>
      <c r="H84" s="2"/>
      <c r="I84" s="2"/>
      <c r="J84" s="2"/>
      <c r="K84" s="2"/>
      <c r="L84"/>
      <c r="M84"/>
    </row>
    <row r="85" spans="1:17">
      <c r="B85" s="112" t="s">
        <v>535</v>
      </c>
      <c r="C85" s="541" t="str">
        <f>C66</f>
        <v>1st shift</v>
      </c>
      <c r="D85"/>
      <c r="E85"/>
      <c r="F85"/>
      <c r="G85"/>
      <c r="H85" s="2"/>
      <c r="I85" s="2"/>
      <c r="J85" s="2"/>
      <c r="K85" s="2"/>
      <c r="L85"/>
      <c r="M85"/>
    </row>
    <row r="86" spans="1:17" customFormat="1">
      <c r="A86" s="99"/>
      <c r="B86" s="555" t="s">
        <v>536</v>
      </c>
      <c r="C86" s="607">
        <f>ROUNDUP((C45+C46+C47+C48+C51+C50),0)</f>
        <v>5</v>
      </c>
      <c r="E86" s="9"/>
      <c r="H86" s="2"/>
      <c r="I86" s="2"/>
      <c r="J86" s="2"/>
      <c r="K86" s="2"/>
      <c r="Q86" s="1"/>
    </row>
    <row r="87" spans="1:17">
      <c r="B87" s="555" t="s">
        <v>537</v>
      </c>
      <c r="C87" s="608">
        <v>50</v>
      </c>
      <c r="D87"/>
      <c r="E87"/>
      <c r="F87"/>
      <c r="G87"/>
      <c r="H87" s="2"/>
      <c r="I87" s="2"/>
      <c r="J87" s="2"/>
      <c r="K87" s="2"/>
      <c r="L87"/>
      <c r="M87"/>
    </row>
    <row r="88" spans="1:17">
      <c r="B88" s="555" t="s">
        <v>538</v>
      </c>
      <c r="C88" s="608">
        <f>C86*C87</f>
        <v>250</v>
      </c>
      <c r="D88"/>
      <c r="E88"/>
      <c r="F88"/>
      <c r="G88"/>
      <c r="H88" s="2"/>
      <c r="I88" s="2"/>
      <c r="J88" s="2"/>
      <c r="K88" s="2"/>
      <c r="L88"/>
      <c r="M88"/>
    </row>
    <row r="89" spans="1:17">
      <c r="B89" s="555" t="s">
        <v>539</v>
      </c>
      <c r="C89" s="608">
        <v>100</v>
      </c>
      <c r="D89"/>
      <c r="E89"/>
      <c r="F89"/>
      <c r="G89"/>
      <c r="H89" s="2"/>
      <c r="I89" s="2"/>
      <c r="J89" s="2"/>
      <c r="K89" s="2"/>
      <c r="L89"/>
      <c r="M89"/>
    </row>
    <row r="90" spans="1:17">
      <c r="B90" s="555" t="s">
        <v>540</v>
      </c>
      <c r="C90" s="608">
        <v>100</v>
      </c>
      <c r="D90"/>
      <c r="E90"/>
      <c r="F90"/>
      <c r="G90"/>
      <c r="H90" s="2"/>
      <c r="I90" s="2"/>
      <c r="J90" s="2"/>
      <c r="K90" s="2"/>
      <c r="L90"/>
      <c r="M90"/>
    </row>
    <row r="91" spans="1:17">
      <c r="B91" s="555" t="s">
        <v>541</v>
      </c>
      <c r="C91" s="608">
        <v>100</v>
      </c>
      <c r="D91"/>
      <c r="E91"/>
      <c r="F91"/>
      <c r="G91"/>
      <c r="H91" s="2"/>
      <c r="I91" s="2"/>
      <c r="J91" s="2"/>
      <c r="K91" s="2"/>
      <c r="L91"/>
      <c r="M91"/>
    </row>
    <row r="92" spans="1:17">
      <c r="B92" s="574" t="s">
        <v>542</v>
      </c>
      <c r="C92" s="608">
        <f>(C76+C77+C75)*100</f>
        <v>800</v>
      </c>
      <c r="D92"/>
      <c r="E92"/>
      <c r="F92"/>
      <c r="G92"/>
      <c r="H92" s="2"/>
      <c r="I92" s="2"/>
      <c r="J92" s="2"/>
      <c r="K92" s="2"/>
      <c r="L92"/>
      <c r="M92"/>
    </row>
    <row r="93" spans="1:17" customFormat="1">
      <c r="A93" s="99"/>
      <c r="B93" s="555" t="s">
        <v>543</v>
      </c>
      <c r="C93" s="609">
        <f>ROUNDUP((SUM(C88:C91)),-2)</f>
        <v>600</v>
      </c>
      <c r="H93" s="2"/>
      <c r="I93" s="2"/>
      <c r="J93" s="2"/>
      <c r="K93" s="2"/>
      <c r="Q93" s="1"/>
    </row>
    <row r="94" spans="1:17">
      <c r="C94"/>
      <c r="D94"/>
      <c r="E94"/>
      <c r="F94"/>
      <c r="G94"/>
      <c r="H94" s="2"/>
      <c r="I94" s="2"/>
      <c r="J94" s="2"/>
      <c r="K94" s="2"/>
      <c r="L94"/>
      <c r="M94"/>
    </row>
    <row r="95" spans="1:17">
      <c r="C95"/>
      <c r="D95"/>
      <c r="E95"/>
      <c r="F95"/>
      <c r="G95"/>
      <c r="H95" s="2"/>
      <c r="I95" s="2"/>
      <c r="J95" s="2"/>
      <c r="K95" s="2"/>
      <c r="L95"/>
      <c r="M95"/>
    </row>
    <row r="96" spans="1:17">
      <c r="C96"/>
      <c r="D96"/>
      <c r="E96"/>
      <c r="F96"/>
      <c r="G96"/>
      <c r="H96" s="2"/>
      <c r="I96" s="2"/>
      <c r="J96" s="2"/>
      <c r="K96" s="2"/>
      <c r="L96"/>
      <c r="M96"/>
    </row>
    <row r="97" spans="1:17">
      <c r="D97"/>
      <c r="E97"/>
      <c r="F97"/>
      <c r="G97"/>
      <c r="H97" s="2"/>
      <c r="I97" s="2"/>
      <c r="J97" s="2"/>
      <c r="K97" s="2"/>
      <c r="L97"/>
      <c r="M97"/>
    </row>
    <row r="98" spans="1:17">
      <c r="D98"/>
      <c r="E98"/>
      <c r="F98"/>
      <c r="G98"/>
      <c r="H98" s="2"/>
      <c r="I98" s="2"/>
      <c r="J98" s="2"/>
      <c r="K98" s="2"/>
      <c r="L98"/>
      <c r="M98"/>
    </row>
    <row r="99" spans="1:17" customFormat="1">
      <c r="A99" s="99"/>
      <c r="H99" s="2"/>
      <c r="I99" s="2"/>
      <c r="J99" s="2"/>
      <c r="K99" s="2"/>
      <c r="Q99" s="1"/>
    </row>
    <row r="100" spans="1:17" customFormat="1">
      <c r="A100" s="99"/>
      <c r="H100" s="2"/>
      <c r="I100" s="2"/>
      <c r="J100" s="2"/>
      <c r="K100" s="2"/>
      <c r="Q100" s="1"/>
    </row>
    <row r="101" spans="1:17" customFormat="1">
      <c r="A101" s="99"/>
      <c r="H101" s="2"/>
      <c r="I101" s="2"/>
      <c r="J101" s="2"/>
      <c r="K101" s="2"/>
      <c r="Q101" s="1"/>
    </row>
    <row r="102" spans="1:17" customFormat="1">
      <c r="A102" s="99"/>
      <c r="H102" s="2"/>
      <c r="I102" s="2"/>
      <c r="J102" s="2"/>
      <c r="K102" s="2"/>
      <c r="Q102" s="1"/>
    </row>
    <row r="103" spans="1:17" customFormat="1">
      <c r="A103" s="99"/>
      <c r="H103" s="2"/>
      <c r="I103" s="2"/>
      <c r="J103" s="2"/>
      <c r="K103" s="2"/>
      <c r="Q103" s="1"/>
    </row>
    <row r="104" spans="1:17" customFormat="1">
      <c r="A104" s="99"/>
      <c r="B104" s="99"/>
      <c r="C104" s="99"/>
      <c r="E104" s="99"/>
      <c r="H104" s="2"/>
      <c r="I104" s="2"/>
      <c r="J104" s="2"/>
      <c r="K104" s="2"/>
      <c r="Q104" s="1"/>
    </row>
    <row r="105" spans="1:17">
      <c r="D105"/>
    </row>
    <row r="106" spans="1:17">
      <c r="D106"/>
    </row>
    <row r="107" spans="1:17">
      <c r="D107"/>
    </row>
    <row r="108" spans="1:17">
      <c r="O108" s="122"/>
    </row>
    <row r="109" spans="1:17">
      <c r="P109" s="123" t="e">
        <f>L59-#REF!</f>
        <v>#REF!</v>
      </c>
    </row>
    <row r="110" spans="1:17">
      <c r="P110" s="124" t="e">
        <f>P109/L59</f>
        <v>#REF!</v>
      </c>
    </row>
  </sheetData>
  <autoFilter ref="A6:N41" xr:uid="{00000000-0001-0000-0900-000000000000}">
    <filterColumn colId="5">
      <filters>
        <filter val="DEO"/>
      </filters>
    </filterColumn>
  </autoFilter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A938-8614-430E-8459-D631F5D49DE7}">
  <sheetPr filterMode="1"/>
  <dimension ref="A1:CC183"/>
  <sheetViews>
    <sheetView zoomScale="111" workbookViewId="0">
      <pane xSplit="3" ySplit="9" topLeftCell="D50" activePane="bottomRight" state="frozen"/>
      <selection pane="bottomRight" activeCell="I47" sqref="I47"/>
      <selection pane="bottomLeft" activeCell="D18" sqref="D18"/>
      <selection pane="topRight" activeCell="D18" sqref="D18"/>
    </sheetView>
  </sheetViews>
  <sheetFormatPr defaultColWidth="9.125" defaultRowHeight="12.75"/>
  <cols>
    <col min="1" max="1" width="17" style="28" customWidth="1"/>
    <col min="2" max="2" width="12" style="28" bestFit="1" customWidth="1"/>
    <col min="3" max="3" width="58" style="29" customWidth="1"/>
    <col min="4" max="4" width="10.125" style="29" bestFit="1" customWidth="1"/>
    <col min="5" max="5" width="11.375" style="28" bestFit="1" customWidth="1"/>
    <col min="6" max="6" width="12.375" style="28" bestFit="1" customWidth="1"/>
    <col min="7" max="7" width="19" style="28" bestFit="1" customWidth="1"/>
    <col min="8" max="8" width="11.625" style="28" bestFit="1" customWidth="1"/>
    <col min="9" max="10" width="11.625" style="28" customWidth="1"/>
    <col min="11" max="11" width="12.375" style="28" bestFit="1" customWidth="1"/>
    <col min="12" max="12" width="16.625" style="28" customWidth="1"/>
    <col min="13" max="13" width="13.875" style="28" bestFit="1" customWidth="1"/>
    <col min="14" max="14" width="20.375" style="28" bestFit="1" customWidth="1"/>
    <col min="15" max="15" width="17.75" style="28" bestFit="1" customWidth="1"/>
    <col min="16" max="16" width="13.875" style="28" bestFit="1" customWidth="1"/>
    <col min="17" max="17" width="11.75" style="28" bestFit="1" customWidth="1"/>
    <col min="18" max="19" width="10" style="28" bestFit="1" customWidth="1"/>
    <col min="20" max="20" width="12.125" style="28" bestFit="1" customWidth="1"/>
    <col min="21" max="21" width="10" style="28" bestFit="1" customWidth="1"/>
    <col min="22" max="22" width="11.75" style="28" bestFit="1" customWidth="1"/>
    <col min="23" max="23" width="34.375" style="28" bestFit="1" customWidth="1"/>
    <col min="24" max="26" width="4.75" style="28" bestFit="1" customWidth="1"/>
    <col min="27" max="27" width="12.125" style="28" bestFit="1" customWidth="1"/>
    <col min="28" max="28" width="11.125" style="28" bestFit="1" customWidth="1"/>
    <col min="29" max="29" width="11.25" style="28" bestFit="1" customWidth="1"/>
    <col min="30" max="30" width="10" style="28" bestFit="1" customWidth="1"/>
    <col min="31" max="31" width="5.75" style="30" bestFit="1" customWidth="1"/>
    <col min="32" max="32" width="11.125" style="28" bestFit="1" customWidth="1"/>
    <col min="33" max="33" width="9.625" style="28" bestFit="1" customWidth="1"/>
    <col min="34" max="34" width="23.25" style="28" bestFit="1" customWidth="1"/>
    <col min="35" max="35" width="11.125" style="28" bestFit="1" customWidth="1"/>
    <col min="36" max="36" width="12.125" style="28" bestFit="1" customWidth="1"/>
    <col min="37" max="37" width="10" style="28" bestFit="1" customWidth="1"/>
    <col min="38" max="38" width="5.75" style="28" bestFit="1" customWidth="1"/>
    <col min="39" max="39" width="11.125" style="28" bestFit="1" customWidth="1"/>
    <col min="40" max="40" width="9.625" style="28" bestFit="1" customWidth="1"/>
    <col min="41" max="41" width="22.25" style="28" bestFit="1" customWidth="1"/>
    <col min="42" max="42" width="11.125" style="28" bestFit="1" customWidth="1"/>
    <col min="43" max="43" width="11.25" style="28" bestFit="1" customWidth="1"/>
    <col min="44" max="44" width="10" style="28" bestFit="1" customWidth="1"/>
    <col min="45" max="45" width="5.75" style="28" bestFit="1" customWidth="1"/>
    <col min="46" max="46" width="11.125" style="28" bestFit="1" customWidth="1"/>
    <col min="47" max="47" width="9.625" style="28" bestFit="1" customWidth="1"/>
    <col min="48" max="48" width="22.25" style="28" bestFit="1" customWidth="1"/>
    <col min="49" max="49" width="11.125" style="28" bestFit="1" customWidth="1"/>
    <col min="50" max="50" width="12.125" style="28" bestFit="1" customWidth="1"/>
    <col min="51" max="51" width="10" style="28" bestFit="1" customWidth="1"/>
    <col min="52" max="52" width="5.75" style="28" bestFit="1" customWidth="1"/>
    <col min="53" max="53" width="11.125" style="28" bestFit="1" customWidth="1"/>
    <col min="54" max="54" width="9.625" style="28" bestFit="1" customWidth="1"/>
    <col min="55" max="55" width="22.25" style="28" bestFit="1" customWidth="1"/>
    <col min="56" max="56" width="11.125" style="28" bestFit="1" customWidth="1"/>
    <col min="57" max="57" width="12.125" style="28" bestFit="1" customWidth="1"/>
    <col min="58" max="58" width="10" style="28" bestFit="1" customWidth="1"/>
    <col min="59" max="59" width="5.75" style="28" bestFit="1" customWidth="1"/>
    <col min="60" max="60" width="11.125" style="28" bestFit="1" customWidth="1"/>
    <col min="61" max="61" width="9.625" style="28" bestFit="1" customWidth="1"/>
    <col min="62" max="62" width="13.125" style="28" bestFit="1" customWidth="1"/>
    <col min="63" max="63" width="15.75" style="28" bestFit="1" customWidth="1"/>
    <col min="64" max="64" width="11.625" style="28" bestFit="1" customWidth="1"/>
    <col min="65" max="65" width="18.875" style="28" bestFit="1" customWidth="1"/>
    <col min="66" max="66" width="16" style="28" bestFit="1" customWidth="1"/>
    <col min="67" max="67" width="11.375" style="28" bestFit="1" customWidth="1"/>
    <col min="68" max="68" width="12" style="28" bestFit="1" customWidth="1"/>
    <col min="69" max="69" width="22.75" style="28" bestFit="1" customWidth="1"/>
    <col min="70" max="70" width="10.375" style="28" bestFit="1" customWidth="1"/>
    <col min="71" max="71" width="15.375" style="28" bestFit="1" customWidth="1"/>
    <col min="72" max="72" width="15" style="28" bestFit="1" customWidth="1"/>
    <col min="73" max="73" width="18.125" style="28" bestFit="1" customWidth="1"/>
    <col min="74" max="74" width="10.375" style="28" bestFit="1" customWidth="1"/>
    <col min="75" max="75" width="9.875" style="28" customWidth="1"/>
    <col min="76" max="78" width="7.875" style="28" customWidth="1"/>
    <col min="79" max="79" width="11.625" style="28" customWidth="1"/>
    <col min="80" max="16384" width="9.125" style="28"/>
  </cols>
  <sheetData>
    <row r="1" spans="1:81" ht="13.5" thickBot="1">
      <c r="A1" s="315" t="s">
        <v>112</v>
      </c>
      <c r="B1" s="380"/>
      <c r="G1" s="381" t="s">
        <v>225</v>
      </c>
      <c r="H1" s="381" t="s">
        <v>296</v>
      </c>
      <c r="I1" s="381" t="s">
        <v>297</v>
      </c>
      <c r="J1" s="381" t="s">
        <v>298</v>
      </c>
      <c r="K1" s="381" t="s">
        <v>299</v>
      </c>
      <c r="L1" s="31" t="str">
        <f>A1&amp;A3</f>
        <v>FaridabadCapex</v>
      </c>
      <c r="V1" s="33"/>
      <c r="W1" s="33"/>
    </row>
    <row r="2" spans="1:81">
      <c r="A2" s="315"/>
      <c r="B2" s="380"/>
      <c r="C2" s="382" t="s">
        <v>300</v>
      </c>
      <c r="D2" s="382"/>
      <c r="E2" s="383"/>
      <c r="F2" s="383"/>
      <c r="G2" s="384">
        <f>AB5</f>
        <v>1094526.720636247</v>
      </c>
      <c r="H2" s="384">
        <f>AI5</f>
        <v>1024673.6766060735</v>
      </c>
      <c r="I2" s="384">
        <f>AP5</f>
        <v>954820.63257590006</v>
      </c>
      <c r="J2" s="384">
        <f>AW5</f>
        <v>891889.92474831745</v>
      </c>
      <c r="K2" s="384">
        <f>BD5</f>
        <v>821928.11840792384</v>
      </c>
      <c r="L2" s="32" t="str">
        <f>$A$1&amp;G1</f>
        <v>FaridabadY1</v>
      </c>
      <c r="M2" s="32" t="str">
        <f>$A$1&amp;H1</f>
        <v>FaridabadY2</v>
      </c>
      <c r="N2" s="32" t="str">
        <f>$A$1&amp;I1</f>
        <v>FaridabadY3</v>
      </c>
      <c r="O2" s="32" t="str">
        <f>$A$1&amp;J1</f>
        <v>FaridabadY4</v>
      </c>
      <c r="P2" s="32" t="str">
        <f>$A$1&amp;K1</f>
        <v>FaridabadY5</v>
      </c>
      <c r="Q2" s="32"/>
      <c r="R2" s="32"/>
      <c r="S2" s="32"/>
      <c r="T2" s="32"/>
      <c r="U2" s="32"/>
      <c r="V2" s="34"/>
      <c r="W2" s="32"/>
      <c r="X2" s="32"/>
      <c r="Y2" s="32"/>
      <c r="Z2" s="32"/>
      <c r="AA2" s="380"/>
      <c r="AB2" s="385" t="s">
        <v>230</v>
      </c>
      <c r="AC2" s="386"/>
      <c r="AD2" s="386"/>
      <c r="AE2" s="386"/>
      <c r="AF2" s="386"/>
      <c r="AG2" s="386"/>
      <c r="AH2" s="387"/>
      <c r="AI2" s="388" t="s">
        <v>301</v>
      </c>
      <c r="AJ2" s="389"/>
      <c r="AK2" s="389"/>
      <c r="AL2" s="389"/>
      <c r="AM2" s="389"/>
      <c r="AN2" s="389"/>
      <c r="AO2" s="389"/>
      <c r="AP2" s="389" t="s">
        <v>302</v>
      </c>
      <c r="AQ2" s="389"/>
      <c r="AR2" s="389"/>
      <c r="AS2" s="389"/>
      <c r="AT2" s="389"/>
      <c r="AU2" s="389"/>
      <c r="AV2" s="389"/>
      <c r="AW2" s="389" t="s">
        <v>303</v>
      </c>
      <c r="AX2" s="389"/>
      <c r="AY2" s="389"/>
      <c r="AZ2" s="389"/>
      <c r="BA2" s="389"/>
      <c r="BB2" s="389"/>
      <c r="BC2" s="389"/>
      <c r="BD2" s="389" t="s">
        <v>304</v>
      </c>
      <c r="BE2" s="389"/>
      <c r="BF2" s="389"/>
      <c r="BG2" s="389"/>
      <c r="BH2" s="389"/>
      <c r="BI2" s="389"/>
      <c r="BJ2" s="389"/>
      <c r="BK2" s="380"/>
      <c r="BL2" s="380"/>
      <c r="BM2" s="380"/>
      <c r="BN2" s="380"/>
      <c r="BO2" s="380"/>
      <c r="BP2" s="380"/>
      <c r="BQ2" s="380"/>
      <c r="BR2" s="380"/>
      <c r="BS2" s="380"/>
      <c r="BT2" s="380"/>
      <c r="BU2" s="32"/>
      <c r="BV2" s="32"/>
      <c r="BW2" s="32"/>
      <c r="BX2" s="32"/>
      <c r="BY2" s="32"/>
      <c r="BZ2" s="32"/>
      <c r="CA2" s="32"/>
      <c r="CB2" s="32"/>
      <c r="CC2" s="32"/>
    </row>
    <row r="3" spans="1:81" ht="13.5" thickBot="1">
      <c r="A3" s="316" t="s">
        <v>305</v>
      </c>
      <c r="B3" s="380"/>
      <c r="C3" s="382" t="s">
        <v>306</v>
      </c>
      <c r="D3" s="382"/>
      <c r="E3" s="383"/>
      <c r="F3" s="383"/>
      <c r="G3" s="384">
        <f>AC5</f>
        <v>748833.33333333337</v>
      </c>
      <c r="H3" s="384">
        <f>AJ5</f>
        <v>748833.33333333337</v>
      </c>
      <c r="I3" s="384">
        <f>AQ5</f>
        <v>748833.33333333337</v>
      </c>
      <c r="J3" s="384">
        <f>AX5</f>
        <v>750071.6333333333</v>
      </c>
      <c r="K3" s="384">
        <f>BE5</f>
        <v>750071.6333333333</v>
      </c>
      <c r="L3" s="390">
        <f>L8</f>
        <v>73250</v>
      </c>
      <c r="M3" s="390">
        <f>M8-L3</f>
        <v>0</v>
      </c>
      <c r="N3" s="390">
        <f>N8-M3-L3</f>
        <v>0</v>
      </c>
      <c r="O3" s="390">
        <f>O8-N3-M3-L3</f>
        <v>0</v>
      </c>
      <c r="P3" s="390">
        <f>P8-O3-N3-M3-L3</f>
        <v>0</v>
      </c>
      <c r="Q3" s="391" t="s">
        <v>307</v>
      </c>
      <c r="R3" s="392">
        <v>0.03</v>
      </c>
      <c r="S3" s="392">
        <f>R3</f>
        <v>0.03</v>
      </c>
      <c r="T3" s="392">
        <f>S3</f>
        <v>0.03</v>
      </c>
      <c r="U3" s="392">
        <f>T3</f>
        <v>0.03</v>
      </c>
      <c r="V3" s="393">
        <f>SUM(V5:Z5)</f>
        <v>3703500</v>
      </c>
      <c r="W3" s="391"/>
      <c r="X3" s="391"/>
      <c r="Y3" s="391"/>
      <c r="Z3" s="391"/>
      <c r="AA3" s="391"/>
      <c r="AB3" s="394">
        <v>0.1</v>
      </c>
      <c r="AC3" s="395"/>
      <c r="AD3" s="396">
        <v>6</v>
      </c>
      <c r="AE3" s="35"/>
      <c r="AF3" s="391"/>
      <c r="AG3" s="397">
        <v>2.5000000000000001E-3</v>
      </c>
      <c r="AH3" s="398"/>
      <c r="AI3" s="399">
        <f>AB3</f>
        <v>0.1</v>
      </c>
      <c r="AJ3" s="391"/>
      <c r="AK3" s="400">
        <f>AD3</f>
        <v>6</v>
      </c>
      <c r="AL3" s="397">
        <v>7.4999999999999997E-3</v>
      </c>
      <c r="AM3" s="391"/>
      <c r="AN3" s="399">
        <f>AG3*1.02</f>
        <v>2.5500000000000002E-3</v>
      </c>
      <c r="AO3" s="401"/>
      <c r="AP3" s="402">
        <f>AI3</f>
        <v>0.1</v>
      </c>
      <c r="AQ3" s="391"/>
      <c r="AR3" s="400">
        <f>AK3</f>
        <v>6</v>
      </c>
      <c r="AS3" s="397">
        <f>$AL$3</f>
        <v>7.4999999999999997E-3</v>
      </c>
      <c r="AT3" s="391"/>
      <c r="AU3" s="399">
        <f>AN3*1.02</f>
        <v>2.6010000000000004E-3</v>
      </c>
      <c r="AV3" s="401"/>
      <c r="AW3" s="402">
        <f>AP3</f>
        <v>0.1</v>
      </c>
      <c r="AX3" s="391"/>
      <c r="AY3" s="400">
        <f>AR3</f>
        <v>6</v>
      </c>
      <c r="AZ3" s="397">
        <f>$AL$3</f>
        <v>7.4999999999999997E-3</v>
      </c>
      <c r="BA3" s="391"/>
      <c r="BB3" s="399">
        <f>AU3*1.02</f>
        <v>2.6530200000000003E-3</v>
      </c>
      <c r="BC3" s="401"/>
      <c r="BD3" s="402">
        <f>AW3</f>
        <v>0.1</v>
      </c>
      <c r="BE3" s="391"/>
      <c r="BF3" s="400">
        <f>AY3</f>
        <v>6</v>
      </c>
      <c r="BG3" s="397">
        <f>$AL$3</f>
        <v>7.4999999999999997E-3</v>
      </c>
      <c r="BH3" s="391"/>
      <c r="BI3" s="399">
        <f>BB3*1.02</f>
        <v>2.7060804000000002E-3</v>
      </c>
      <c r="BJ3" s="401"/>
      <c r="BK3" s="391"/>
      <c r="BL3" s="391"/>
      <c r="BM3" s="391"/>
      <c r="BN3" s="391"/>
      <c r="BO3" s="391"/>
      <c r="BP3" s="391"/>
      <c r="BQ3" s="391"/>
      <c r="BR3" s="391"/>
      <c r="BS3" s="391"/>
      <c r="BT3" s="391"/>
      <c r="BU3" s="35"/>
      <c r="BV3" s="35"/>
      <c r="BW3" s="35"/>
      <c r="BX3" s="35"/>
      <c r="BY3" s="35"/>
      <c r="BZ3" s="35"/>
      <c r="CA3" s="35"/>
      <c r="CB3" s="35"/>
      <c r="CC3" s="35"/>
    </row>
    <row r="4" spans="1:81" ht="13.5" thickBot="1">
      <c r="A4" s="316"/>
      <c r="B4" s="380"/>
      <c r="C4" s="382" t="s">
        <v>308</v>
      </c>
      <c r="D4" s="382"/>
      <c r="E4" s="383"/>
      <c r="F4" s="383"/>
      <c r="G4" s="384">
        <f>AD5</f>
        <v>345693.38730291364</v>
      </c>
      <c r="H4" s="384">
        <f>AK5</f>
        <v>275840.3432727402</v>
      </c>
      <c r="I4" s="384">
        <f>AR5</f>
        <v>205987.29924256681</v>
      </c>
      <c r="J4" s="384">
        <f>AY5</f>
        <v>141818.29141498415</v>
      </c>
      <c r="K4" s="384">
        <f>BF5</f>
        <v>71856.485074590542</v>
      </c>
      <c r="L4" s="403" t="s">
        <v>309</v>
      </c>
      <c r="M4" s="403"/>
      <c r="N4" s="403"/>
      <c r="O4" s="403"/>
      <c r="P4" s="403"/>
      <c r="Q4" s="404" t="s">
        <v>310</v>
      </c>
      <c r="R4" s="404"/>
      <c r="S4" s="404"/>
      <c r="T4" s="404"/>
      <c r="U4" s="405"/>
      <c r="V4" s="406" t="s">
        <v>311</v>
      </c>
      <c r="W4" s="407"/>
      <c r="X4" s="407"/>
      <c r="Y4" s="407"/>
      <c r="Z4" s="408"/>
      <c r="AA4" s="409">
        <v>1</v>
      </c>
      <c r="AB4" s="410">
        <v>1</v>
      </c>
      <c r="AC4" s="411"/>
      <c r="AD4" s="411"/>
      <c r="AE4" s="411"/>
      <c r="AF4" s="411"/>
      <c r="AG4" s="411"/>
      <c r="AH4" s="412"/>
      <c r="AI4" s="413"/>
      <c r="AJ4" s="413"/>
      <c r="AK4" s="413"/>
      <c r="AL4" s="413"/>
      <c r="AM4" s="413"/>
      <c r="AN4" s="413"/>
      <c r="AO4" s="414"/>
      <c r="AP4" s="415"/>
      <c r="AQ4" s="413"/>
      <c r="AR4" s="413"/>
      <c r="AS4" s="413"/>
      <c r="AT4" s="413"/>
      <c r="AU4" s="413"/>
      <c r="AV4" s="414"/>
      <c r="AW4" s="415"/>
      <c r="AX4" s="413"/>
      <c r="AY4" s="413"/>
      <c r="AZ4" s="413"/>
      <c r="BA4" s="413"/>
      <c r="BB4" s="413"/>
      <c r="BC4" s="414"/>
      <c r="BD4" s="415"/>
      <c r="BE4" s="413"/>
      <c r="BF4" s="413"/>
      <c r="BG4" s="413"/>
      <c r="BH4" s="413"/>
      <c r="BI4" s="413"/>
      <c r="BJ4" s="414"/>
      <c r="BK4" s="314" t="s">
        <v>312</v>
      </c>
      <c r="BL4" s="314"/>
      <c r="BM4" s="314"/>
      <c r="BN4" s="314"/>
      <c r="BO4" s="314"/>
      <c r="BP4" s="314"/>
      <c r="BQ4" s="314"/>
      <c r="BR4" s="314"/>
      <c r="BS4" s="314"/>
      <c r="BT4" s="314"/>
      <c r="BU4" s="32"/>
      <c r="BV4" s="32"/>
      <c r="BW4" s="32"/>
      <c r="BX4" s="32"/>
      <c r="BY4" s="32"/>
      <c r="BZ4" s="32"/>
      <c r="CA4" s="32"/>
      <c r="CB4" s="32"/>
      <c r="CC4" s="32"/>
    </row>
    <row r="5" spans="1:81">
      <c r="A5" s="380"/>
      <c r="B5" s="380"/>
      <c r="C5" s="382" t="s">
        <v>313</v>
      </c>
      <c r="D5" s="382"/>
      <c r="E5" s="383"/>
      <c r="F5" s="383"/>
      <c r="G5" s="384">
        <f>AF5</f>
        <v>124355</v>
      </c>
      <c r="H5" s="384">
        <f>AM5</f>
        <v>152131.25</v>
      </c>
      <c r="I5" s="384">
        <f>AT5</f>
        <v>179907.5</v>
      </c>
      <c r="J5" s="384">
        <f>BA5</f>
        <v>207683.75</v>
      </c>
      <c r="K5" s="384">
        <f>BH5</f>
        <v>235460</v>
      </c>
      <c r="L5" s="416">
        <f>SUBTOTAL(9,L10:L92)</f>
        <v>2198</v>
      </c>
      <c r="M5" s="416">
        <f>SUBTOTAL(9,M10:M92)</f>
        <v>0</v>
      </c>
      <c r="N5" s="416">
        <f>SUBTOTAL(9,N10:N92)</f>
        <v>0</v>
      </c>
      <c r="O5" s="417">
        <f>SUBTOTAL(9,O10:O92)</f>
        <v>0</v>
      </c>
      <c r="P5" s="417">
        <f>SUBTOTAL(9,P10:P92)</f>
        <v>0</v>
      </c>
      <c r="Q5" s="380"/>
      <c r="R5" s="380"/>
      <c r="S5" s="380"/>
      <c r="T5" s="380"/>
      <c r="U5" s="380"/>
      <c r="V5" s="418">
        <f t="shared" ref="V5:AD5" si="0">SUBTOTAL(9,V10:V92)</f>
        <v>3703500</v>
      </c>
      <c r="W5" s="418">
        <f t="shared" si="0"/>
        <v>0</v>
      </c>
      <c r="X5" s="418">
        <f t="shared" si="0"/>
        <v>0</v>
      </c>
      <c r="Y5" s="418">
        <f t="shared" si="0"/>
        <v>0</v>
      </c>
      <c r="Z5" s="418">
        <f t="shared" si="0"/>
        <v>0</v>
      </c>
      <c r="AA5" s="419">
        <f t="shared" si="0"/>
        <v>3703500</v>
      </c>
      <c r="AB5" s="420">
        <f>SUBTOTAL(9,AB10:AB92)</f>
        <v>1094526.720636247</v>
      </c>
      <c r="AC5" s="421">
        <f t="shared" si="0"/>
        <v>748833.33333333337</v>
      </c>
      <c r="AD5" s="421">
        <f t="shared" si="0"/>
        <v>345693.38730291364</v>
      </c>
      <c r="AE5" s="421"/>
      <c r="AF5" s="421">
        <f t="shared" ref="AF5:AK5" si="1">SUBTOTAL(9,AF10:AF92)</f>
        <v>124355</v>
      </c>
      <c r="AG5" s="421">
        <f t="shared" si="1"/>
        <v>9258.75</v>
      </c>
      <c r="AH5" s="422">
        <f t="shared" si="1"/>
        <v>2954666.6666666665</v>
      </c>
      <c r="AI5" s="420">
        <f t="shared" si="1"/>
        <v>1024673.6766060735</v>
      </c>
      <c r="AJ5" s="421">
        <f t="shared" si="1"/>
        <v>748833.33333333337</v>
      </c>
      <c r="AK5" s="421">
        <f t="shared" si="1"/>
        <v>275840.3432727402</v>
      </c>
      <c r="AL5" s="421"/>
      <c r="AM5" s="421">
        <f t="shared" ref="AM5:AR5" si="2">SUBTOTAL(9,AM10:AM92)</f>
        <v>152131.25</v>
      </c>
      <c r="AN5" s="421">
        <f t="shared" si="2"/>
        <v>7534.4000000000005</v>
      </c>
      <c r="AO5" s="422">
        <f t="shared" si="2"/>
        <v>2205833.333333333</v>
      </c>
      <c r="AP5" s="420">
        <f t="shared" si="2"/>
        <v>954820.63257590006</v>
      </c>
      <c r="AQ5" s="421">
        <f t="shared" si="2"/>
        <v>748833.33333333337</v>
      </c>
      <c r="AR5" s="421">
        <f t="shared" si="2"/>
        <v>205987.29924256681</v>
      </c>
      <c r="AS5" s="421"/>
      <c r="AT5" s="421">
        <f t="shared" ref="AT5:AY5" si="3">SUBTOTAL(9,AT10:AT92)</f>
        <v>179907.5</v>
      </c>
      <c r="AU5" s="421">
        <f t="shared" si="3"/>
        <v>5737.3725000000013</v>
      </c>
      <c r="AV5" s="422">
        <f t="shared" si="3"/>
        <v>1521714.9</v>
      </c>
      <c r="AW5" s="420">
        <f t="shared" si="3"/>
        <v>891889.92474831745</v>
      </c>
      <c r="AX5" s="421">
        <f t="shared" si="3"/>
        <v>750071.6333333333</v>
      </c>
      <c r="AY5" s="421">
        <f t="shared" si="3"/>
        <v>141818.29141498415</v>
      </c>
      <c r="AZ5" s="421"/>
      <c r="BA5" s="421">
        <f t="shared" ref="BA5:BF5" si="4">SUBTOTAL(9,BA10:BA92)</f>
        <v>207683.75</v>
      </c>
      <c r="BB5" s="421">
        <f t="shared" si="4"/>
        <v>4037.1400639980006</v>
      </c>
      <c r="BC5" s="422">
        <f t="shared" si="4"/>
        <v>771643.26666666672</v>
      </c>
      <c r="BD5" s="420">
        <f t="shared" si="4"/>
        <v>821928.11840792384</v>
      </c>
      <c r="BE5" s="421">
        <f t="shared" si="4"/>
        <v>750071.6333333333</v>
      </c>
      <c r="BF5" s="421">
        <f t="shared" si="4"/>
        <v>71856.485074590542</v>
      </c>
      <c r="BG5" s="421"/>
      <c r="BH5" s="421">
        <f t="shared" ref="BH5:BT5" si="5">SUBTOTAL(9,BH10:BH92)</f>
        <v>235460</v>
      </c>
      <c r="BI5" s="421">
        <f t="shared" si="5"/>
        <v>2088.1287197186398</v>
      </c>
      <c r="BJ5" s="422">
        <f t="shared" si="5"/>
        <v>21571.633333333339</v>
      </c>
      <c r="BK5" s="423">
        <f t="shared" si="5"/>
        <v>3746643.2666666671</v>
      </c>
      <c r="BL5" s="418">
        <f t="shared" si="5"/>
        <v>1041195.8063077952</v>
      </c>
      <c r="BM5" s="418">
        <f t="shared" si="5"/>
        <v>899537.5</v>
      </c>
      <c r="BN5" s="418">
        <f t="shared" si="5"/>
        <v>28655.79128371664</v>
      </c>
      <c r="BO5" s="418">
        <f t="shared" si="5"/>
        <v>4787839.0729744621</v>
      </c>
      <c r="BP5" s="418">
        <f t="shared" si="5"/>
        <v>5716032.3642581776</v>
      </c>
      <c r="BQ5" s="418">
        <f t="shared" si="5"/>
        <v>4787839.0729744621</v>
      </c>
      <c r="BR5" s="418">
        <f t="shared" si="5"/>
        <v>0</v>
      </c>
      <c r="BS5" s="418">
        <f t="shared" si="5"/>
        <v>-43143.266666666656</v>
      </c>
      <c r="BT5" s="418">
        <f t="shared" si="5"/>
        <v>64714.899999999994</v>
      </c>
      <c r="BU5" s="32"/>
      <c r="BV5" s="32"/>
      <c r="BW5" s="32"/>
      <c r="BX5" s="32"/>
      <c r="BY5" s="32"/>
      <c r="BZ5" s="32"/>
      <c r="CA5" s="32"/>
      <c r="CB5" s="32"/>
      <c r="CC5" s="32"/>
    </row>
    <row r="6" spans="1:81" ht="15">
      <c r="A6"/>
      <c r="B6"/>
      <c r="C6" s="382" t="s">
        <v>314</v>
      </c>
      <c r="D6" s="382"/>
      <c r="E6" s="383"/>
      <c r="F6" s="383"/>
      <c r="G6" s="384">
        <f>AG5</f>
        <v>9258.75</v>
      </c>
      <c r="H6" s="384">
        <f>AN5</f>
        <v>7534.4000000000005</v>
      </c>
      <c r="I6" s="384">
        <f>AU5</f>
        <v>5737.3725000000013</v>
      </c>
      <c r="J6" s="384">
        <f>BB5</f>
        <v>4037.1400639980006</v>
      </c>
      <c r="K6" s="384">
        <f>BI5</f>
        <v>2088.1287197186398</v>
      </c>
      <c r="L6" s="424"/>
      <c r="M6" s="424"/>
      <c r="N6" s="424"/>
      <c r="O6" s="424"/>
      <c r="P6" s="424"/>
      <c r="Q6" s="380"/>
      <c r="R6" s="380"/>
      <c r="S6" s="380"/>
      <c r="T6" s="380"/>
      <c r="U6" s="380"/>
      <c r="V6" s="425"/>
      <c r="W6" s="425"/>
      <c r="X6" s="425"/>
      <c r="Y6" s="425"/>
      <c r="Z6" s="425"/>
      <c r="AA6" s="426"/>
      <c r="AB6" s="427"/>
      <c r="AC6" s="425"/>
      <c r="AD6" s="425"/>
      <c r="AE6" s="428"/>
      <c r="AF6" s="425"/>
      <c r="AG6" s="425"/>
      <c r="AH6" s="429"/>
      <c r="AI6" s="427"/>
      <c r="AJ6" s="425"/>
      <c r="AK6" s="425"/>
      <c r="AL6" s="425"/>
      <c r="AM6" s="425"/>
      <c r="AN6" s="425"/>
      <c r="AO6" s="429"/>
      <c r="AP6" s="427"/>
      <c r="AQ6" s="425"/>
      <c r="AR6" s="425"/>
      <c r="AS6" s="425"/>
      <c r="AT6" s="425"/>
      <c r="AU6" s="425"/>
      <c r="AV6" s="429"/>
      <c r="AW6" s="427"/>
      <c r="AX6" s="425"/>
      <c r="AY6" s="425"/>
      <c r="AZ6" s="425"/>
      <c r="BA6" s="425"/>
      <c r="BB6" s="425"/>
      <c r="BC6" s="429"/>
      <c r="BD6" s="427"/>
      <c r="BE6" s="425"/>
      <c r="BF6" s="425"/>
      <c r="BG6" s="425"/>
      <c r="BH6" s="425"/>
      <c r="BI6" s="425"/>
      <c r="BJ6" s="429"/>
      <c r="BK6" s="430" t="s">
        <v>315</v>
      </c>
      <c r="BL6" s="425" t="s">
        <v>316</v>
      </c>
      <c r="BM6" s="425" t="s">
        <v>317</v>
      </c>
      <c r="BN6" s="425" t="s">
        <v>318</v>
      </c>
      <c r="BO6" s="425"/>
      <c r="BP6" s="425"/>
      <c r="BQ6" s="425"/>
      <c r="BR6" s="425"/>
      <c r="BS6" s="425" t="s">
        <v>319</v>
      </c>
      <c r="BT6" s="425"/>
      <c r="BU6" s="32"/>
      <c r="BV6" s="32"/>
      <c r="BW6" s="32"/>
      <c r="BX6" s="32"/>
      <c r="BY6" s="32"/>
      <c r="BZ6" s="32"/>
      <c r="CA6" s="32"/>
      <c r="CB6" s="32"/>
      <c r="CC6" s="32"/>
    </row>
    <row r="7" spans="1:81" ht="15">
      <c r="A7"/>
      <c r="B7"/>
      <c r="C7" s="382" t="s">
        <v>320</v>
      </c>
      <c r="D7" s="382"/>
      <c r="E7" s="383"/>
      <c r="F7" s="383"/>
      <c r="G7" s="384">
        <f>SUM(G3:G6)</f>
        <v>1228140.470636247</v>
      </c>
      <c r="H7" s="384">
        <f>SUM(H3:H6)</f>
        <v>1184339.3266060734</v>
      </c>
      <c r="I7" s="384">
        <f>SUM(I3:I6)</f>
        <v>1140465.5050759003</v>
      </c>
      <c r="J7" s="384">
        <f>SUM(J3:J6)</f>
        <v>1103610.8148123154</v>
      </c>
      <c r="K7" s="384">
        <f>SUM(K3:K6)</f>
        <v>1059476.2471276424</v>
      </c>
      <c r="L7" s="424" t="s">
        <v>321</v>
      </c>
      <c r="M7" s="424"/>
      <c r="N7" s="424"/>
      <c r="O7" s="424"/>
      <c r="P7" s="424"/>
      <c r="Q7" s="380"/>
      <c r="R7" s="380"/>
      <c r="S7" s="380"/>
      <c r="T7" s="380"/>
      <c r="U7" s="380"/>
      <c r="V7" s="425"/>
      <c r="W7" s="425"/>
      <c r="X7" s="425"/>
      <c r="Y7" s="425"/>
      <c r="Z7" s="425"/>
      <c r="AA7" s="426"/>
      <c r="AB7" s="427"/>
      <c r="AC7" s="425"/>
      <c r="AD7" s="425"/>
      <c r="AE7" s="428"/>
      <c r="AF7" s="425"/>
      <c r="AG7" s="425"/>
      <c r="AH7" s="429"/>
      <c r="AI7" s="427"/>
      <c r="AJ7" s="425"/>
      <c r="AK7" s="425"/>
      <c r="AL7" s="425"/>
      <c r="AM7" s="425"/>
      <c r="AN7" s="425"/>
      <c r="AO7" s="429"/>
      <c r="AP7" s="427"/>
      <c r="AQ7" s="425"/>
      <c r="AR7" s="425"/>
      <c r="AS7" s="425"/>
      <c r="AT7" s="425"/>
      <c r="AU7" s="425"/>
      <c r="AV7" s="429"/>
      <c r="AW7" s="427"/>
      <c r="AX7" s="425"/>
      <c r="AY7" s="425"/>
      <c r="AZ7" s="425"/>
      <c r="BA7" s="425"/>
      <c r="BB7" s="425"/>
      <c r="BC7" s="429"/>
      <c r="BD7" s="427"/>
      <c r="BE7" s="425"/>
      <c r="BF7" s="425"/>
      <c r="BG7" s="425"/>
      <c r="BH7" s="425"/>
      <c r="BI7" s="425"/>
      <c r="BJ7" s="429"/>
      <c r="BK7" s="430"/>
      <c r="BL7" s="425"/>
      <c r="BM7" s="425"/>
      <c r="BN7" s="425"/>
      <c r="BO7" s="425"/>
      <c r="BP7" s="425"/>
      <c r="BQ7" s="425"/>
      <c r="BR7" s="425"/>
      <c r="BS7" s="425"/>
      <c r="BT7" s="425"/>
      <c r="BU7" s="32"/>
      <c r="BV7" s="32"/>
      <c r="BW7" s="32"/>
      <c r="BX7" s="32"/>
      <c r="BY7" s="32"/>
      <c r="BZ7" s="32"/>
      <c r="CA7" s="32"/>
      <c r="CB7" s="32"/>
      <c r="CC7" s="32"/>
    </row>
    <row r="8" spans="1:81" ht="15">
      <c r="A8"/>
      <c r="B8"/>
      <c r="C8" s="382" t="s">
        <v>322</v>
      </c>
      <c r="D8" s="382"/>
      <c r="E8" s="383"/>
      <c r="F8" s="383"/>
      <c r="G8" s="431">
        <f>G7/12</f>
        <v>102345.03921968724</v>
      </c>
      <c r="H8" s="384">
        <f>H7/12</f>
        <v>98694.943883839456</v>
      </c>
      <c r="I8" s="431">
        <f>I7/12</f>
        <v>95038.792089658367</v>
      </c>
      <c r="J8" s="431">
        <f>J7/12</f>
        <v>91967.567901026283</v>
      </c>
      <c r="K8" s="431">
        <f>K7/12</f>
        <v>88289.687260636871</v>
      </c>
      <c r="L8" s="432">
        <f>Rental!B4</f>
        <v>73250</v>
      </c>
      <c r="M8" s="432">
        <f>L8</f>
        <v>73250</v>
      </c>
      <c r="N8" s="432">
        <f>M8</f>
        <v>73250</v>
      </c>
      <c r="O8" s="432">
        <f>N8</f>
        <v>73250</v>
      </c>
      <c r="P8" s="432">
        <f>O8</f>
        <v>73250</v>
      </c>
      <c r="Q8" s="380"/>
      <c r="R8" s="380"/>
      <c r="S8" s="380"/>
      <c r="T8" s="380"/>
      <c r="U8" s="380"/>
      <c r="V8" s="425"/>
      <c r="W8" s="425"/>
      <c r="X8" s="425"/>
      <c r="Y8" s="425"/>
      <c r="Z8" s="425"/>
      <c r="AA8" s="426"/>
      <c r="AB8" s="427"/>
      <c r="AC8" s="425"/>
      <c r="AD8" s="425"/>
      <c r="AE8" s="428" t="s">
        <v>279</v>
      </c>
      <c r="AF8" s="425"/>
      <c r="AG8" s="425"/>
      <c r="AH8" s="429"/>
      <c r="AI8" s="427"/>
      <c r="AJ8" s="425"/>
      <c r="AK8" s="425"/>
      <c r="AL8" s="428" t="s">
        <v>279</v>
      </c>
      <c r="AM8" s="425"/>
      <c r="AN8" s="425"/>
      <c r="AO8" s="429"/>
      <c r="AP8" s="427"/>
      <c r="AQ8" s="425"/>
      <c r="AR8" s="425"/>
      <c r="AS8" s="428" t="s">
        <v>279</v>
      </c>
      <c r="AT8" s="425"/>
      <c r="AU8" s="425"/>
      <c r="AV8" s="429"/>
      <c r="AW8" s="427"/>
      <c r="AX8" s="425"/>
      <c r="AY8" s="425"/>
      <c r="AZ8" s="428" t="s">
        <v>279</v>
      </c>
      <c r="BA8" s="425"/>
      <c r="BB8" s="425"/>
      <c r="BC8" s="429"/>
      <c r="BD8" s="427"/>
      <c r="BE8" s="425"/>
      <c r="BF8" s="425"/>
      <c r="BG8" s="428" t="s">
        <v>279</v>
      </c>
      <c r="BH8" s="425"/>
      <c r="BI8" s="425"/>
      <c r="BJ8" s="429"/>
      <c r="BK8" s="430" t="s">
        <v>323</v>
      </c>
      <c r="BL8" s="425" t="s">
        <v>324</v>
      </c>
      <c r="BM8" s="425" t="s">
        <v>325</v>
      </c>
      <c r="BN8" s="425" t="s">
        <v>326</v>
      </c>
      <c r="BO8" s="425" t="s">
        <v>327</v>
      </c>
      <c r="BP8" s="425" t="s">
        <v>328</v>
      </c>
      <c r="BQ8" s="425"/>
      <c r="BR8" s="425"/>
      <c r="BS8" s="425"/>
      <c r="BT8" s="425"/>
      <c r="BU8" s="32"/>
      <c r="BV8" s="32"/>
      <c r="BW8" s="32"/>
      <c r="BX8" s="32">
        <v>12</v>
      </c>
      <c r="BY8" s="32">
        <v>12</v>
      </c>
      <c r="BZ8" s="32">
        <v>12</v>
      </c>
      <c r="CA8" s="32"/>
      <c r="CB8" s="32"/>
      <c r="CC8" s="32"/>
    </row>
    <row r="9" spans="1:81" ht="38.25">
      <c r="A9" s="433" t="s">
        <v>329</v>
      </c>
      <c r="B9" s="433" t="s">
        <v>330</v>
      </c>
      <c r="C9" s="433" t="s">
        <v>331</v>
      </c>
      <c r="D9" s="434" t="s">
        <v>332</v>
      </c>
      <c r="E9" s="435" t="s">
        <v>333</v>
      </c>
      <c r="F9" s="435" t="s">
        <v>334</v>
      </c>
      <c r="G9" s="436" t="s">
        <v>335</v>
      </c>
      <c r="H9" s="436" t="s">
        <v>336</v>
      </c>
      <c r="I9" s="437" t="s">
        <v>337</v>
      </c>
      <c r="J9" s="437" t="s">
        <v>338</v>
      </c>
      <c r="K9" s="437" t="s">
        <v>339</v>
      </c>
      <c r="L9" s="438" t="s">
        <v>340</v>
      </c>
      <c r="M9" s="438" t="s">
        <v>341</v>
      </c>
      <c r="N9" s="438" t="s">
        <v>342</v>
      </c>
      <c r="O9" s="438" t="s">
        <v>343</v>
      </c>
      <c r="P9" s="439" t="s">
        <v>344</v>
      </c>
      <c r="Q9" s="440" t="s">
        <v>340</v>
      </c>
      <c r="R9" s="440" t="s">
        <v>341</v>
      </c>
      <c r="S9" s="440" t="s">
        <v>342</v>
      </c>
      <c r="T9" s="440" t="s">
        <v>343</v>
      </c>
      <c r="U9" s="440" t="s">
        <v>344</v>
      </c>
      <c r="V9" s="441" t="s">
        <v>340</v>
      </c>
      <c r="W9" s="442" t="s">
        <v>341</v>
      </c>
      <c r="X9" s="442" t="s">
        <v>342</v>
      </c>
      <c r="Y9" s="442" t="s">
        <v>343</v>
      </c>
      <c r="Z9" s="442" t="s">
        <v>344</v>
      </c>
      <c r="AA9" s="443" t="s">
        <v>345</v>
      </c>
      <c r="AB9" s="444" t="s">
        <v>346</v>
      </c>
      <c r="AC9" s="445" t="s">
        <v>347</v>
      </c>
      <c r="AD9" s="445" t="s">
        <v>308</v>
      </c>
      <c r="AE9" s="446" t="s">
        <v>133</v>
      </c>
      <c r="AF9" s="445" t="s">
        <v>348</v>
      </c>
      <c r="AG9" s="445" t="s">
        <v>349</v>
      </c>
      <c r="AH9" s="447" t="s">
        <v>350</v>
      </c>
      <c r="AI9" s="448" t="s">
        <v>351</v>
      </c>
      <c r="AJ9" s="449" t="s">
        <v>347</v>
      </c>
      <c r="AK9" s="449" t="s">
        <v>308</v>
      </c>
      <c r="AL9" s="449" t="s">
        <v>133</v>
      </c>
      <c r="AM9" s="449" t="s">
        <v>348</v>
      </c>
      <c r="AN9" s="449" t="s">
        <v>349</v>
      </c>
      <c r="AO9" s="447" t="s">
        <v>352</v>
      </c>
      <c r="AP9" s="444" t="s">
        <v>353</v>
      </c>
      <c r="AQ9" s="445" t="s">
        <v>347</v>
      </c>
      <c r="AR9" s="445" t="s">
        <v>308</v>
      </c>
      <c r="AS9" s="445" t="s">
        <v>133</v>
      </c>
      <c r="AT9" s="445" t="s">
        <v>348</v>
      </c>
      <c r="AU9" s="445" t="s">
        <v>349</v>
      </c>
      <c r="AV9" s="447" t="s">
        <v>354</v>
      </c>
      <c r="AW9" s="448" t="s">
        <v>355</v>
      </c>
      <c r="AX9" s="449" t="s">
        <v>347</v>
      </c>
      <c r="AY9" s="449" t="s">
        <v>308</v>
      </c>
      <c r="AZ9" s="449" t="s">
        <v>133</v>
      </c>
      <c r="BA9" s="449" t="s">
        <v>348</v>
      </c>
      <c r="BB9" s="449" t="s">
        <v>349</v>
      </c>
      <c r="BC9" s="450" t="s">
        <v>356</v>
      </c>
      <c r="BD9" s="444" t="s">
        <v>357</v>
      </c>
      <c r="BE9" s="445" t="s">
        <v>347</v>
      </c>
      <c r="BF9" s="445" t="s">
        <v>308</v>
      </c>
      <c r="BG9" s="445" t="s">
        <v>133</v>
      </c>
      <c r="BH9" s="445" t="s">
        <v>348</v>
      </c>
      <c r="BI9" s="445" t="s">
        <v>349</v>
      </c>
      <c r="BJ9" s="447" t="s">
        <v>358</v>
      </c>
      <c r="BK9" s="451" t="s">
        <v>359</v>
      </c>
      <c r="BL9" s="452" t="s">
        <v>360</v>
      </c>
      <c r="BM9" s="452" t="s">
        <v>361</v>
      </c>
      <c r="BN9" s="452" t="s">
        <v>362</v>
      </c>
      <c r="BO9" s="452" t="s">
        <v>363</v>
      </c>
      <c r="BP9" s="452" t="s">
        <v>364</v>
      </c>
      <c r="BQ9" s="452" t="s">
        <v>365</v>
      </c>
      <c r="BR9" s="452" t="s">
        <v>366</v>
      </c>
      <c r="BS9" s="452" t="s">
        <v>367</v>
      </c>
      <c r="BT9" s="452" t="s">
        <v>368</v>
      </c>
      <c r="BU9" s="452" t="s">
        <v>369</v>
      </c>
      <c r="BV9" s="452" t="s">
        <v>366</v>
      </c>
      <c r="BW9" s="36"/>
      <c r="BX9" s="37" t="s">
        <v>225</v>
      </c>
      <c r="BY9" s="37" t="s">
        <v>296</v>
      </c>
      <c r="BZ9" s="37" t="s">
        <v>297</v>
      </c>
      <c r="CA9" s="37"/>
      <c r="CB9" s="37"/>
      <c r="CC9" s="37"/>
    </row>
    <row r="10" spans="1:81" ht="15">
      <c r="A10" s="453">
        <v>1</v>
      </c>
      <c r="B10" s="454" t="s">
        <v>370</v>
      </c>
      <c r="C10" s="455" t="s">
        <v>544</v>
      </c>
      <c r="D10" s="456"/>
      <c r="E10" s="457" t="s">
        <v>372</v>
      </c>
      <c r="F10" s="458"/>
      <c r="G10" s="459">
        <v>10</v>
      </c>
      <c r="H10" s="460">
        <v>10</v>
      </c>
      <c r="I10" s="461" t="s">
        <v>373</v>
      </c>
      <c r="J10" s="462">
        <v>2000</v>
      </c>
      <c r="K10" s="463"/>
      <c r="L10" s="464">
        <v>0</v>
      </c>
      <c r="M10" s="465"/>
      <c r="N10" s="465"/>
      <c r="O10" s="465"/>
      <c r="P10" s="466"/>
      <c r="Q10" s="467">
        <f t="shared" ref="Q10:Q77" si="6">J10</f>
        <v>2000</v>
      </c>
      <c r="R10" s="467">
        <f t="shared" ref="R10:U53" si="7">Q10*R$3+Q10</f>
        <v>2060</v>
      </c>
      <c r="S10" s="467">
        <f t="shared" si="7"/>
        <v>2121.8000000000002</v>
      </c>
      <c r="T10" s="467">
        <f t="shared" si="7"/>
        <v>2185.4540000000002</v>
      </c>
      <c r="U10" s="467">
        <f t="shared" si="7"/>
        <v>2251.0176200000001</v>
      </c>
      <c r="V10" s="468">
        <f t="shared" ref="V10:Z53" si="8">Q10*L10</f>
        <v>0</v>
      </c>
      <c r="W10" s="468">
        <f t="shared" si="8"/>
        <v>0</v>
      </c>
      <c r="X10" s="468">
        <f t="shared" si="8"/>
        <v>0</v>
      </c>
      <c r="Y10" s="468">
        <f t="shared" si="8"/>
        <v>0</v>
      </c>
      <c r="Z10" s="468">
        <f t="shared" si="8"/>
        <v>0</v>
      </c>
      <c r="AA10" s="469">
        <f t="shared" ref="AA10:AA63" si="9">SUM(V10:Z10)</f>
        <v>0</v>
      </c>
      <c r="AB10" s="470">
        <f t="shared" ref="AB10:AB73" si="10">SUM(AC10:AD10)</f>
        <v>0</v>
      </c>
      <c r="AC10" s="471">
        <f t="shared" ref="AC10:AC73" si="11">V10/$G10</f>
        <v>0</v>
      </c>
      <c r="AD10" s="471">
        <f t="shared" ref="AD10:AD73" si="12">-IPMT(AB$3/12,$AD$3,$H10*12,V10,0)*12</f>
        <v>0</v>
      </c>
      <c r="AE10" s="472">
        <v>1E-3</v>
      </c>
      <c r="AF10" s="471">
        <f t="shared" ref="AF10:AF77" si="13">V10*AE10</f>
        <v>0</v>
      </c>
      <c r="AG10" s="471">
        <f t="shared" ref="AG10:AG73" si="14">V10*AG$3</f>
        <v>0</v>
      </c>
      <c r="AH10" s="473">
        <f t="shared" ref="AH10:AH73" si="15">V10-AC10+W10</f>
        <v>0</v>
      </c>
      <c r="AI10" s="470">
        <f t="shared" ref="AI10:AI73" si="16">SUM(AJ10:AK10)</f>
        <v>0</v>
      </c>
      <c r="AJ10" s="474">
        <f t="shared" ref="AJ10:AJ77" si="17">SUM(W10/G10)+AC10</f>
        <v>0</v>
      </c>
      <c r="AK10" s="471">
        <f t="shared" ref="AK10:AK73" si="18">-IPMT(AI$3/12,$AK$3,$H10*12,AH10,0)*12</f>
        <v>0</v>
      </c>
      <c r="AL10" s="475">
        <f t="shared" ref="AL10:AL73" si="19">IF(AE10=0,0,AE10+AL$3)</f>
        <v>8.5000000000000006E-3</v>
      </c>
      <c r="AM10" s="471">
        <f>AL10*V10+AE10*W10</f>
        <v>0</v>
      </c>
      <c r="AN10" s="471">
        <f t="shared" ref="AN10:AN73" si="20">AH10*AN$3</f>
        <v>0</v>
      </c>
      <c r="AO10" s="476">
        <f t="shared" ref="AO10:AO63" si="21">SUM(AH10+W10)-AJ10+IF(G10=2,L10*R10)</f>
        <v>0</v>
      </c>
      <c r="AP10" s="470">
        <f t="shared" ref="AP10:AP63" si="22">SUM(AQ10:AR10)</f>
        <v>0</v>
      </c>
      <c r="AQ10" s="474">
        <f t="shared" ref="AQ10:AQ63" si="23">SUM(X10/G10)+AJ10</f>
        <v>0</v>
      </c>
      <c r="AR10" s="471">
        <f t="shared" ref="AR10:AR73" si="24">-IPMT(AP$3/12,$AR$3,$G10*12,AO10,0)*12</f>
        <v>0</v>
      </c>
      <c r="AS10" s="475">
        <f t="shared" ref="AS10:AS73" si="25">IF(AL10=0,0,AL10+AS$3)</f>
        <v>1.6E-2</v>
      </c>
      <c r="AT10" s="471">
        <f>AS10*V10+W10*AL10+AE10*X10</f>
        <v>0</v>
      </c>
      <c r="AU10" s="471">
        <f t="shared" ref="AU10:AU73" si="26">AO10*AU$3</f>
        <v>0</v>
      </c>
      <c r="AV10" s="477">
        <f t="shared" ref="AV10:AV77" si="27">SUM(AO10+X10)-AQ10+IF(G10=3,L10*S10)</f>
        <v>0</v>
      </c>
      <c r="AW10" s="470">
        <f t="shared" ref="AW10:AW63" si="28">SUM(AX10:AY10)</f>
        <v>0</v>
      </c>
      <c r="AX10" s="474">
        <f t="shared" ref="AX10:AX73" si="29">IF(G10=3,AV10/3,SUM(Y10/G10)+AQ10)</f>
        <v>0</v>
      </c>
      <c r="AY10" s="471">
        <f t="shared" ref="AY10:AY73" si="30">-IPMT(AW$3/12,$AY$3,$G10*12,AV10,0)*12</f>
        <v>0</v>
      </c>
      <c r="AZ10" s="475">
        <f t="shared" ref="AZ10:AZ77" si="31">IF(AS10=0,0,AS10+AZ$3)</f>
        <v>2.35E-2</v>
      </c>
      <c r="BA10" s="471">
        <f>AZ10*V10+W10*AS10+AL10*X10+Y10*AE10</f>
        <v>0</v>
      </c>
      <c r="BB10" s="471">
        <f t="shared" ref="BB10:BB73" si="32">AV10*BB$3</f>
        <v>0</v>
      </c>
      <c r="BC10" s="477">
        <f t="shared" ref="BC10:BC73" si="33">AV10-AX10+Z10++IF(G10=4,V10)</f>
        <v>0</v>
      </c>
      <c r="BD10" s="470">
        <f t="shared" ref="BD10:BD73" si="34">SUM(BE10:BF10)</f>
        <v>0</v>
      </c>
      <c r="BE10" s="474">
        <f t="shared" ref="BE10:BE73" si="35">SUM(Z10/G10)+AX10</f>
        <v>0</v>
      </c>
      <c r="BF10" s="478">
        <f t="shared" ref="BF10:BF73" si="36">-IPMT(BD$3/12,$BF$3,$G10*12,BC10,0)*12</f>
        <v>0</v>
      </c>
      <c r="BG10" s="475">
        <f t="shared" ref="BG10:BG73" si="37">IF(AZ10=0,0,AZ10+BG$3)</f>
        <v>3.1E-2</v>
      </c>
      <c r="BH10" s="471">
        <f>BG10*V10+W10*AZ10+AS10*X10+Y10*AL10+Z10*AE10</f>
        <v>0</v>
      </c>
      <c r="BI10" s="471">
        <f t="shared" ref="BI10:BI73" si="38">BC10*BI$3</f>
        <v>0</v>
      </c>
      <c r="BJ10" s="473">
        <f t="shared" ref="BJ10:BJ73" si="39">BC10-BE10</f>
        <v>0</v>
      </c>
      <c r="BK10" s="479">
        <f t="shared" ref="BK10:BL53" si="40">AC10+AJ10+AQ10+AX10+BE10</f>
        <v>0</v>
      </c>
      <c r="BL10" s="480">
        <f t="shared" si="40"/>
        <v>0</v>
      </c>
      <c r="BM10" s="480">
        <f t="shared" ref="BM10:BN53" si="41">BH10+BA10+AT10++AM10+AF10</f>
        <v>0</v>
      </c>
      <c r="BN10" s="480">
        <f t="shared" si="41"/>
        <v>0</v>
      </c>
      <c r="BO10" s="480">
        <f t="shared" ref="BO10:BO73" si="42">SUM(BK10:BL10)</f>
        <v>0</v>
      </c>
      <c r="BP10" s="480">
        <f t="shared" ref="BP10:BP73" si="43">BM10+BN10+BO10</f>
        <v>0</v>
      </c>
      <c r="BQ10" s="480">
        <f t="shared" ref="BQ10:BQ73" si="44">AB10+AI10+AP10+AW10+BD10</f>
        <v>0</v>
      </c>
      <c r="BR10" s="480">
        <f t="shared" ref="BR10:BR73" si="45">BQ10-BO10</f>
        <v>0</v>
      </c>
      <c r="BS10" s="480">
        <f t="shared" ref="BS10:BS73" si="46">AA10-BK10</f>
        <v>0</v>
      </c>
      <c r="BT10" s="480">
        <f t="shared" ref="BT10:BT73" si="47">BJ10-BS10</f>
        <v>0</v>
      </c>
      <c r="BU10" s="480">
        <f t="shared" ref="BU10:BU73" si="48">BT10+BS10</f>
        <v>0</v>
      </c>
      <c r="BV10" s="480">
        <f t="shared" ref="BV10:BV73" si="49">BJ10-BU10</f>
        <v>0</v>
      </c>
      <c r="BW10" s="38"/>
      <c r="BX10" s="39">
        <f>(AB10+AF10+AG10)/$BX$8</f>
        <v>0</v>
      </c>
      <c r="BY10" s="39">
        <f>(AI10+AM10+AN10)/$BY$8</f>
        <v>0</v>
      </c>
      <c r="BZ10" s="39">
        <f>(AP10+AT10+AU10)/$BZ$8</f>
        <v>0</v>
      </c>
      <c r="CA10" s="40" t="s">
        <v>374</v>
      </c>
      <c r="CB10" s="40"/>
      <c r="CC10" s="40"/>
    </row>
    <row r="11" spans="1:81" ht="15" hidden="1">
      <c r="A11" s="453">
        <f>A10+1</f>
        <v>2</v>
      </c>
      <c r="B11" s="454" t="s">
        <v>370</v>
      </c>
      <c r="C11" s="455" t="s">
        <v>375</v>
      </c>
      <c r="D11" s="481"/>
      <c r="E11" s="457" t="s">
        <v>372</v>
      </c>
      <c r="F11" s="458"/>
      <c r="G11" s="459">
        <v>10</v>
      </c>
      <c r="H11" s="460">
        <v>10</v>
      </c>
      <c r="I11" s="461" t="s">
        <v>373</v>
      </c>
      <c r="J11" s="462">
        <v>8500</v>
      </c>
      <c r="K11" s="482"/>
      <c r="L11" s="465">
        <v>0</v>
      </c>
      <c r="M11" s="465"/>
      <c r="N11" s="465"/>
      <c r="O11" s="465"/>
      <c r="P11" s="465"/>
      <c r="Q11" s="467">
        <f t="shared" si="6"/>
        <v>8500</v>
      </c>
      <c r="R11" s="483">
        <f t="shared" si="7"/>
        <v>8755</v>
      </c>
      <c r="S11" s="483">
        <f t="shared" si="7"/>
        <v>9017.65</v>
      </c>
      <c r="T11" s="483">
        <f t="shared" si="7"/>
        <v>9288.1795000000002</v>
      </c>
      <c r="U11" s="483">
        <f t="shared" si="7"/>
        <v>9566.824885</v>
      </c>
      <c r="V11" s="468">
        <f t="shared" si="8"/>
        <v>0</v>
      </c>
      <c r="W11" s="468">
        <f t="shared" si="8"/>
        <v>0</v>
      </c>
      <c r="X11" s="468">
        <f t="shared" si="8"/>
        <v>0</v>
      </c>
      <c r="Y11" s="468">
        <f t="shared" si="8"/>
        <v>0</v>
      </c>
      <c r="Z11" s="468">
        <f t="shared" si="8"/>
        <v>0</v>
      </c>
      <c r="AA11" s="469">
        <f t="shared" si="9"/>
        <v>0</v>
      </c>
      <c r="AB11" s="470">
        <f t="shared" si="10"/>
        <v>0</v>
      </c>
      <c r="AC11" s="471">
        <f t="shared" si="11"/>
        <v>0</v>
      </c>
      <c r="AD11" s="471">
        <f t="shared" si="12"/>
        <v>0</v>
      </c>
      <c r="AE11" s="472">
        <v>1E-3</v>
      </c>
      <c r="AF11" s="471">
        <f t="shared" si="13"/>
        <v>0</v>
      </c>
      <c r="AG11" s="471">
        <f t="shared" si="14"/>
        <v>0</v>
      </c>
      <c r="AH11" s="473">
        <f t="shared" si="15"/>
        <v>0</v>
      </c>
      <c r="AI11" s="484">
        <f t="shared" si="16"/>
        <v>0</v>
      </c>
      <c r="AJ11" s="474">
        <f t="shared" si="17"/>
        <v>0</v>
      </c>
      <c r="AK11" s="471">
        <f t="shared" si="18"/>
        <v>0</v>
      </c>
      <c r="AL11" s="475">
        <f t="shared" si="19"/>
        <v>8.5000000000000006E-3</v>
      </c>
      <c r="AM11" s="471">
        <f t="shared" ref="AM11:AM77" si="50">AL11*V11+AE11*W11</f>
        <v>0</v>
      </c>
      <c r="AN11" s="471">
        <f t="shared" si="20"/>
        <v>0</v>
      </c>
      <c r="AO11" s="476">
        <f t="shared" si="21"/>
        <v>0</v>
      </c>
      <c r="AP11" s="484">
        <f t="shared" si="22"/>
        <v>0</v>
      </c>
      <c r="AQ11" s="485">
        <f t="shared" si="23"/>
        <v>0</v>
      </c>
      <c r="AR11" s="471">
        <f t="shared" si="24"/>
        <v>0</v>
      </c>
      <c r="AS11" s="475">
        <f t="shared" si="25"/>
        <v>1.6E-2</v>
      </c>
      <c r="AT11" s="471">
        <f t="shared" ref="AT11:AT77" si="51">AS11*V11+W11*AL11+AE11*X11</f>
        <v>0</v>
      </c>
      <c r="AU11" s="471">
        <f t="shared" si="26"/>
        <v>0</v>
      </c>
      <c r="AV11" s="476">
        <f t="shared" si="27"/>
        <v>0</v>
      </c>
      <c r="AW11" s="484">
        <f t="shared" si="28"/>
        <v>0</v>
      </c>
      <c r="AX11" s="474">
        <f t="shared" si="29"/>
        <v>0</v>
      </c>
      <c r="AY11" s="471">
        <f t="shared" si="30"/>
        <v>0</v>
      </c>
      <c r="AZ11" s="475">
        <f t="shared" si="31"/>
        <v>2.35E-2</v>
      </c>
      <c r="BA11" s="471">
        <f t="shared" ref="BA11:BA77" si="52">AZ11*V11+W11*AS11+AL11*X11+Y11*AE11</f>
        <v>0</v>
      </c>
      <c r="BB11" s="471">
        <f t="shared" si="32"/>
        <v>0</v>
      </c>
      <c r="BC11" s="476">
        <f t="shared" si="33"/>
        <v>0</v>
      </c>
      <c r="BD11" s="484">
        <f t="shared" si="34"/>
        <v>0</v>
      </c>
      <c r="BE11" s="474">
        <f t="shared" si="35"/>
        <v>0</v>
      </c>
      <c r="BF11" s="471">
        <f t="shared" si="36"/>
        <v>0</v>
      </c>
      <c r="BG11" s="475">
        <f t="shared" si="37"/>
        <v>3.1E-2</v>
      </c>
      <c r="BH11" s="471">
        <f t="shared" ref="BH11:BH77" si="53">BG11*V11+W11*AZ11+AS11*X11+Y11*AL11+Z11*AE11</f>
        <v>0</v>
      </c>
      <c r="BI11" s="471">
        <f t="shared" si="38"/>
        <v>0</v>
      </c>
      <c r="BJ11" s="473">
        <f t="shared" si="39"/>
        <v>0</v>
      </c>
      <c r="BK11" s="479">
        <f t="shared" si="40"/>
        <v>0</v>
      </c>
      <c r="BL11" s="480">
        <f t="shared" si="40"/>
        <v>0</v>
      </c>
      <c r="BM11" s="480">
        <f t="shared" si="41"/>
        <v>0</v>
      </c>
      <c r="BN11" s="480">
        <f t="shared" si="41"/>
        <v>0</v>
      </c>
      <c r="BO11" s="480">
        <f t="shared" si="42"/>
        <v>0</v>
      </c>
      <c r="BP11" s="480">
        <f t="shared" si="43"/>
        <v>0</v>
      </c>
      <c r="BQ11" s="480">
        <f t="shared" si="44"/>
        <v>0</v>
      </c>
      <c r="BR11" s="480">
        <f t="shared" si="45"/>
        <v>0</v>
      </c>
      <c r="BS11" s="480">
        <f t="shared" si="46"/>
        <v>0</v>
      </c>
      <c r="BT11" s="480">
        <f t="shared" si="47"/>
        <v>0</v>
      </c>
      <c r="BU11" s="480">
        <f t="shared" si="48"/>
        <v>0</v>
      </c>
      <c r="BV11" s="480">
        <f t="shared" si="49"/>
        <v>0</v>
      </c>
      <c r="BW11" s="41"/>
      <c r="BX11" s="39">
        <f t="shared" ref="BX11:BX75" si="54">(AB11+AF11+AG11)/$BX$8</f>
        <v>0</v>
      </c>
      <c r="BY11" s="39">
        <f t="shared" ref="BY11:BY75" si="55">(AI11+AM11+AN11)/$BY$8</f>
        <v>0</v>
      </c>
      <c r="BZ11" s="39">
        <f t="shared" ref="BZ11:BZ75" si="56">(AP11+AT11+AU11)/$BZ$8</f>
        <v>0</v>
      </c>
      <c r="CA11" s="40" t="s">
        <v>374</v>
      </c>
      <c r="CB11" s="40"/>
      <c r="CC11" s="40"/>
    </row>
    <row r="12" spans="1:81" ht="38.25" hidden="1">
      <c r="A12" s="453">
        <f t="shared" ref="A12:A75" si="57">A11+1</f>
        <v>3</v>
      </c>
      <c r="B12" s="454" t="s">
        <v>370</v>
      </c>
      <c r="C12" s="486" t="s">
        <v>376</v>
      </c>
      <c r="D12" s="487"/>
      <c r="E12" s="457" t="s">
        <v>372</v>
      </c>
      <c r="F12" s="458"/>
      <c r="G12" s="459">
        <v>10</v>
      </c>
      <c r="H12" s="460">
        <v>10</v>
      </c>
      <c r="I12" s="461" t="s">
        <v>373</v>
      </c>
      <c r="J12" s="462"/>
      <c r="K12" s="488"/>
      <c r="L12" s="466">
        <v>0</v>
      </c>
      <c r="M12" s="466"/>
      <c r="N12" s="466"/>
      <c r="O12" s="466"/>
      <c r="P12" s="466"/>
      <c r="Q12" s="467">
        <f t="shared" si="6"/>
        <v>0</v>
      </c>
      <c r="R12" s="483">
        <f t="shared" si="7"/>
        <v>0</v>
      </c>
      <c r="S12" s="483">
        <f t="shared" si="7"/>
        <v>0</v>
      </c>
      <c r="T12" s="483">
        <f t="shared" si="7"/>
        <v>0</v>
      </c>
      <c r="U12" s="483">
        <f t="shared" si="7"/>
        <v>0</v>
      </c>
      <c r="V12" s="468">
        <f>Q12*L12</f>
        <v>0</v>
      </c>
      <c r="W12" s="468">
        <f t="shared" si="8"/>
        <v>0</v>
      </c>
      <c r="X12" s="468">
        <f t="shared" si="8"/>
        <v>0</v>
      </c>
      <c r="Y12" s="468">
        <f t="shared" si="8"/>
        <v>0</v>
      </c>
      <c r="Z12" s="468">
        <f t="shared" si="8"/>
        <v>0</v>
      </c>
      <c r="AA12" s="469">
        <f t="shared" si="9"/>
        <v>0</v>
      </c>
      <c r="AB12" s="470">
        <f t="shared" si="10"/>
        <v>0</v>
      </c>
      <c r="AC12" s="471">
        <f t="shared" si="11"/>
        <v>0</v>
      </c>
      <c r="AD12" s="471">
        <f t="shared" si="12"/>
        <v>0</v>
      </c>
      <c r="AE12" s="472">
        <v>1E-3</v>
      </c>
      <c r="AF12" s="471">
        <f t="shared" si="13"/>
        <v>0</v>
      </c>
      <c r="AG12" s="471">
        <f t="shared" si="14"/>
        <v>0</v>
      </c>
      <c r="AH12" s="473">
        <f t="shared" si="15"/>
        <v>0</v>
      </c>
      <c r="AI12" s="484">
        <f t="shared" si="16"/>
        <v>0</v>
      </c>
      <c r="AJ12" s="474">
        <f t="shared" si="17"/>
        <v>0</v>
      </c>
      <c r="AK12" s="471">
        <f t="shared" si="18"/>
        <v>0</v>
      </c>
      <c r="AL12" s="475">
        <f t="shared" si="19"/>
        <v>8.5000000000000006E-3</v>
      </c>
      <c r="AM12" s="471">
        <f t="shared" si="50"/>
        <v>0</v>
      </c>
      <c r="AN12" s="471">
        <f t="shared" si="20"/>
        <v>0</v>
      </c>
      <c r="AO12" s="476">
        <f t="shared" si="21"/>
        <v>0</v>
      </c>
      <c r="AP12" s="484">
        <f t="shared" si="22"/>
        <v>0</v>
      </c>
      <c r="AQ12" s="485">
        <f t="shared" si="23"/>
        <v>0</v>
      </c>
      <c r="AR12" s="471">
        <f t="shared" si="24"/>
        <v>0</v>
      </c>
      <c r="AS12" s="475">
        <f t="shared" si="25"/>
        <v>1.6E-2</v>
      </c>
      <c r="AT12" s="471">
        <f t="shared" si="51"/>
        <v>0</v>
      </c>
      <c r="AU12" s="471">
        <f t="shared" si="26"/>
        <v>0</v>
      </c>
      <c r="AV12" s="476">
        <f t="shared" si="27"/>
        <v>0</v>
      </c>
      <c r="AW12" s="484">
        <f t="shared" si="28"/>
        <v>0</v>
      </c>
      <c r="AX12" s="474">
        <f t="shared" si="29"/>
        <v>0</v>
      </c>
      <c r="AY12" s="471">
        <f t="shared" si="30"/>
        <v>0</v>
      </c>
      <c r="AZ12" s="475">
        <f t="shared" si="31"/>
        <v>2.35E-2</v>
      </c>
      <c r="BA12" s="471">
        <f t="shared" si="52"/>
        <v>0</v>
      </c>
      <c r="BB12" s="471">
        <f t="shared" si="32"/>
        <v>0</v>
      </c>
      <c r="BC12" s="476">
        <f t="shared" si="33"/>
        <v>0</v>
      </c>
      <c r="BD12" s="484">
        <f t="shared" si="34"/>
        <v>0</v>
      </c>
      <c r="BE12" s="474">
        <f t="shared" si="35"/>
        <v>0</v>
      </c>
      <c r="BF12" s="471">
        <f t="shared" si="36"/>
        <v>0</v>
      </c>
      <c r="BG12" s="475">
        <f t="shared" si="37"/>
        <v>3.1E-2</v>
      </c>
      <c r="BH12" s="471">
        <f t="shared" si="53"/>
        <v>0</v>
      </c>
      <c r="BI12" s="471">
        <f t="shared" si="38"/>
        <v>0</v>
      </c>
      <c r="BJ12" s="473">
        <f t="shared" si="39"/>
        <v>0</v>
      </c>
      <c r="BK12" s="479">
        <f t="shared" si="40"/>
        <v>0</v>
      </c>
      <c r="BL12" s="480">
        <f t="shared" si="40"/>
        <v>0</v>
      </c>
      <c r="BM12" s="480">
        <f t="shared" si="41"/>
        <v>0</v>
      </c>
      <c r="BN12" s="480">
        <f t="shared" si="41"/>
        <v>0</v>
      </c>
      <c r="BO12" s="480">
        <f t="shared" si="42"/>
        <v>0</v>
      </c>
      <c r="BP12" s="480">
        <f t="shared" si="43"/>
        <v>0</v>
      </c>
      <c r="BQ12" s="480">
        <f t="shared" si="44"/>
        <v>0</v>
      </c>
      <c r="BR12" s="480">
        <f t="shared" si="45"/>
        <v>0</v>
      </c>
      <c r="BS12" s="480">
        <f t="shared" si="46"/>
        <v>0</v>
      </c>
      <c r="BT12" s="480">
        <f t="shared" si="47"/>
        <v>0</v>
      </c>
      <c r="BU12" s="480">
        <f t="shared" si="48"/>
        <v>0</v>
      </c>
      <c r="BV12" s="480">
        <f t="shared" si="49"/>
        <v>0</v>
      </c>
      <c r="BW12" s="38"/>
      <c r="BX12" s="39">
        <f t="shared" si="54"/>
        <v>0</v>
      </c>
      <c r="BY12" s="39">
        <f t="shared" si="55"/>
        <v>0</v>
      </c>
      <c r="BZ12" s="39">
        <f t="shared" si="56"/>
        <v>0</v>
      </c>
      <c r="CA12" s="40"/>
      <c r="CB12" s="40"/>
      <c r="CC12" s="40"/>
    </row>
    <row r="13" spans="1:81" ht="15" hidden="1">
      <c r="A13" s="453">
        <f t="shared" si="57"/>
        <v>4</v>
      </c>
      <c r="B13" s="454" t="s">
        <v>370</v>
      </c>
      <c r="C13" s="486" t="s">
        <v>377</v>
      </c>
      <c r="D13" s="487"/>
      <c r="E13" s="457" t="s">
        <v>372</v>
      </c>
      <c r="F13" s="458"/>
      <c r="G13" s="459">
        <v>10</v>
      </c>
      <c r="H13" s="460">
        <v>10</v>
      </c>
      <c r="I13" s="461" t="s">
        <v>373</v>
      </c>
      <c r="J13" s="462">
        <v>15000</v>
      </c>
      <c r="K13" s="489"/>
      <c r="L13" s="465">
        <v>0</v>
      </c>
      <c r="M13" s="466"/>
      <c r="N13" s="466"/>
      <c r="O13" s="466"/>
      <c r="P13" s="466"/>
      <c r="Q13" s="467">
        <f t="shared" si="6"/>
        <v>15000</v>
      </c>
      <c r="R13" s="483">
        <f t="shared" si="7"/>
        <v>15450</v>
      </c>
      <c r="S13" s="483">
        <f t="shared" si="7"/>
        <v>15913.5</v>
      </c>
      <c r="T13" s="483">
        <f t="shared" si="7"/>
        <v>16390.904999999999</v>
      </c>
      <c r="U13" s="483">
        <f t="shared" si="7"/>
        <v>16882.632149999998</v>
      </c>
      <c r="V13" s="468">
        <f t="shared" si="8"/>
        <v>0</v>
      </c>
      <c r="W13" s="468">
        <f t="shared" si="8"/>
        <v>0</v>
      </c>
      <c r="X13" s="468">
        <f t="shared" si="8"/>
        <v>0</v>
      </c>
      <c r="Y13" s="468">
        <f t="shared" si="8"/>
        <v>0</v>
      </c>
      <c r="Z13" s="468">
        <f t="shared" si="8"/>
        <v>0</v>
      </c>
      <c r="AA13" s="469">
        <f t="shared" si="9"/>
        <v>0</v>
      </c>
      <c r="AB13" s="470">
        <f t="shared" si="10"/>
        <v>0</v>
      </c>
      <c r="AC13" s="471">
        <f t="shared" si="11"/>
        <v>0</v>
      </c>
      <c r="AD13" s="471">
        <f t="shared" si="12"/>
        <v>0</v>
      </c>
      <c r="AE13" s="472">
        <v>1E-3</v>
      </c>
      <c r="AF13" s="471">
        <f t="shared" si="13"/>
        <v>0</v>
      </c>
      <c r="AG13" s="471">
        <f t="shared" si="14"/>
        <v>0</v>
      </c>
      <c r="AH13" s="473">
        <f t="shared" si="15"/>
        <v>0</v>
      </c>
      <c r="AI13" s="484">
        <f t="shared" si="16"/>
        <v>0</v>
      </c>
      <c r="AJ13" s="474">
        <f t="shared" si="17"/>
        <v>0</v>
      </c>
      <c r="AK13" s="471">
        <f t="shared" si="18"/>
        <v>0</v>
      </c>
      <c r="AL13" s="475">
        <f t="shared" si="19"/>
        <v>8.5000000000000006E-3</v>
      </c>
      <c r="AM13" s="471">
        <f t="shared" si="50"/>
        <v>0</v>
      </c>
      <c r="AN13" s="471">
        <f t="shared" si="20"/>
        <v>0</v>
      </c>
      <c r="AO13" s="476">
        <f t="shared" si="21"/>
        <v>0</v>
      </c>
      <c r="AP13" s="484">
        <f t="shared" si="22"/>
        <v>0</v>
      </c>
      <c r="AQ13" s="485">
        <f t="shared" si="23"/>
        <v>0</v>
      </c>
      <c r="AR13" s="471">
        <f t="shared" si="24"/>
        <v>0</v>
      </c>
      <c r="AS13" s="475">
        <f t="shared" si="25"/>
        <v>1.6E-2</v>
      </c>
      <c r="AT13" s="471">
        <f t="shared" si="51"/>
        <v>0</v>
      </c>
      <c r="AU13" s="471">
        <f t="shared" si="26"/>
        <v>0</v>
      </c>
      <c r="AV13" s="476">
        <f t="shared" si="27"/>
        <v>0</v>
      </c>
      <c r="AW13" s="484">
        <f t="shared" si="28"/>
        <v>0</v>
      </c>
      <c r="AX13" s="474">
        <f t="shared" si="29"/>
        <v>0</v>
      </c>
      <c r="AY13" s="471">
        <f t="shared" si="30"/>
        <v>0</v>
      </c>
      <c r="AZ13" s="475">
        <f t="shared" si="31"/>
        <v>2.35E-2</v>
      </c>
      <c r="BA13" s="471">
        <f t="shared" si="52"/>
        <v>0</v>
      </c>
      <c r="BB13" s="471">
        <f t="shared" si="32"/>
        <v>0</v>
      </c>
      <c r="BC13" s="476">
        <f t="shared" si="33"/>
        <v>0</v>
      </c>
      <c r="BD13" s="484">
        <f t="shared" si="34"/>
        <v>0</v>
      </c>
      <c r="BE13" s="474">
        <f t="shared" si="35"/>
        <v>0</v>
      </c>
      <c r="BF13" s="471">
        <f t="shared" si="36"/>
        <v>0</v>
      </c>
      <c r="BG13" s="475">
        <f t="shared" si="37"/>
        <v>3.1E-2</v>
      </c>
      <c r="BH13" s="471">
        <f t="shared" si="53"/>
        <v>0</v>
      </c>
      <c r="BI13" s="471">
        <f t="shared" si="38"/>
        <v>0</v>
      </c>
      <c r="BJ13" s="473">
        <f t="shared" si="39"/>
        <v>0</v>
      </c>
      <c r="BK13" s="479">
        <f t="shared" si="40"/>
        <v>0</v>
      </c>
      <c r="BL13" s="480">
        <f t="shared" si="40"/>
        <v>0</v>
      </c>
      <c r="BM13" s="480">
        <f t="shared" si="41"/>
        <v>0</v>
      </c>
      <c r="BN13" s="480">
        <f t="shared" si="41"/>
        <v>0</v>
      </c>
      <c r="BO13" s="480">
        <f t="shared" si="42"/>
        <v>0</v>
      </c>
      <c r="BP13" s="480">
        <f t="shared" si="43"/>
        <v>0</v>
      </c>
      <c r="BQ13" s="480">
        <f t="shared" si="44"/>
        <v>0</v>
      </c>
      <c r="BR13" s="480">
        <f t="shared" si="45"/>
        <v>0</v>
      </c>
      <c r="BS13" s="480">
        <f t="shared" si="46"/>
        <v>0</v>
      </c>
      <c r="BT13" s="480">
        <f t="shared" si="47"/>
        <v>0</v>
      </c>
      <c r="BU13" s="480">
        <f t="shared" si="48"/>
        <v>0</v>
      </c>
      <c r="BV13" s="480">
        <f t="shared" si="49"/>
        <v>0</v>
      </c>
      <c r="BW13" s="38"/>
      <c r="BX13" s="39">
        <f t="shared" si="54"/>
        <v>0</v>
      </c>
      <c r="BY13" s="39">
        <f t="shared" si="55"/>
        <v>0</v>
      </c>
      <c r="BZ13" s="39">
        <f t="shared" si="56"/>
        <v>0</v>
      </c>
      <c r="CA13" s="40"/>
      <c r="CB13" s="40"/>
      <c r="CC13" s="40"/>
    </row>
    <row r="14" spans="1:81" ht="15" hidden="1">
      <c r="A14" s="453">
        <f t="shared" si="57"/>
        <v>5</v>
      </c>
      <c r="B14" s="454" t="s">
        <v>370</v>
      </c>
      <c r="C14" s="486" t="s">
        <v>378</v>
      </c>
      <c r="D14" s="487"/>
      <c r="E14" s="457" t="s">
        <v>372</v>
      </c>
      <c r="F14" s="458"/>
      <c r="G14" s="459">
        <v>5</v>
      </c>
      <c r="H14" s="460">
        <v>5</v>
      </c>
      <c r="I14" s="461" t="s">
        <v>373</v>
      </c>
      <c r="J14" s="462">
        <v>7500</v>
      </c>
      <c r="K14" s="463"/>
      <c r="L14" s="490">
        <v>0</v>
      </c>
      <c r="M14" s="466"/>
      <c r="N14" s="466"/>
      <c r="O14" s="466"/>
      <c r="P14" s="466"/>
      <c r="Q14" s="467">
        <f t="shared" si="6"/>
        <v>7500</v>
      </c>
      <c r="R14" s="483">
        <f t="shared" si="7"/>
        <v>7725</v>
      </c>
      <c r="S14" s="483">
        <f t="shared" si="7"/>
        <v>7956.75</v>
      </c>
      <c r="T14" s="483">
        <f t="shared" si="7"/>
        <v>8195.4524999999994</v>
      </c>
      <c r="U14" s="483">
        <f t="shared" si="7"/>
        <v>8441.3160749999988</v>
      </c>
      <c r="V14" s="468">
        <f t="shared" si="8"/>
        <v>0</v>
      </c>
      <c r="W14" s="468">
        <f t="shared" si="8"/>
        <v>0</v>
      </c>
      <c r="X14" s="468">
        <f t="shared" si="8"/>
        <v>0</v>
      </c>
      <c r="Y14" s="468">
        <f t="shared" si="8"/>
        <v>0</v>
      </c>
      <c r="Z14" s="468">
        <f t="shared" si="8"/>
        <v>0</v>
      </c>
      <c r="AA14" s="469">
        <f t="shared" si="9"/>
        <v>0</v>
      </c>
      <c r="AB14" s="470">
        <f t="shared" si="10"/>
        <v>0</v>
      </c>
      <c r="AC14" s="471">
        <f t="shared" si="11"/>
        <v>0</v>
      </c>
      <c r="AD14" s="471">
        <f t="shared" si="12"/>
        <v>0</v>
      </c>
      <c r="AE14" s="472">
        <v>1E-3</v>
      </c>
      <c r="AF14" s="471">
        <f t="shared" si="13"/>
        <v>0</v>
      </c>
      <c r="AG14" s="471">
        <f t="shared" si="14"/>
        <v>0</v>
      </c>
      <c r="AH14" s="473">
        <f t="shared" si="15"/>
        <v>0</v>
      </c>
      <c r="AI14" s="484">
        <f t="shared" si="16"/>
        <v>0</v>
      </c>
      <c r="AJ14" s="474">
        <f t="shared" si="17"/>
        <v>0</v>
      </c>
      <c r="AK14" s="471">
        <f t="shared" si="18"/>
        <v>0</v>
      </c>
      <c r="AL14" s="475">
        <f t="shared" si="19"/>
        <v>8.5000000000000006E-3</v>
      </c>
      <c r="AM14" s="471">
        <f t="shared" si="50"/>
        <v>0</v>
      </c>
      <c r="AN14" s="471">
        <f t="shared" si="20"/>
        <v>0</v>
      </c>
      <c r="AO14" s="476">
        <f t="shared" si="21"/>
        <v>0</v>
      </c>
      <c r="AP14" s="484">
        <f t="shared" si="22"/>
        <v>0</v>
      </c>
      <c r="AQ14" s="485">
        <f t="shared" si="23"/>
        <v>0</v>
      </c>
      <c r="AR14" s="471">
        <f t="shared" si="24"/>
        <v>0</v>
      </c>
      <c r="AS14" s="475">
        <f t="shared" si="25"/>
        <v>1.6E-2</v>
      </c>
      <c r="AT14" s="471">
        <f t="shared" si="51"/>
        <v>0</v>
      </c>
      <c r="AU14" s="471">
        <f t="shared" si="26"/>
        <v>0</v>
      </c>
      <c r="AV14" s="476">
        <f t="shared" si="27"/>
        <v>0</v>
      </c>
      <c r="AW14" s="484">
        <f t="shared" si="28"/>
        <v>0</v>
      </c>
      <c r="AX14" s="474">
        <f t="shared" si="29"/>
        <v>0</v>
      </c>
      <c r="AY14" s="471">
        <f t="shared" si="30"/>
        <v>0</v>
      </c>
      <c r="AZ14" s="475">
        <f t="shared" si="31"/>
        <v>2.35E-2</v>
      </c>
      <c r="BA14" s="471">
        <f t="shared" si="52"/>
        <v>0</v>
      </c>
      <c r="BB14" s="471">
        <f t="shared" si="32"/>
        <v>0</v>
      </c>
      <c r="BC14" s="476">
        <f t="shared" si="33"/>
        <v>0</v>
      </c>
      <c r="BD14" s="484">
        <f t="shared" si="34"/>
        <v>0</v>
      </c>
      <c r="BE14" s="474">
        <f t="shared" si="35"/>
        <v>0</v>
      </c>
      <c r="BF14" s="471">
        <f t="shared" si="36"/>
        <v>0</v>
      </c>
      <c r="BG14" s="475">
        <f t="shared" si="37"/>
        <v>3.1E-2</v>
      </c>
      <c r="BH14" s="471">
        <f t="shared" si="53"/>
        <v>0</v>
      </c>
      <c r="BI14" s="471">
        <f t="shared" si="38"/>
        <v>0</v>
      </c>
      <c r="BJ14" s="473">
        <f t="shared" si="39"/>
        <v>0</v>
      </c>
      <c r="BK14" s="479">
        <f t="shared" si="40"/>
        <v>0</v>
      </c>
      <c r="BL14" s="480">
        <f t="shared" si="40"/>
        <v>0</v>
      </c>
      <c r="BM14" s="480">
        <f t="shared" si="41"/>
        <v>0</v>
      </c>
      <c r="BN14" s="480">
        <f t="shared" si="41"/>
        <v>0</v>
      </c>
      <c r="BO14" s="480">
        <f t="shared" si="42"/>
        <v>0</v>
      </c>
      <c r="BP14" s="480">
        <f t="shared" si="43"/>
        <v>0</v>
      </c>
      <c r="BQ14" s="480">
        <f t="shared" si="44"/>
        <v>0</v>
      </c>
      <c r="BR14" s="480">
        <f t="shared" si="45"/>
        <v>0</v>
      </c>
      <c r="BS14" s="480">
        <f t="shared" si="46"/>
        <v>0</v>
      </c>
      <c r="BT14" s="480">
        <f t="shared" si="47"/>
        <v>0</v>
      </c>
      <c r="BU14" s="480">
        <f t="shared" si="48"/>
        <v>0</v>
      </c>
      <c r="BV14" s="480">
        <f t="shared" si="49"/>
        <v>0</v>
      </c>
      <c r="BW14" s="38"/>
      <c r="BX14" s="39">
        <f t="shared" si="54"/>
        <v>0</v>
      </c>
      <c r="BY14" s="39">
        <f t="shared" si="55"/>
        <v>0</v>
      </c>
      <c r="BZ14" s="39">
        <f t="shared" si="56"/>
        <v>0</v>
      </c>
      <c r="CA14" s="40"/>
      <c r="CB14" s="40"/>
      <c r="CC14" s="40"/>
    </row>
    <row r="15" spans="1:81" ht="15" hidden="1">
      <c r="A15" s="453">
        <f t="shared" si="57"/>
        <v>6</v>
      </c>
      <c r="B15" s="454" t="s">
        <v>370</v>
      </c>
      <c r="C15" s="486" t="s">
        <v>379</v>
      </c>
      <c r="D15" s="487"/>
      <c r="E15" s="457" t="s">
        <v>372</v>
      </c>
      <c r="F15" s="458"/>
      <c r="G15" s="459">
        <v>5</v>
      </c>
      <c r="H15" s="460">
        <v>5</v>
      </c>
      <c r="I15" s="461" t="s">
        <v>373</v>
      </c>
      <c r="J15" s="462">
        <v>8500</v>
      </c>
      <c r="K15" s="463"/>
      <c r="L15" s="490">
        <v>0</v>
      </c>
      <c r="M15" s="466"/>
      <c r="N15" s="466"/>
      <c r="O15" s="466"/>
      <c r="P15" s="466"/>
      <c r="Q15" s="467">
        <f t="shared" si="6"/>
        <v>8500</v>
      </c>
      <c r="R15" s="483">
        <f t="shared" si="7"/>
        <v>8755</v>
      </c>
      <c r="S15" s="483">
        <f t="shared" si="7"/>
        <v>9017.65</v>
      </c>
      <c r="T15" s="483">
        <f t="shared" si="7"/>
        <v>9288.1795000000002</v>
      </c>
      <c r="U15" s="483">
        <f t="shared" si="7"/>
        <v>9566.824885</v>
      </c>
      <c r="V15" s="468">
        <f t="shared" si="8"/>
        <v>0</v>
      </c>
      <c r="W15" s="468">
        <f t="shared" si="8"/>
        <v>0</v>
      </c>
      <c r="X15" s="468">
        <f t="shared" si="8"/>
        <v>0</v>
      </c>
      <c r="Y15" s="468">
        <f t="shared" si="8"/>
        <v>0</v>
      </c>
      <c r="Z15" s="468">
        <f t="shared" si="8"/>
        <v>0</v>
      </c>
      <c r="AA15" s="469">
        <f t="shared" si="9"/>
        <v>0</v>
      </c>
      <c r="AB15" s="470">
        <f t="shared" si="10"/>
        <v>0</v>
      </c>
      <c r="AC15" s="471">
        <f t="shared" si="11"/>
        <v>0</v>
      </c>
      <c r="AD15" s="471">
        <f t="shared" si="12"/>
        <v>0</v>
      </c>
      <c r="AE15" s="472">
        <v>1E-3</v>
      </c>
      <c r="AF15" s="471">
        <f t="shared" si="13"/>
        <v>0</v>
      </c>
      <c r="AG15" s="471">
        <f t="shared" si="14"/>
        <v>0</v>
      </c>
      <c r="AH15" s="473">
        <f t="shared" si="15"/>
        <v>0</v>
      </c>
      <c r="AI15" s="484">
        <f t="shared" si="16"/>
        <v>0</v>
      </c>
      <c r="AJ15" s="474">
        <f t="shared" si="17"/>
        <v>0</v>
      </c>
      <c r="AK15" s="471">
        <f t="shared" si="18"/>
        <v>0</v>
      </c>
      <c r="AL15" s="475">
        <f t="shared" si="19"/>
        <v>8.5000000000000006E-3</v>
      </c>
      <c r="AM15" s="471">
        <f t="shared" si="50"/>
        <v>0</v>
      </c>
      <c r="AN15" s="471">
        <f t="shared" si="20"/>
        <v>0</v>
      </c>
      <c r="AO15" s="476">
        <f t="shared" si="21"/>
        <v>0</v>
      </c>
      <c r="AP15" s="484">
        <f t="shared" si="22"/>
        <v>0</v>
      </c>
      <c r="AQ15" s="485">
        <f t="shared" si="23"/>
        <v>0</v>
      </c>
      <c r="AR15" s="471">
        <f t="shared" si="24"/>
        <v>0</v>
      </c>
      <c r="AS15" s="475">
        <f t="shared" si="25"/>
        <v>1.6E-2</v>
      </c>
      <c r="AT15" s="471">
        <f t="shared" si="51"/>
        <v>0</v>
      </c>
      <c r="AU15" s="471">
        <f t="shared" si="26"/>
        <v>0</v>
      </c>
      <c r="AV15" s="476">
        <f t="shared" si="27"/>
        <v>0</v>
      </c>
      <c r="AW15" s="484">
        <f t="shared" si="28"/>
        <v>0</v>
      </c>
      <c r="AX15" s="474">
        <f t="shared" si="29"/>
        <v>0</v>
      </c>
      <c r="AY15" s="471">
        <f t="shared" si="30"/>
        <v>0</v>
      </c>
      <c r="AZ15" s="475">
        <f t="shared" si="31"/>
        <v>2.35E-2</v>
      </c>
      <c r="BA15" s="471">
        <f t="shared" si="52"/>
        <v>0</v>
      </c>
      <c r="BB15" s="471">
        <f t="shared" si="32"/>
        <v>0</v>
      </c>
      <c r="BC15" s="476">
        <f t="shared" si="33"/>
        <v>0</v>
      </c>
      <c r="BD15" s="484">
        <f t="shared" si="34"/>
        <v>0</v>
      </c>
      <c r="BE15" s="474">
        <f t="shared" si="35"/>
        <v>0</v>
      </c>
      <c r="BF15" s="471">
        <f t="shared" si="36"/>
        <v>0</v>
      </c>
      <c r="BG15" s="475">
        <f t="shared" si="37"/>
        <v>3.1E-2</v>
      </c>
      <c r="BH15" s="471">
        <f t="shared" si="53"/>
        <v>0</v>
      </c>
      <c r="BI15" s="471">
        <f t="shared" si="38"/>
        <v>0</v>
      </c>
      <c r="BJ15" s="473">
        <f t="shared" si="39"/>
        <v>0</v>
      </c>
      <c r="BK15" s="479">
        <f t="shared" si="40"/>
        <v>0</v>
      </c>
      <c r="BL15" s="480">
        <f t="shared" si="40"/>
        <v>0</v>
      </c>
      <c r="BM15" s="480">
        <f t="shared" si="41"/>
        <v>0</v>
      </c>
      <c r="BN15" s="480">
        <f t="shared" si="41"/>
        <v>0</v>
      </c>
      <c r="BO15" s="480">
        <f t="shared" si="42"/>
        <v>0</v>
      </c>
      <c r="BP15" s="480">
        <f t="shared" si="43"/>
        <v>0</v>
      </c>
      <c r="BQ15" s="480">
        <f t="shared" si="44"/>
        <v>0</v>
      </c>
      <c r="BR15" s="480">
        <f t="shared" si="45"/>
        <v>0</v>
      </c>
      <c r="BS15" s="480">
        <f t="shared" si="46"/>
        <v>0</v>
      </c>
      <c r="BT15" s="480">
        <f t="shared" si="47"/>
        <v>0</v>
      </c>
      <c r="BU15" s="480">
        <f t="shared" si="48"/>
        <v>0</v>
      </c>
      <c r="BV15" s="480">
        <f t="shared" si="49"/>
        <v>0</v>
      </c>
      <c r="BW15" s="38"/>
      <c r="BX15" s="39">
        <f t="shared" si="54"/>
        <v>0</v>
      </c>
      <c r="BY15" s="39">
        <f t="shared" si="55"/>
        <v>0</v>
      </c>
      <c r="BZ15" s="39">
        <f t="shared" si="56"/>
        <v>0</v>
      </c>
      <c r="CA15" s="40"/>
      <c r="CB15" s="40"/>
      <c r="CC15" s="40"/>
    </row>
    <row r="16" spans="1:81" ht="15" hidden="1">
      <c r="A16" s="453">
        <f t="shared" si="57"/>
        <v>7</v>
      </c>
      <c r="B16" s="454" t="s">
        <v>370</v>
      </c>
      <c r="C16" s="486" t="s">
        <v>380</v>
      </c>
      <c r="D16" s="487"/>
      <c r="E16" s="457" t="s">
        <v>381</v>
      </c>
      <c r="F16" s="458"/>
      <c r="G16" s="459">
        <v>5</v>
      </c>
      <c r="H16" s="460">
        <v>5</v>
      </c>
      <c r="I16" s="461" t="s">
        <v>373</v>
      </c>
      <c r="J16" s="462">
        <v>500</v>
      </c>
      <c r="K16" s="482"/>
      <c r="L16" s="491">
        <v>0</v>
      </c>
      <c r="M16" s="491"/>
      <c r="N16" s="491"/>
      <c r="O16" s="466"/>
      <c r="P16" s="466"/>
      <c r="Q16" s="467">
        <f t="shared" si="6"/>
        <v>500</v>
      </c>
      <c r="R16" s="483">
        <f t="shared" si="7"/>
        <v>515</v>
      </c>
      <c r="S16" s="483">
        <f t="shared" si="7"/>
        <v>530.45000000000005</v>
      </c>
      <c r="T16" s="483">
        <f t="shared" si="7"/>
        <v>546.36350000000004</v>
      </c>
      <c r="U16" s="483">
        <f t="shared" si="7"/>
        <v>562.75440500000002</v>
      </c>
      <c r="V16" s="468">
        <f t="shared" si="8"/>
        <v>0</v>
      </c>
      <c r="W16" s="468">
        <f t="shared" si="8"/>
        <v>0</v>
      </c>
      <c r="X16" s="468">
        <f t="shared" si="8"/>
        <v>0</v>
      </c>
      <c r="Y16" s="468">
        <f t="shared" si="8"/>
        <v>0</v>
      </c>
      <c r="Z16" s="468">
        <f t="shared" si="8"/>
        <v>0</v>
      </c>
      <c r="AA16" s="469">
        <f t="shared" si="9"/>
        <v>0</v>
      </c>
      <c r="AB16" s="470">
        <f t="shared" si="10"/>
        <v>0</v>
      </c>
      <c r="AC16" s="471">
        <f t="shared" si="11"/>
        <v>0</v>
      </c>
      <c r="AD16" s="471">
        <f t="shared" si="12"/>
        <v>0</v>
      </c>
      <c r="AE16" s="472">
        <v>0.05</v>
      </c>
      <c r="AF16" s="471">
        <f t="shared" si="13"/>
        <v>0</v>
      </c>
      <c r="AG16" s="471">
        <f t="shared" si="14"/>
        <v>0</v>
      </c>
      <c r="AH16" s="473">
        <f t="shared" si="15"/>
        <v>0</v>
      </c>
      <c r="AI16" s="484">
        <f t="shared" si="16"/>
        <v>0</v>
      </c>
      <c r="AJ16" s="474">
        <f t="shared" si="17"/>
        <v>0</v>
      </c>
      <c r="AK16" s="471">
        <f t="shared" si="18"/>
        <v>0</v>
      </c>
      <c r="AL16" s="475">
        <f t="shared" si="19"/>
        <v>5.7500000000000002E-2</v>
      </c>
      <c r="AM16" s="471">
        <f t="shared" si="50"/>
        <v>0</v>
      </c>
      <c r="AN16" s="471">
        <f t="shared" si="20"/>
        <v>0</v>
      </c>
      <c r="AO16" s="476">
        <f t="shared" si="21"/>
        <v>0</v>
      </c>
      <c r="AP16" s="484">
        <f t="shared" si="22"/>
        <v>0</v>
      </c>
      <c r="AQ16" s="485">
        <f t="shared" si="23"/>
        <v>0</v>
      </c>
      <c r="AR16" s="471">
        <f t="shared" si="24"/>
        <v>0</v>
      </c>
      <c r="AS16" s="475">
        <f t="shared" si="25"/>
        <v>6.5000000000000002E-2</v>
      </c>
      <c r="AT16" s="471">
        <f t="shared" si="51"/>
        <v>0</v>
      </c>
      <c r="AU16" s="471">
        <f t="shared" si="26"/>
        <v>0</v>
      </c>
      <c r="AV16" s="476">
        <f t="shared" si="27"/>
        <v>0</v>
      </c>
      <c r="AW16" s="484">
        <f t="shared" si="28"/>
        <v>0</v>
      </c>
      <c r="AX16" s="474">
        <f t="shared" si="29"/>
        <v>0</v>
      </c>
      <c r="AY16" s="471">
        <f t="shared" si="30"/>
        <v>0</v>
      </c>
      <c r="AZ16" s="475">
        <f t="shared" si="31"/>
        <v>7.2500000000000009E-2</v>
      </c>
      <c r="BA16" s="471">
        <f t="shared" si="52"/>
        <v>0</v>
      </c>
      <c r="BB16" s="471">
        <f t="shared" si="32"/>
        <v>0</v>
      </c>
      <c r="BC16" s="476">
        <f t="shared" si="33"/>
        <v>0</v>
      </c>
      <c r="BD16" s="484">
        <f t="shared" si="34"/>
        <v>0</v>
      </c>
      <c r="BE16" s="474">
        <f t="shared" si="35"/>
        <v>0</v>
      </c>
      <c r="BF16" s="471">
        <f t="shared" si="36"/>
        <v>0</v>
      </c>
      <c r="BG16" s="475">
        <f t="shared" si="37"/>
        <v>8.0000000000000016E-2</v>
      </c>
      <c r="BH16" s="471">
        <f t="shared" si="53"/>
        <v>0</v>
      </c>
      <c r="BI16" s="471">
        <f t="shared" si="38"/>
        <v>0</v>
      </c>
      <c r="BJ16" s="473">
        <f t="shared" si="39"/>
        <v>0</v>
      </c>
      <c r="BK16" s="479">
        <f t="shared" si="40"/>
        <v>0</v>
      </c>
      <c r="BL16" s="480">
        <f t="shared" si="40"/>
        <v>0</v>
      </c>
      <c r="BM16" s="480">
        <f t="shared" si="41"/>
        <v>0</v>
      </c>
      <c r="BN16" s="480">
        <f t="shared" si="41"/>
        <v>0</v>
      </c>
      <c r="BO16" s="480">
        <f t="shared" si="42"/>
        <v>0</v>
      </c>
      <c r="BP16" s="480">
        <f t="shared" si="43"/>
        <v>0</v>
      </c>
      <c r="BQ16" s="480">
        <f t="shared" si="44"/>
        <v>0</v>
      </c>
      <c r="BR16" s="480">
        <f t="shared" si="45"/>
        <v>0</v>
      </c>
      <c r="BS16" s="480">
        <f t="shared" si="46"/>
        <v>0</v>
      </c>
      <c r="BT16" s="480">
        <f t="shared" si="47"/>
        <v>0</v>
      </c>
      <c r="BU16" s="480">
        <f t="shared" si="48"/>
        <v>0</v>
      </c>
      <c r="BV16" s="480">
        <f t="shared" si="49"/>
        <v>0</v>
      </c>
      <c r="BW16" s="38"/>
      <c r="BX16" s="39">
        <f t="shared" si="54"/>
        <v>0</v>
      </c>
      <c r="BY16" s="39">
        <f t="shared" si="55"/>
        <v>0</v>
      </c>
      <c r="BZ16" s="39">
        <f t="shared" si="56"/>
        <v>0</v>
      </c>
      <c r="CA16" s="40"/>
      <c r="CB16" s="40"/>
      <c r="CC16" s="40"/>
    </row>
    <row r="17" spans="1:81" ht="15">
      <c r="A17" s="453">
        <f t="shared" si="57"/>
        <v>8</v>
      </c>
      <c r="B17" s="454" t="s">
        <v>382</v>
      </c>
      <c r="C17" s="455" t="s">
        <v>383</v>
      </c>
      <c r="D17" s="456"/>
      <c r="E17" s="457" t="s">
        <v>372</v>
      </c>
      <c r="F17" s="458"/>
      <c r="G17" s="459">
        <v>3</v>
      </c>
      <c r="H17" s="460">
        <v>3</v>
      </c>
      <c r="I17" s="461" t="s">
        <v>373</v>
      </c>
      <c r="J17" s="462">
        <v>58500</v>
      </c>
      <c r="K17" s="463"/>
      <c r="L17" s="490">
        <v>0</v>
      </c>
      <c r="M17" s="465"/>
      <c r="N17" s="465"/>
      <c r="O17" s="465"/>
      <c r="P17" s="465"/>
      <c r="Q17" s="467">
        <f t="shared" si="6"/>
        <v>58500</v>
      </c>
      <c r="R17" s="483">
        <f t="shared" si="7"/>
        <v>60255</v>
      </c>
      <c r="S17" s="483">
        <f t="shared" si="7"/>
        <v>62062.65</v>
      </c>
      <c r="T17" s="483">
        <f t="shared" si="7"/>
        <v>63924.529500000004</v>
      </c>
      <c r="U17" s="483">
        <f t="shared" si="7"/>
        <v>65842.265385000006</v>
      </c>
      <c r="V17" s="468">
        <f t="shared" si="8"/>
        <v>0</v>
      </c>
      <c r="W17" s="468">
        <f t="shared" si="8"/>
        <v>0</v>
      </c>
      <c r="X17" s="468">
        <f t="shared" si="8"/>
        <v>0</v>
      </c>
      <c r="Y17" s="468">
        <f t="shared" si="8"/>
        <v>0</v>
      </c>
      <c r="Z17" s="468">
        <f t="shared" si="8"/>
        <v>0</v>
      </c>
      <c r="AA17" s="469">
        <f t="shared" si="9"/>
        <v>0</v>
      </c>
      <c r="AB17" s="470">
        <f t="shared" si="10"/>
        <v>0</v>
      </c>
      <c r="AC17" s="471">
        <f t="shared" si="11"/>
        <v>0</v>
      </c>
      <c r="AD17" s="471">
        <f t="shared" si="12"/>
        <v>0</v>
      </c>
      <c r="AE17" s="472">
        <v>0.05</v>
      </c>
      <c r="AF17" s="471">
        <f t="shared" si="13"/>
        <v>0</v>
      </c>
      <c r="AG17" s="471">
        <f t="shared" si="14"/>
        <v>0</v>
      </c>
      <c r="AH17" s="473">
        <f t="shared" si="15"/>
        <v>0</v>
      </c>
      <c r="AI17" s="484">
        <f t="shared" si="16"/>
        <v>0</v>
      </c>
      <c r="AJ17" s="474">
        <f t="shared" si="17"/>
        <v>0</v>
      </c>
      <c r="AK17" s="471">
        <f t="shared" si="18"/>
        <v>0</v>
      </c>
      <c r="AL17" s="475">
        <f t="shared" si="19"/>
        <v>5.7500000000000002E-2</v>
      </c>
      <c r="AM17" s="471">
        <f t="shared" si="50"/>
        <v>0</v>
      </c>
      <c r="AN17" s="471">
        <f t="shared" si="20"/>
        <v>0</v>
      </c>
      <c r="AO17" s="476">
        <f t="shared" si="21"/>
        <v>0</v>
      </c>
      <c r="AP17" s="484">
        <f t="shared" si="22"/>
        <v>0</v>
      </c>
      <c r="AQ17" s="485">
        <f t="shared" si="23"/>
        <v>0</v>
      </c>
      <c r="AR17" s="471">
        <f t="shared" si="24"/>
        <v>0</v>
      </c>
      <c r="AS17" s="475">
        <f t="shared" si="25"/>
        <v>6.5000000000000002E-2</v>
      </c>
      <c r="AT17" s="471">
        <f t="shared" si="51"/>
        <v>0</v>
      </c>
      <c r="AU17" s="471">
        <f t="shared" si="26"/>
        <v>0</v>
      </c>
      <c r="AV17" s="476">
        <f t="shared" si="27"/>
        <v>0</v>
      </c>
      <c r="AW17" s="484">
        <f t="shared" si="28"/>
        <v>0</v>
      </c>
      <c r="AX17" s="485">
        <f t="shared" si="29"/>
        <v>0</v>
      </c>
      <c r="AY17" s="471">
        <f t="shared" si="30"/>
        <v>0</v>
      </c>
      <c r="AZ17" s="475">
        <f t="shared" si="31"/>
        <v>7.2500000000000009E-2</v>
      </c>
      <c r="BA17" s="471">
        <f t="shared" si="52"/>
        <v>0</v>
      </c>
      <c r="BB17" s="471">
        <f t="shared" si="32"/>
        <v>0</v>
      </c>
      <c r="BC17" s="476">
        <f t="shared" si="33"/>
        <v>0</v>
      </c>
      <c r="BD17" s="484">
        <f t="shared" si="34"/>
        <v>0</v>
      </c>
      <c r="BE17" s="474">
        <f t="shared" si="35"/>
        <v>0</v>
      </c>
      <c r="BF17" s="471">
        <f t="shared" si="36"/>
        <v>0</v>
      </c>
      <c r="BG17" s="475">
        <f t="shared" si="37"/>
        <v>8.0000000000000016E-2</v>
      </c>
      <c r="BH17" s="471">
        <f t="shared" si="53"/>
        <v>0</v>
      </c>
      <c r="BI17" s="471">
        <f t="shared" si="38"/>
        <v>0</v>
      </c>
      <c r="BJ17" s="473">
        <f t="shared" si="39"/>
        <v>0</v>
      </c>
      <c r="BK17" s="479">
        <f t="shared" si="40"/>
        <v>0</v>
      </c>
      <c r="BL17" s="480">
        <f t="shared" si="40"/>
        <v>0</v>
      </c>
      <c r="BM17" s="480">
        <f t="shared" si="41"/>
        <v>0</v>
      </c>
      <c r="BN17" s="480">
        <f t="shared" si="41"/>
        <v>0</v>
      </c>
      <c r="BO17" s="480">
        <f t="shared" si="42"/>
        <v>0</v>
      </c>
      <c r="BP17" s="480">
        <f t="shared" si="43"/>
        <v>0</v>
      </c>
      <c r="BQ17" s="480">
        <f t="shared" si="44"/>
        <v>0</v>
      </c>
      <c r="BR17" s="480">
        <f t="shared" si="45"/>
        <v>0</v>
      </c>
      <c r="BS17" s="480">
        <f t="shared" si="46"/>
        <v>0</v>
      </c>
      <c r="BT17" s="480">
        <f t="shared" si="47"/>
        <v>0</v>
      </c>
      <c r="BU17" s="480">
        <f t="shared" si="48"/>
        <v>0</v>
      </c>
      <c r="BV17" s="480">
        <f t="shared" si="49"/>
        <v>0</v>
      </c>
      <c r="BW17" s="41"/>
      <c r="BX17" s="39">
        <f t="shared" si="54"/>
        <v>0</v>
      </c>
      <c r="BY17" s="39">
        <f t="shared" si="55"/>
        <v>0</v>
      </c>
      <c r="BZ17" s="39">
        <f t="shared" si="56"/>
        <v>0</v>
      </c>
      <c r="CA17" s="40" t="s">
        <v>374</v>
      </c>
      <c r="CB17" s="40"/>
      <c r="CC17" s="40"/>
    </row>
    <row r="18" spans="1:81" ht="15">
      <c r="A18" s="453">
        <f t="shared" si="57"/>
        <v>9</v>
      </c>
      <c r="B18" s="454" t="s">
        <v>382</v>
      </c>
      <c r="C18" s="492" t="s">
        <v>384</v>
      </c>
      <c r="D18" s="456"/>
      <c r="E18" s="457" t="s">
        <v>372</v>
      </c>
      <c r="F18" s="458"/>
      <c r="G18" s="459">
        <v>3</v>
      </c>
      <c r="H18" s="460">
        <v>3</v>
      </c>
      <c r="I18" s="461" t="s">
        <v>373</v>
      </c>
      <c r="J18" s="462">
        <v>65000</v>
      </c>
      <c r="K18" s="463"/>
      <c r="L18" s="490">
        <v>0</v>
      </c>
      <c r="M18" s="465"/>
      <c r="N18" s="465"/>
      <c r="O18" s="465"/>
      <c r="P18" s="465"/>
      <c r="Q18" s="467">
        <f t="shared" si="6"/>
        <v>65000</v>
      </c>
      <c r="R18" s="483">
        <f t="shared" si="7"/>
        <v>66950</v>
      </c>
      <c r="S18" s="483">
        <f t="shared" si="7"/>
        <v>68958.5</v>
      </c>
      <c r="T18" s="483">
        <f t="shared" si="7"/>
        <v>71027.255000000005</v>
      </c>
      <c r="U18" s="483">
        <f t="shared" si="7"/>
        <v>73158.072650000002</v>
      </c>
      <c r="V18" s="468">
        <f t="shared" si="8"/>
        <v>0</v>
      </c>
      <c r="W18" s="468">
        <f t="shared" si="8"/>
        <v>0</v>
      </c>
      <c r="X18" s="468">
        <f t="shared" si="8"/>
        <v>0</v>
      </c>
      <c r="Y18" s="468">
        <f t="shared" si="8"/>
        <v>0</v>
      </c>
      <c r="Z18" s="468">
        <f t="shared" si="8"/>
        <v>0</v>
      </c>
      <c r="AA18" s="469">
        <f t="shared" si="9"/>
        <v>0</v>
      </c>
      <c r="AB18" s="470">
        <f t="shared" si="10"/>
        <v>0</v>
      </c>
      <c r="AC18" s="471">
        <f t="shared" si="11"/>
        <v>0</v>
      </c>
      <c r="AD18" s="471">
        <f t="shared" si="12"/>
        <v>0</v>
      </c>
      <c r="AE18" s="472">
        <v>0.05</v>
      </c>
      <c r="AF18" s="471">
        <f t="shared" si="13"/>
        <v>0</v>
      </c>
      <c r="AG18" s="471">
        <f t="shared" si="14"/>
        <v>0</v>
      </c>
      <c r="AH18" s="473">
        <f t="shared" si="15"/>
        <v>0</v>
      </c>
      <c r="AI18" s="484">
        <f t="shared" si="16"/>
        <v>0</v>
      </c>
      <c r="AJ18" s="474">
        <f t="shared" si="17"/>
        <v>0</v>
      </c>
      <c r="AK18" s="471">
        <f t="shared" si="18"/>
        <v>0</v>
      </c>
      <c r="AL18" s="475">
        <f t="shared" si="19"/>
        <v>5.7500000000000002E-2</v>
      </c>
      <c r="AM18" s="471">
        <f t="shared" si="50"/>
        <v>0</v>
      </c>
      <c r="AN18" s="471">
        <f t="shared" si="20"/>
        <v>0</v>
      </c>
      <c r="AO18" s="476">
        <f t="shared" si="21"/>
        <v>0</v>
      </c>
      <c r="AP18" s="484">
        <f t="shared" si="22"/>
        <v>0</v>
      </c>
      <c r="AQ18" s="485">
        <f t="shared" si="23"/>
        <v>0</v>
      </c>
      <c r="AR18" s="471">
        <f t="shared" si="24"/>
        <v>0</v>
      </c>
      <c r="AS18" s="475">
        <f t="shared" si="25"/>
        <v>6.5000000000000002E-2</v>
      </c>
      <c r="AT18" s="471">
        <f t="shared" si="51"/>
        <v>0</v>
      </c>
      <c r="AU18" s="471">
        <f t="shared" si="26"/>
        <v>0</v>
      </c>
      <c r="AV18" s="476">
        <f t="shared" si="27"/>
        <v>0</v>
      </c>
      <c r="AW18" s="484">
        <f t="shared" si="28"/>
        <v>0</v>
      </c>
      <c r="AX18" s="485">
        <f t="shared" si="29"/>
        <v>0</v>
      </c>
      <c r="AY18" s="471">
        <f t="shared" si="30"/>
        <v>0</v>
      </c>
      <c r="AZ18" s="475">
        <f t="shared" si="31"/>
        <v>7.2500000000000009E-2</v>
      </c>
      <c r="BA18" s="471">
        <f t="shared" si="52"/>
        <v>0</v>
      </c>
      <c r="BB18" s="471">
        <f t="shared" si="32"/>
        <v>0</v>
      </c>
      <c r="BC18" s="476">
        <f t="shared" si="33"/>
        <v>0</v>
      </c>
      <c r="BD18" s="484">
        <f t="shared" si="34"/>
        <v>0</v>
      </c>
      <c r="BE18" s="474">
        <f t="shared" si="35"/>
        <v>0</v>
      </c>
      <c r="BF18" s="471">
        <f t="shared" si="36"/>
        <v>0</v>
      </c>
      <c r="BG18" s="475">
        <f t="shared" si="37"/>
        <v>8.0000000000000016E-2</v>
      </c>
      <c r="BH18" s="471">
        <f t="shared" si="53"/>
        <v>0</v>
      </c>
      <c r="BI18" s="471">
        <f t="shared" si="38"/>
        <v>0</v>
      </c>
      <c r="BJ18" s="473">
        <f t="shared" si="39"/>
        <v>0</v>
      </c>
      <c r="BK18" s="479">
        <f t="shared" si="40"/>
        <v>0</v>
      </c>
      <c r="BL18" s="480">
        <f t="shared" si="40"/>
        <v>0</v>
      </c>
      <c r="BM18" s="480">
        <f t="shared" si="41"/>
        <v>0</v>
      </c>
      <c r="BN18" s="480">
        <f t="shared" si="41"/>
        <v>0</v>
      </c>
      <c r="BO18" s="480">
        <f t="shared" si="42"/>
        <v>0</v>
      </c>
      <c r="BP18" s="480">
        <f t="shared" si="43"/>
        <v>0</v>
      </c>
      <c r="BQ18" s="480">
        <f t="shared" si="44"/>
        <v>0</v>
      </c>
      <c r="BR18" s="480">
        <f t="shared" si="45"/>
        <v>0</v>
      </c>
      <c r="BS18" s="480">
        <f t="shared" si="46"/>
        <v>0</v>
      </c>
      <c r="BT18" s="480">
        <f t="shared" si="47"/>
        <v>0</v>
      </c>
      <c r="BU18" s="480">
        <f t="shared" si="48"/>
        <v>0</v>
      </c>
      <c r="BV18" s="480">
        <f t="shared" si="49"/>
        <v>0</v>
      </c>
      <c r="BW18" s="41"/>
      <c r="BX18" s="39">
        <f t="shared" si="54"/>
        <v>0</v>
      </c>
      <c r="BY18" s="39">
        <f t="shared" si="55"/>
        <v>0</v>
      </c>
      <c r="BZ18" s="39">
        <f t="shared" si="56"/>
        <v>0</v>
      </c>
      <c r="CA18" s="40" t="s">
        <v>374</v>
      </c>
      <c r="CB18" s="40"/>
      <c r="CC18" s="40"/>
    </row>
    <row r="19" spans="1:81" ht="15" hidden="1">
      <c r="A19" s="453">
        <f t="shared" si="57"/>
        <v>10</v>
      </c>
      <c r="B19" s="454" t="s">
        <v>382</v>
      </c>
      <c r="C19" s="492" t="s">
        <v>385</v>
      </c>
      <c r="D19" s="456"/>
      <c r="E19" s="457" t="s">
        <v>381</v>
      </c>
      <c r="F19" s="458"/>
      <c r="G19" s="459">
        <v>3</v>
      </c>
      <c r="H19" s="460">
        <v>3</v>
      </c>
      <c r="I19" s="461" t="s">
        <v>373</v>
      </c>
      <c r="J19" s="462">
        <v>48000</v>
      </c>
      <c r="K19" s="489"/>
      <c r="L19" s="465">
        <v>0</v>
      </c>
      <c r="M19" s="466"/>
      <c r="N19" s="466"/>
      <c r="O19" s="466"/>
      <c r="P19" s="466"/>
      <c r="Q19" s="467">
        <f t="shared" si="6"/>
        <v>48000</v>
      </c>
      <c r="R19" s="483">
        <f t="shared" si="7"/>
        <v>49440</v>
      </c>
      <c r="S19" s="483">
        <f t="shared" si="7"/>
        <v>50923.199999999997</v>
      </c>
      <c r="T19" s="483">
        <f t="shared" si="7"/>
        <v>52450.895999999993</v>
      </c>
      <c r="U19" s="483">
        <f t="shared" si="7"/>
        <v>54024.422879999991</v>
      </c>
      <c r="V19" s="468">
        <f t="shared" si="8"/>
        <v>0</v>
      </c>
      <c r="W19" s="468">
        <f t="shared" si="8"/>
        <v>0</v>
      </c>
      <c r="X19" s="468">
        <f t="shared" si="8"/>
        <v>0</v>
      </c>
      <c r="Y19" s="468">
        <f t="shared" si="8"/>
        <v>0</v>
      </c>
      <c r="Z19" s="468">
        <f t="shared" si="8"/>
        <v>0</v>
      </c>
      <c r="AA19" s="469">
        <f t="shared" si="9"/>
        <v>0</v>
      </c>
      <c r="AB19" s="470">
        <f t="shared" si="10"/>
        <v>0</v>
      </c>
      <c r="AC19" s="471">
        <f t="shared" si="11"/>
        <v>0</v>
      </c>
      <c r="AD19" s="471">
        <f t="shared" si="12"/>
        <v>0</v>
      </c>
      <c r="AE19" s="472">
        <v>0.05</v>
      </c>
      <c r="AF19" s="471">
        <f t="shared" si="13"/>
        <v>0</v>
      </c>
      <c r="AG19" s="471">
        <f t="shared" si="14"/>
        <v>0</v>
      </c>
      <c r="AH19" s="473">
        <f t="shared" si="15"/>
        <v>0</v>
      </c>
      <c r="AI19" s="484">
        <f t="shared" si="16"/>
        <v>0</v>
      </c>
      <c r="AJ19" s="474">
        <f t="shared" si="17"/>
        <v>0</v>
      </c>
      <c r="AK19" s="471">
        <f t="shared" si="18"/>
        <v>0</v>
      </c>
      <c r="AL19" s="475">
        <f t="shared" si="19"/>
        <v>5.7500000000000002E-2</v>
      </c>
      <c r="AM19" s="471">
        <f t="shared" si="50"/>
        <v>0</v>
      </c>
      <c r="AN19" s="471">
        <f t="shared" si="20"/>
        <v>0</v>
      </c>
      <c r="AO19" s="476">
        <f t="shared" si="21"/>
        <v>0</v>
      </c>
      <c r="AP19" s="484">
        <f t="shared" si="22"/>
        <v>0</v>
      </c>
      <c r="AQ19" s="485">
        <f t="shared" si="23"/>
        <v>0</v>
      </c>
      <c r="AR19" s="471">
        <f t="shared" si="24"/>
        <v>0</v>
      </c>
      <c r="AS19" s="475">
        <f t="shared" si="25"/>
        <v>6.5000000000000002E-2</v>
      </c>
      <c r="AT19" s="471">
        <f t="shared" si="51"/>
        <v>0</v>
      </c>
      <c r="AU19" s="471">
        <f t="shared" si="26"/>
        <v>0</v>
      </c>
      <c r="AV19" s="476">
        <f t="shared" si="27"/>
        <v>0</v>
      </c>
      <c r="AW19" s="484">
        <f t="shared" si="28"/>
        <v>0</v>
      </c>
      <c r="AX19" s="485">
        <f t="shared" si="29"/>
        <v>0</v>
      </c>
      <c r="AY19" s="471">
        <f t="shared" si="30"/>
        <v>0</v>
      </c>
      <c r="AZ19" s="475">
        <f t="shared" si="31"/>
        <v>7.2500000000000009E-2</v>
      </c>
      <c r="BA19" s="471">
        <f t="shared" si="52"/>
        <v>0</v>
      </c>
      <c r="BB19" s="471">
        <f t="shared" si="32"/>
        <v>0</v>
      </c>
      <c r="BC19" s="476">
        <f t="shared" si="33"/>
        <v>0</v>
      </c>
      <c r="BD19" s="484">
        <f t="shared" si="34"/>
        <v>0</v>
      </c>
      <c r="BE19" s="474">
        <f t="shared" si="35"/>
        <v>0</v>
      </c>
      <c r="BF19" s="471">
        <f t="shared" si="36"/>
        <v>0</v>
      </c>
      <c r="BG19" s="475">
        <f t="shared" si="37"/>
        <v>8.0000000000000016E-2</v>
      </c>
      <c r="BH19" s="471">
        <f t="shared" si="53"/>
        <v>0</v>
      </c>
      <c r="BI19" s="471">
        <f t="shared" si="38"/>
        <v>0</v>
      </c>
      <c r="BJ19" s="473">
        <f t="shared" si="39"/>
        <v>0</v>
      </c>
      <c r="BK19" s="479">
        <f t="shared" si="40"/>
        <v>0</v>
      </c>
      <c r="BL19" s="480">
        <f t="shared" si="40"/>
        <v>0</v>
      </c>
      <c r="BM19" s="480">
        <f t="shared" si="41"/>
        <v>0</v>
      </c>
      <c r="BN19" s="480">
        <f t="shared" si="41"/>
        <v>0</v>
      </c>
      <c r="BO19" s="480">
        <f t="shared" si="42"/>
        <v>0</v>
      </c>
      <c r="BP19" s="480">
        <f t="shared" si="43"/>
        <v>0</v>
      </c>
      <c r="BQ19" s="480">
        <f t="shared" si="44"/>
        <v>0</v>
      </c>
      <c r="BR19" s="480">
        <f t="shared" si="45"/>
        <v>0</v>
      </c>
      <c r="BS19" s="480">
        <f t="shared" si="46"/>
        <v>0</v>
      </c>
      <c r="BT19" s="480">
        <f t="shared" si="47"/>
        <v>0</v>
      </c>
      <c r="BU19" s="480">
        <f t="shared" si="48"/>
        <v>0</v>
      </c>
      <c r="BV19" s="480">
        <f t="shared" si="49"/>
        <v>0</v>
      </c>
      <c r="BW19" s="41"/>
      <c r="BX19" s="39">
        <f t="shared" si="54"/>
        <v>0</v>
      </c>
      <c r="BY19" s="39">
        <f t="shared" si="55"/>
        <v>0</v>
      </c>
      <c r="BZ19" s="39">
        <f t="shared" si="56"/>
        <v>0</v>
      </c>
      <c r="CA19" s="40" t="s">
        <v>374</v>
      </c>
      <c r="CB19" s="40"/>
      <c r="CC19" s="40"/>
    </row>
    <row r="20" spans="1:81" ht="15">
      <c r="A20" s="453">
        <f t="shared" si="57"/>
        <v>11</v>
      </c>
      <c r="B20" s="454" t="s">
        <v>382</v>
      </c>
      <c r="C20" s="492" t="s">
        <v>386</v>
      </c>
      <c r="D20" s="456"/>
      <c r="E20" s="457" t="s">
        <v>381</v>
      </c>
      <c r="F20" s="458"/>
      <c r="G20" s="459">
        <v>3</v>
      </c>
      <c r="H20" s="460">
        <v>3</v>
      </c>
      <c r="I20" s="461" t="s">
        <v>373</v>
      </c>
      <c r="J20" s="462">
        <v>33000</v>
      </c>
      <c r="K20" s="463"/>
      <c r="L20" s="493">
        <v>0</v>
      </c>
      <c r="M20" s="466"/>
      <c r="N20" s="466"/>
      <c r="O20" s="466"/>
      <c r="P20" s="466"/>
      <c r="Q20" s="467">
        <f t="shared" si="6"/>
        <v>33000</v>
      </c>
      <c r="R20" s="483">
        <f t="shared" si="7"/>
        <v>33990</v>
      </c>
      <c r="S20" s="483">
        <f t="shared" si="7"/>
        <v>35009.699999999997</v>
      </c>
      <c r="T20" s="483">
        <f t="shared" si="7"/>
        <v>36059.990999999995</v>
      </c>
      <c r="U20" s="483">
        <f t="shared" si="7"/>
        <v>37141.790729999993</v>
      </c>
      <c r="V20" s="468">
        <f t="shared" si="8"/>
        <v>0</v>
      </c>
      <c r="W20" s="468">
        <f t="shared" si="8"/>
        <v>0</v>
      </c>
      <c r="X20" s="468">
        <f t="shared" si="8"/>
        <v>0</v>
      </c>
      <c r="Y20" s="468">
        <f t="shared" si="8"/>
        <v>0</v>
      </c>
      <c r="Z20" s="468">
        <f t="shared" si="8"/>
        <v>0</v>
      </c>
      <c r="AA20" s="469">
        <f t="shared" si="9"/>
        <v>0</v>
      </c>
      <c r="AB20" s="470">
        <f t="shared" si="10"/>
        <v>0</v>
      </c>
      <c r="AC20" s="471">
        <f t="shared" si="11"/>
        <v>0</v>
      </c>
      <c r="AD20" s="471">
        <f t="shared" si="12"/>
        <v>0</v>
      </c>
      <c r="AE20" s="472">
        <v>0.05</v>
      </c>
      <c r="AF20" s="471">
        <f t="shared" si="13"/>
        <v>0</v>
      </c>
      <c r="AG20" s="471">
        <f t="shared" si="14"/>
        <v>0</v>
      </c>
      <c r="AH20" s="473">
        <f t="shared" si="15"/>
        <v>0</v>
      </c>
      <c r="AI20" s="484">
        <f t="shared" si="16"/>
        <v>0</v>
      </c>
      <c r="AJ20" s="474">
        <f t="shared" si="17"/>
        <v>0</v>
      </c>
      <c r="AK20" s="471">
        <f t="shared" si="18"/>
        <v>0</v>
      </c>
      <c r="AL20" s="475">
        <f t="shared" si="19"/>
        <v>5.7500000000000002E-2</v>
      </c>
      <c r="AM20" s="471">
        <f t="shared" si="50"/>
        <v>0</v>
      </c>
      <c r="AN20" s="471">
        <f t="shared" si="20"/>
        <v>0</v>
      </c>
      <c r="AO20" s="476">
        <f t="shared" si="21"/>
        <v>0</v>
      </c>
      <c r="AP20" s="484">
        <f t="shared" si="22"/>
        <v>0</v>
      </c>
      <c r="AQ20" s="485">
        <f t="shared" si="23"/>
        <v>0</v>
      </c>
      <c r="AR20" s="471">
        <f t="shared" si="24"/>
        <v>0</v>
      </c>
      <c r="AS20" s="475">
        <f t="shared" si="25"/>
        <v>6.5000000000000002E-2</v>
      </c>
      <c r="AT20" s="471">
        <f t="shared" si="51"/>
        <v>0</v>
      </c>
      <c r="AU20" s="471">
        <f t="shared" si="26"/>
        <v>0</v>
      </c>
      <c r="AV20" s="476">
        <f t="shared" si="27"/>
        <v>0</v>
      </c>
      <c r="AW20" s="484">
        <f t="shared" si="28"/>
        <v>0</v>
      </c>
      <c r="AX20" s="485">
        <f t="shared" si="29"/>
        <v>0</v>
      </c>
      <c r="AY20" s="471">
        <f t="shared" si="30"/>
        <v>0</v>
      </c>
      <c r="AZ20" s="475">
        <f t="shared" si="31"/>
        <v>7.2500000000000009E-2</v>
      </c>
      <c r="BA20" s="471">
        <f t="shared" si="52"/>
        <v>0</v>
      </c>
      <c r="BB20" s="471">
        <f t="shared" si="32"/>
        <v>0</v>
      </c>
      <c r="BC20" s="476">
        <f t="shared" si="33"/>
        <v>0</v>
      </c>
      <c r="BD20" s="484">
        <f t="shared" si="34"/>
        <v>0</v>
      </c>
      <c r="BE20" s="474">
        <f t="shared" si="35"/>
        <v>0</v>
      </c>
      <c r="BF20" s="471">
        <f t="shared" si="36"/>
        <v>0</v>
      </c>
      <c r="BG20" s="475">
        <f t="shared" si="37"/>
        <v>8.0000000000000016E-2</v>
      </c>
      <c r="BH20" s="471">
        <f t="shared" si="53"/>
        <v>0</v>
      </c>
      <c r="BI20" s="471">
        <f t="shared" si="38"/>
        <v>0</v>
      </c>
      <c r="BJ20" s="473">
        <f t="shared" si="39"/>
        <v>0</v>
      </c>
      <c r="BK20" s="479">
        <f t="shared" si="40"/>
        <v>0</v>
      </c>
      <c r="BL20" s="480">
        <f t="shared" si="40"/>
        <v>0</v>
      </c>
      <c r="BM20" s="480">
        <f t="shared" si="41"/>
        <v>0</v>
      </c>
      <c r="BN20" s="480">
        <f t="shared" si="41"/>
        <v>0</v>
      </c>
      <c r="BO20" s="480">
        <f t="shared" si="42"/>
        <v>0</v>
      </c>
      <c r="BP20" s="480">
        <f t="shared" si="43"/>
        <v>0</v>
      </c>
      <c r="BQ20" s="480">
        <f t="shared" si="44"/>
        <v>0</v>
      </c>
      <c r="BR20" s="480">
        <f t="shared" si="45"/>
        <v>0</v>
      </c>
      <c r="BS20" s="480">
        <f t="shared" si="46"/>
        <v>0</v>
      </c>
      <c r="BT20" s="480">
        <f t="shared" si="47"/>
        <v>0</v>
      </c>
      <c r="BU20" s="480">
        <f t="shared" si="48"/>
        <v>0</v>
      </c>
      <c r="BV20" s="480">
        <f t="shared" si="49"/>
        <v>0</v>
      </c>
      <c r="BW20" s="41"/>
      <c r="BX20" s="39">
        <f t="shared" si="54"/>
        <v>0</v>
      </c>
      <c r="BY20" s="39">
        <f t="shared" si="55"/>
        <v>0</v>
      </c>
      <c r="BZ20" s="39">
        <f t="shared" si="56"/>
        <v>0</v>
      </c>
      <c r="CA20" s="40" t="s">
        <v>374</v>
      </c>
      <c r="CB20" s="40"/>
      <c r="CC20" s="40"/>
    </row>
    <row r="21" spans="1:81" ht="15">
      <c r="A21" s="453">
        <f t="shared" si="57"/>
        <v>12</v>
      </c>
      <c r="B21" s="454" t="s">
        <v>382</v>
      </c>
      <c r="C21" s="492" t="s">
        <v>387</v>
      </c>
      <c r="D21" s="456"/>
      <c r="E21" s="457" t="s">
        <v>381</v>
      </c>
      <c r="F21" s="458"/>
      <c r="G21" s="459">
        <v>3</v>
      </c>
      <c r="H21" s="460">
        <v>3</v>
      </c>
      <c r="I21" s="461" t="s">
        <v>373</v>
      </c>
      <c r="J21" s="462">
        <v>8500</v>
      </c>
      <c r="K21" s="489"/>
      <c r="L21" s="493">
        <v>0</v>
      </c>
      <c r="M21" s="465"/>
      <c r="N21" s="465"/>
      <c r="O21" s="465"/>
      <c r="P21" s="465"/>
      <c r="Q21" s="467">
        <f t="shared" si="6"/>
        <v>8500</v>
      </c>
      <c r="R21" s="483">
        <f t="shared" si="7"/>
        <v>8755</v>
      </c>
      <c r="S21" s="483">
        <f t="shared" si="7"/>
        <v>9017.65</v>
      </c>
      <c r="T21" s="483">
        <f t="shared" si="7"/>
        <v>9288.1795000000002</v>
      </c>
      <c r="U21" s="483">
        <f t="shared" si="7"/>
        <v>9566.824885</v>
      </c>
      <c r="V21" s="468">
        <f t="shared" si="8"/>
        <v>0</v>
      </c>
      <c r="W21" s="468">
        <f t="shared" si="8"/>
        <v>0</v>
      </c>
      <c r="X21" s="468">
        <f t="shared" si="8"/>
        <v>0</v>
      </c>
      <c r="Y21" s="468">
        <f t="shared" si="8"/>
        <v>0</v>
      </c>
      <c r="Z21" s="468">
        <f t="shared" si="8"/>
        <v>0</v>
      </c>
      <c r="AA21" s="469">
        <f t="shared" si="9"/>
        <v>0</v>
      </c>
      <c r="AB21" s="470">
        <f t="shared" si="10"/>
        <v>0</v>
      </c>
      <c r="AC21" s="471">
        <f t="shared" si="11"/>
        <v>0</v>
      </c>
      <c r="AD21" s="471">
        <f t="shared" si="12"/>
        <v>0</v>
      </c>
      <c r="AE21" s="472">
        <v>0.03</v>
      </c>
      <c r="AF21" s="471">
        <f t="shared" si="13"/>
        <v>0</v>
      </c>
      <c r="AG21" s="471">
        <f t="shared" si="14"/>
        <v>0</v>
      </c>
      <c r="AH21" s="473">
        <f t="shared" si="15"/>
        <v>0</v>
      </c>
      <c r="AI21" s="484">
        <f t="shared" si="16"/>
        <v>0</v>
      </c>
      <c r="AJ21" s="474">
        <f t="shared" si="17"/>
        <v>0</v>
      </c>
      <c r="AK21" s="471">
        <f t="shared" si="18"/>
        <v>0</v>
      </c>
      <c r="AL21" s="475">
        <f t="shared" si="19"/>
        <v>3.7499999999999999E-2</v>
      </c>
      <c r="AM21" s="471">
        <f t="shared" si="50"/>
        <v>0</v>
      </c>
      <c r="AN21" s="471">
        <f t="shared" si="20"/>
        <v>0</v>
      </c>
      <c r="AO21" s="476">
        <f t="shared" si="21"/>
        <v>0</v>
      </c>
      <c r="AP21" s="484">
        <f t="shared" si="22"/>
        <v>0</v>
      </c>
      <c r="AQ21" s="485">
        <f t="shared" si="23"/>
        <v>0</v>
      </c>
      <c r="AR21" s="471">
        <f t="shared" si="24"/>
        <v>0</v>
      </c>
      <c r="AS21" s="475">
        <f t="shared" si="25"/>
        <v>4.4999999999999998E-2</v>
      </c>
      <c r="AT21" s="471">
        <f t="shared" si="51"/>
        <v>0</v>
      </c>
      <c r="AU21" s="471">
        <f t="shared" si="26"/>
        <v>0</v>
      </c>
      <c r="AV21" s="476">
        <f t="shared" si="27"/>
        <v>0</v>
      </c>
      <c r="AW21" s="484">
        <f t="shared" si="28"/>
        <v>0</v>
      </c>
      <c r="AX21" s="485">
        <f t="shared" si="29"/>
        <v>0</v>
      </c>
      <c r="AY21" s="471">
        <f t="shared" si="30"/>
        <v>0</v>
      </c>
      <c r="AZ21" s="475">
        <f t="shared" si="31"/>
        <v>5.2499999999999998E-2</v>
      </c>
      <c r="BA21" s="471">
        <f t="shared" si="52"/>
        <v>0</v>
      </c>
      <c r="BB21" s="471">
        <f t="shared" si="32"/>
        <v>0</v>
      </c>
      <c r="BC21" s="476">
        <f t="shared" si="33"/>
        <v>0</v>
      </c>
      <c r="BD21" s="484">
        <f t="shared" si="34"/>
        <v>0</v>
      </c>
      <c r="BE21" s="474">
        <f t="shared" si="35"/>
        <v>0</v>
      </c>
      <c r="BF21" s="471">
        <f t="shared" si="36"/>
        <v>0</v>
      </c>
      <c r="BG21" s="475">
        <f t="shared" si="37"/>
        <v>0.06</v>
      </c>
      <c r="BH21" s="471">
        <f t="shared" si="53"/>
        <v>0</v>
      </c>
      <c r="BI21" s="471">
        <f t="shared" si="38"/>
        <v>0</v>
      </c>
      <c r="BJ21" s="473">
        <f t="shared" si="39"/>
        <v>0</v>
      </c>
      <c r="BK21" s="479">
        <f t="shared" si="40"/>
        <v>0</v>
      </c>
      <c r="BL21" s="480">
        <f t="shared" si="40"/>
        <v>0</v>
      </c>
      <c r="BM21" s="480">
        <f t="shared" si="41"/>
        <v>0</v>
      </c>
      <c r="BN21" s="480">
        <f t="shared" si="41"/>
        <v>0</v>
      </c>
      <c r="BO21" s="480">
        <f t="shared" si="42"/>
        <v>0</v>
      </c>
      <c r="BP21" s="480">
        <f t="shared" si="43"/>
        <v>0</v>
      </c>
      <c r="BQ21" s="480">
        <f t="shared" si="44"/>
        <v>0</v>
      </c>
      <c r="BR21" s="480">
        <f t="shared" si="45"/>
        <v>0</v>
      </c>
      <c r="BS21" s="480">
        <f t="shared" si="46"/>
        <v>0</v>
      </c>
      <c r="BT21" s="480">
        <f t="shared" si="47"/>
        <v>0</v>
      </c>
      <c r="BU21" s="480">
        <f t="shared" si="48"/>
        <v>0</v>
      </c>
      <c r="BV21" s="480">
        <f t="shared" si="49"/>
        <v>0</v>
      </c>
      <c r="BW21" s="41"/>
      <c r="BX21" s="39">
        <f t="shared" si="54"/>
        <v>0</v>
      </c>
      <c r="BY21" s="39">
        <f t="shared" si="55"/>
        <v>0</v>
      </c>
      <c r="BZ21" s="39">
        <f t="shared" si="56"/>
        <v>0</v>
      </c>
      <c r="CA21" s="40" t="s">
        <v>374</v>
      </c>
      <c r="CB21" s="40"/>
      <c r="CC21" s="40"/>
    </row>
    <row r="22" spans="1:81" ht="15">
      <c r="A22" s="453">
        <f t="shared" si="57"/>
        <v>13</v>
      </c>
      <c r="B22" s="454" t="s">
        <v>382</v>
      </c>
      <c r="C22" s="494" t="s">
        <v>388</v>
      </c>
      <c r="D22" s="456"/>
      <c r="E22" s="457" t="s">
        <v>381</v>
      </c>
      <c r="F22" s="458"/>
      <c r="G22" s="459">
        <v>3</v>
      </c>
      <c r="H22" s="460">
        <v>3</v>
      </c>
      <c r="I22" s="461" t="s">
        <v>373</v>
      </c>
      <c r="J22" s="462">
        <v>45000</v>
      </c>
      <c r="K22" s="463"/>
      <c r="L22" s="493">
        <v>0</v>
      </c>
      <c r="M22" s="465"/>
      <c r="N22" s="465"/>
      <c r="O22" s="465"/>
      <c r="P22" s="465"/>
      <c r="Q22" s="467">
        <f t="shared" si="6"/>
        <v>45000</v>
      </c>
      <c r="R22" s="483">
        <f t="shared" si="7"/>
        <v>46350</v>
      </c>
      <c r="S22" s="483">
        <f t="shared" si="7"/>
        <v>47740.5</v>
      </c>
      <c r="T22" s="483">
        <f t="shared" si="7"/>
        <v>49172.714999999997</v>
      </c>
      <c r="U22" s="483">
        <f t="shared" si="7"/>
        <v>50647.896449999993</v>
      </c>
      <c r="V22" s="468">
        <f t="shared" si="8"/>
        <v>0</v>
      </c>
      <c r="W22" s="468">
        <f t="shared" si="8"/>
        <v>0</v>
      </c>
      <c r="X22" s="468">
        <f t="shared" si="8"/>
        <v>0</v>
      </c>
      <c r="Y22" s="468">
        <f t="shared" si="8"/>
        <v>0</v>
      </c>
      <c r="Z22" s="468">
        <f t="shared" si="8"/>
        <v>0</v>
      </c>
      <c r="AA22" s="469">
        <f t="shared" si="9"/>
        <v>0</v>
      </c>
      <c r="AB22" s="470">
        <f t="shared" si="10"/>
        <v>0</v>
      </c>
      <c r="AC22" s="471">
        <f t="shared" si="11"/>
        <v>0</v>
      </c>
      <c r="AD22" s="471">
        <f t="shared" si="12"/>
        <v>0</v>
      </c>
      <c r="AE22" s="472">
        <v>0.03</v>
      </c>
      <c r="AF22" s="471">
        <f t="shared" si="13"/>
        <v>0</v>
      </c>
      <c r="AG22" s="471">
        <f t="shared" si="14"/>
        <v>0</v>
      </c>
      <c r="AH22" s="473">
        <f t="shared" si="15"/>
        <v>0</v>
      </c>
      <c r="AI22" s="484">
        <f t="shared" si="16"/>
        <v>0</v>
      </c>
      <c r="AJ22" s="474">
        <f t="shared" si="17"/>
        <v>0</v>
      </c>
      <c r="AK22" s="471">
        <f t="shared" si="18"/>
        <v>0</v>
      </c>
      <c r="AL22" s="475">
        <f t="shared" si="19"/>
        <v>3.7499999999999999E-2</v>
      </c>
      <c r="AM22" s="471">
        <f t="shared" si="50"/>
        <v>0</v>
      </c>
      <c r="AN22" s="471">
        <f t="shared" si="20"/>
        <v>0</v>
      </c>
      <c r="AO22" s="476">
        <f t="shared" si="21"/>
        <v>0</v>
      </c>
      <c r="AP22" s="484">
        <f t="shared" si="22"/>
        <v>0</v>
      </c>
      <c r="AQ22" s="485">
        <f t="shared" si="23"/>
        <v>0</v>
      </c>
      <c r="AR22" s="471">
        <f t="shared" si="24"/>
        <v>0</v>
      </c>
      <c r="AS22" s="475">
        <f t="shared" si="25"/>
        <v>4.4999999999999998E-2</v>
      </c>
      <c r="AT22" s="471">
        <f t="shared" si="51"/>
        <v>0</v>
      </c>
      <c r="AU22" s="471">
        <f t="shared" si="26"/>
        <v>0</v>
      </c>
      <c r="AV22" s="476">
        <f t="shared" si="27"/>
        <v>0</v>
      </c>
      <c r="AW22" s="484">
        <f t="shared" si="28"/>
        <v>0</v>
      </c>
      <c r="AX22" s="485">
        <f t="shared" si="29"/>
        <v>0</v>
      </c>
      <c r="AY22" s="471">
        <f t="shared" si="30"/>
        <v>0</v>
      </c>
      <c r="AZ22" s="475">
        <f t="shared" si="31"/>
        <v>5.2499999999999998E-2</v>
      </c>
      <c r="BA22" s="471">
        <f t="shared" si="52"/>
        <v>0</v>
      </c>
      <c r="BB22" s="471">
        <f t="shared" si="32"/>
        <v>0</v>
      </c>
      <c r="BC22" s="476">
        <f t="shared" si="33"/>
        <v>0</v>
      </c>
      <c r="BD22" s="484">
        <f t="shared" si="34"/>
        <v>0</v>
      </c>
      <c r="BE22" s="474">
        <f t="shared" si="35"/>
        <v>0</v>
      </c>
      <c r="BF22" s="471">
        <f t="shared" si="36"/>
        <v>0</v>
      </c>
      <c r="BG22" s="475">
        <f t="shared" si="37"/>
        <v>0.06</v>
      </c>
      <c r="BH22" s="471">
        <f t="shared" si="53"/>
        <v>0</v>
      </c>
      <c r="BI22" s="471">
        <f t="shared" si="38"/>
        <v>0</v>
      </c>
      <c r="BJ22" s="473">
        <f t="shared" si="39"/>
        <v>0</v>
      </c>
      <c r="BK22" s="479">
        <f t="shared" si="40"/>
        <v>0</v>
      </c>
      <c r="BL22" s="480">
        <f t="shared" si="40"/>
        <v>0</v>
      </c>
      <c r="BM22" s="480">
        <f t="shared" si="41"/>
        <v>0</v>
      </c>
      <c r="BN22" s="480">
        <f t="shared" si="41"/>
        <v>0</v>
      </c>
      <c r="BO22" s="480">
        <f t="shared" si="42"/>
        <v>0</v>
      </c>
      <c r="BP22" s="480">
        <f t="shared" si="43"/>
        <v>0</v>
      </c>
      <c r="BQ22" s="480">
        <f t="shared" si="44"/>
        <v>0</v>
      </c>
      <c r="BR22" s="480">
        <f t="shared" si="45"/>
        <v>0</v>
      </c>
      <c r="BS22" s="480">
        <f t="shared" si="46"/>
        <v>0</v>
      </c>
      <c r="BT22" s="480">
        <f t="shared" si="47"/>
        <v>0</v>
      </c>
      <c r="BU22" s="480">
        <f t="shared" si="48"/>
        <v>0</v>
      </c>
      <c r="BV22" s="480">
        <f t="shared" si="49"/>
        <v>0</v>
      </c>
      <c r="BW22" s="41"/>
      <c r="BX22" s="39">
        <f t="shared" si="54"/>
        <v>0</v>
      </c>
      <c r="BY22" s="39">
        <f t="shared" si="55"/>
        <v>0</v>
      </c>
      <c r="BZ22" s="39">
        <f t="shared" si="56"/>
        <v>0</v>
      </c>
      <c r="CA22" s="40" t="s">
        <v>374</v>
      </c>
      <c r="CB22" s="40"/>
      <c r="CC22" s="40"/>
    </row>
    <row r="23" spans="1:81" ht="15" hidden="1">
      <c r="A23" s="453">
        <f t="shared" si="57"/>
        <v>14</v>
      </c>
      <c r="B23" s="454" t="s">
        <v>382</v>
      </c>
      <c r="C23" s="494" t="s">
        <v>389</v>
      </c>
      <c r="D23" s="456"/>
      <c r="E23" s="457" t="s">
        <v>381</v>
      </c>
      <c r="F23" s="458"/>
      <c r="G23" s="459">
        <v>3</v>
      </c>
      <c r="H23" s="460">
        <v>3</v>
      </c>
      <c r="I23" s="461" t="s">
        <v>373</v>
      </c>
      <c r="J23" s="462">
        <v>25000</v>
      </c>
      <c r="K23" s="463"/>
      <c r="L23" s="464">
        <v>0</v>
      </c>
      <c r="M23" s="465"/>
      <c r="N23" s="465"/>
      <c r="O23" s="465"/>
      <c r="P23" s="465"/>
      <c r="Q23" s="467">
        <f t="shared" si="6"/>
        <v>25000</v>
      </c>
      <c r="R23" s="483">
        <f>Q23*R$3+Q23</f>
        <v>25750</v>
      </c>
      <c r="S23" s="483">
        <f>R23*S$3+R23</f>
        <v>26522.5</v>
      </c>
      <c r="T23" s="483">
        <f>S23*T$3+S23</f>
        <v>27318.174999999999</v>
      </c>
      <c r="U23" s="483">
        <f>T23*U$3+T23</f>
        <v>28137.720249999998</v>
      </c>
      <c r="V23" s="468">
        <f t="shared" si="8"/>
        <v>0</v>
      </c>
      <c r="W23" s="468">
        <f t="shared" si="8"/>
        <v>0</v>
      </c>
      <c r="X23" s="468">
        <f t="shared" si="8"/>
        <v>0</v>
      </c>
      <c r="Y23" s="468">
        <f t="shared" si="8"/>
        <v>0</v>
      </c>
      <c r="Z23" s="468">
        <f t="shared" si="8"/>
        <v>0</v>
      </c>
      <c r="AA23" s="469">
        <f t="shared" si="9"/>
        <v>0</v>
      </c>
      <c r="AB23" s="470">
        <f t="shared" si="10"/>
        <v>0</v>
      </c>
      <c r="AC23" s="471">
        <f t="shared" si="11"/>
        <v>0</v>
      </c>
      <c r="AD23" s="471">
        <f t="shared" si="12"/>
        <v>0</v>
      </c>
      <c r="AE23" s="472">
        <v>0.05</v>
      </c>
      <c r="AF23" s="471">
        <f t="shared" si="13"/>
        <v>0</v>
      </c>
      <c r="AG23" s="471">
        <f t="shared" si="14"/>
        <v>0</v>
      </c>
      <c r="AH23" s="473">
        <f t="shared" si="15"/>
        <v>0</v>
      </c>
      <c r="AI23" s="484">
        <f t="shared" si="16"/>
        <v>0</v>
      </c>
      <c r="AJ23" s="474">
        <f t="shared" si="17"/>
        <v>0</v>
      </c>
      <c r="AK23" s="471">
        <f t="shared" si="18"/>
        <v>0</v>
      </c>
      <c r="AL23" s="475">
        <f t="shared" si="19"/>
        <v>5.7500000000000002E-2</v>
      </c>
      <c r="AM23" s="471">
        <f t="shared" si="50"/>
        <v>0</v>
      </c>
      <c r="AN23" s="471">
        <f t="shared" si="20"/>
        <v>0</v>
      </c>
      <c r="AO23" s="476">
        <f t="shared" si="21"/>
        <v>0</v>
      </c>
      <c r="AP23" s="484">
        <f t="shared" si="22"/>
        <v>0</v>
      </c>
      <c r="AQ23" s="485">
        <f t="shared" si="23"/>
        <v>0</v>
      </c>
      <c r="AR23" s="471">
        <f t="shared" si="24"/>
        <v>0</v>
      </c>
      <c r="AS23" s="475">
        <f t="shared" si="25"/>
        <v>6.5000000000000002E-2</v>
      </c>
      <c r="AT23" s="471">
        <f t="shared" si="51"/>
        <v>0</v>
      </c>
      <c r="AU23" s="471">
        <f t="shared" si="26"/>
        <v>0</v>
      </c>
      <c r="AV23" s="476">
        <f t="shared" si="27"/>
        <v>0</v>
      </c>
      <c r="AW23" s="484">
        <f t="shared" si="28"/>
        <v>0</v>
      </c>
      <c r="AX23" s="485">
        <f t="shared" si="29"/>
        <v>0</v>
      </c>
      <c r="AY23" s="471">
        <f t="shared" si="30"/>
        <v>0</v>
      </c>
      <c r="AZ23" s="475">
        <f t="shared" si="31"/>
        <v>7.2500000000000009E-2</v>
      </c>
      <c r="BA23" s="471">
        <f t="shared" si="52"/>
        <v>0</v>
      </c>
      <c r="BB23" s="471">
        <f t="shared" si="32"/>
        <v>0</v>
      </c>
      <c r="BC23" s="476">
        <f t="shared" si="33"/>
        <v>0</v>
      </c>
      <c r="BD23" s="484">
        <f t="shared" si="34"/>
        <v>0</v>
      </c>
      <c r="BE23" s="474">
        <f t="shared" si="35"/>
        <v>0</v>
      </c>
      <c r="BF23" s="471">
        <f t="shared" si="36"/>
        <v>0</v>
      </c>
      <c r="BG23" s="475">
        <f t="shared" si="37"/>
        <v>8.0000000000000016E-2</v>
      </c>
      <c r="BH23" s="471">
        <f t="shared" si="53"/>
        <v>0</v>
      </c>
      <c r="BI23" s="471">
        <f t="shared" si="38"/>
        <v>0</v>
      </c>
      <c r="BJ23" s="473">
        <f t="shared" si="39"/>
        <v>0</v>
      </c>
      <c r="BK23" s="479">
        <f t="shared" si="40"/>
        <v>0</v>
      </c>
      <c r="BL23" s="480">
        <f t="shared" si="40"/>
        <v>0</v>
      </c>
      <c r="BM23" s="480">
        <f t="shared" si="41"/>
        <v>0</v>
      </c>
      <c r="BN23" s="480">
        <f t="shared" si="41"/>
        <v>0</v>
      </c>
      <c r="BO23" s="480">
        <f t="shared" si="42"/>
        <v>0</v>
      </c>
      <c r="BP23" s="480">
        <f t="shared" si="43"/>
        <v>0</v>
      </c>
      <c r="BQ23" s="480">
        <f t="shared" si="44"/>
        <v>0</v>
      </c>
      <c r="BR23" s="480">
        <f t="shared" si="45"/>
        <v>0</v>
      </c>
      <c r="BS23" s="480">
        <f t="shared" si="46"/>
        <v>0</v>
      </c>
      <c r="BT23" s="480">
        <f t="shared" si="47"/>
        <v>0</v>
      </c>
      <c r="BU23" s="480">
        <f t="shared" si="48"/>
        <v>0</v>
      </c>
      <c r="BV23" s="480">
        <f t="shared" si="49"/>
        <v>0</v>
      </c>
      <c r="BW23" s="41"/>
      <c r="BX23" s="39">
        <f t="shared" si="54"/>
        <v>0</v>
      </c>
      <c r="BY23" s="39">
        <f t="shared" si="55"/>
        <v>0</v>
      </c>
      <c r="BZ23" s="39">
        <f t="shared" si="56"/>
        <v>0</v>
      </c>
      <c r="CA23" s="40"/>
      <c r="CB23" s="40"/>
      <c r="CC23" s="40"/>
    </row>
    <row r="24" spans="1:81" ht="15" hidden="1">
      <c r="A24" s="453">
        <f t="shared" si="57"/>
        <v>15</v>
      </c>
      <c r="B24" s="454" t="s">
        <v>382</v>
      </c>
      <c r="C24" s="494" t="s">
        <v>390</v>
      </c>
      <c r="D24" s="456"/>
      <c r="E24" s="457" t="s">
        <v>381</v>
      </c>
      <c r="F24" s="458"/>
      <c r="G24" s="459">
        <v>3</v>
      </c>
      <c r="H24" s="459">
        <v>3</v>
      </c>
      <c r="I24" s="461" t="s">
        <v>373</v>
      </c>
      <c r="J24" s="462">
        <v>210000</v>
      </c>
      <c r="K24" s="463"/>
      <c r="L24" s="493">
        <v>0</v>
      </c>
      <c r="M24" s="466"/>
      <c r="N24" s="466"/>
      <c r="O24" s="466"/>
      <c r="P24" s="466"/>
      <c r="Q24" s="467">
        <f t="shared" si="6"/>
        <v>210000</v>
      </c>
      <c r="R24" s="483">
        <f t="shared" si="7"/>
        <v>216300</v>
      </c>
      <c r="S24" s="483">
        <f t="shared" si="7"/>
        <v>222789</v>
      </c>
      <c r="T24" s="483">
        <f t="shared" si="7"/>
        <v>229472.67</v>
      </c>
      <c r="U24" s="483">
        <f t="shared" si="7"/>
        <v>236356.85010000001</v>
      </c>
      <c r="V24" s="468">
        <f t="shared" si="8"/>
        <v>0</v>
      </c>
      <c r="W24" s="468">
        <f t="shared" si="8"/>
        <v>0</v>
      </c>
      <c r="X24" s="468">
        <f t="shared" si="8"/>
        <v>0</v>
      </c>
      <c r="Y24" s="468">
        <f t="shared" si="8"/>
        <v>0</v>
      </c>
      <c r="Z24" s="468">
        <f t="shared" si="8"/>
        <v>0</v>
      </c>
      <c r="AA24" s="469">
        <f t="shared" si="9"/>
        <v>0</v>
      </c>
      <c r="AB24" s="470">
        <f t="shared" si="10"/>
        <v>0</v>
      </c>
      <c r="AC24" s="471">
        <f t="shared" si="11"/>
        <v>0</v>
      </c>
      <c r="AD24" s="471">
        <f t="shared" si="12"/>
        <v>0</v>
      </c>
      <c r="AE24" s="472">
        <v>0.05</v>
      </c>
      <c r="AF24" s="471">
        <f t="shared" si="13"/>
        <v>0</v>
      </c>
      <c r="AG24" s="471">
        <f t="shared" si="14"/>
        <v>0</v>
      </c>
      <c r="AH24" s="473">
        <f t="shared" si="15"/>
        <v>0</v>
      </c>
      <c r="AI24" s="484">
        <f t="shared" si="16"/>
        <v>0</v>
      </c>
      <c r="AJ24" s="474">
        <f t="shared" si="17"/>
        <v>0</v>
      </c>
      <c r="AK24" s="471">
        <f t="shared" si="18"/>
        <v>0</v>
      </c>
      <c r="AL24" s="475">
        <f t="shared" si="19"/>
        <v>5.7500000000000002E-2</v>
      </c>
      <c r="AM24" s="471">
        <f t="shared" si="50"/>
        <v>0</v>
      </c>
      <c r="AN24" s="471">
        <f t="shared" si="20"/>
        <v>0</v>
      </c>
      <c r="AO24" s="476">
        <f t="shared" si="21"/>
        <v>0</v>
      </c>
      <c r="AP24" s="484">
        <f t="shared" si="22"/>
        <v>0</v>
      </c>
      <c r="AQ24" s="485">
        <f t="shared" si="23"/>
        <v>0</v>
      </c>
      <c r="AR24" s="471">
        <f t="shared" si="24"/>
        <v>0</v>
      </c>
      <c r="AS24" s="475">
        <f t="shared" si="25"/>
        <v>6.5000000000000002E-2</v>
      </c>
      <c r="AT24" s="471">
        <f t="shared" si="51"/>
        <v>0</v>
      </c>
      <c r="AU24" s="471">
        <f t="shared" si="26"/>
        <v>0</v>
      </c>
      <c r="AV24" s="476">
        <f t="shared" si="27"/>
        <v>0</v>
      </c>
      <c r="AW24" s="484">
        <f t="shared" si="28"/>
        <v>0</v>
      </c>
      <c r="AX24" s="485">
        <f t="shared" si="29"/>
        <v>0</v>
      </c>
      <c r="AY24" s="471">
        <f t="shared" si="30"/>
        <v>0</v>
      </c>
      <c r="AZ24" s="475">
        <f t="shared" si="31"/>
        <v>7.2500000000000009E-2</v>
      </c>
      <c r="BA24" s="471">
        <f t="shared" si="52"/>
        <v>0</v>
      </c>
      <c r="BB24" s="471">
        <f t="shared" si="32"/>
        <v>0</v>
      </c>
      <c r="BC24" s="476">
        <f t="shared" si="33"/>
        <v>0</v>
      </c>
      <c r="BD24" s="484">
        <f t="shared" si="34"/>
        <v>0</v>
      </c>
      <c r="BE24" s="474">
        <f t="shared" si="35"/>
        <v>0</v>
      </c>
      <c r="BF24" s="471">
        <f t="shared" si="36"/>
        <v>0</v>
      </c>
      <c r="BG24" s="475">
        <f t="shared" si="37"/>
        <v>8.0000000000000016E-2</v>
      </c>
      <c r="BH24" s="471">
        <f t="shared" si="53"/>
        <v>0</v>
      </c>
      <c r="BI24" s="471">
        <f t="shared" si="38"/>
        <v>0</v>
      </c>
      <c r="BJ24" s="473">
        <f t="shared" si="39"/>
        <v>0</v>
      </c>
      <c r="BK24" s="479">
        <f t="shared" si="40"/>
        <v>0</v>
      </c>
      <c r="BL24" s="480">
        <f t="shared" si="40"/>
        <v>0</v>
      </c>
      <c r="BM24" s="480">
        <f t="shared" si="41"/>
        <v>0</v>
      </c>
      <c r="BN24" s="480">
        <f t="shared" si="41"/>
        <v>0</v>
      </c>
      <c r="BO24" s="480">
        <f t="shared" si="42"/>
        <v>0</v>
      </c>
      <c r="BP24" s="480">
        <f t="shared" si="43"/>
        <v>0</v>
      </c>
      <c r="BQ24" s="480">
        <f t="shared" si="44"/>
        <v>0</v>
      </c>
      <c r="BR24" s="480">
        <f t="shared" si="45"/>
        <v>0</v>
      </c>
      <c r="BS24" s="480">
        <f t="shared" si="46"/>
        <v>0</v>
      </c>
      <c r="BT24" s="480">
        <f t="shared" si="47"/>
        <v>0</v>
      </c>
      <c r="BU24" s="480">
        <f t="shared" si="48"/>
        <v>0</v>
      </c>
      <c r="BV24" s="480">
        <f t="shared" si="49"/>
        <v>0</v>
      </c>
      <c r="BW24" s="41"/>
      <c r="BX24" s="39">
        <f t="shared" si="54"/>
        <v>0</v>
      </c>
      <c r="BY24" s="39">
        <f t="shared" si="55"/>
        <v>0</v>
      </c>
      <c r="BZ24" s="39">
        <f t="shared" si="56"/>
        <v>0</v>
      </c>
      <c r="CA24" s="40" t="s">
        <v>374</v>
      </c>
      <c r="CB24" s="40"/>
      <c r="CC24" s="40"/>
    </row>
    <row r="25" spans="1:81" ht="15" hidden="1">
      <c r="A25" s="453">
        <f t="shared" si="57"/>
        <v>16</v>
      </c>
      <c r="B25" s="454" t="s">
        <v>382</v>
      </c>
      <c r="C25" s="494" t="s">
        <v>391</v>
      </c>
      <c r="D25" s="456"/>
      <c r="E25" s="457" t="s">
        <v>381</v>
      </c>
      <c r="F25" s="458"/>
      <c r="G25" s="459">
        <v>3</v>
      </c>
      <c r="H25" s="459">
        <v>3</v>
      </c>
      <c r="I25" s="461" t="s">
        <v>373</v>
      </c>
      <c r="J25" s="462">
        <v>70000</v>
      </c>
      <c r="K25" s="463"/>
      <c r="L25" s="495">
        <v>0</v>
      </c>
      <c r="M25" s="491"/>
      <c r="N25" s="491"/>
      <c r="O25" s="496"/>
      <c r="P25" s="496"/>
      <c r="Q25" s="467">
        <f t="shared" si="6"/>
        <v>70000</v>
      </c>
      <c r="R25" s="483">
        <f t="shared" si="7"/>
        <v>72100</v>
      </c>
      <c r="S25" s="483">
        <f t="shared" si="7"/>
        <v>74263</v>
      </c>
      <c r="T25" s="483">
        <f t="shared" si="7"/>
        <v>76490.89</v>
      </c>
      <c r="U25" s="483">
        <f t="shared" si="7"/>
        <v>78785.616699999999</v>
      </c>
      <c r="V25" s="468">
        <f t="shared" si="8"/>
        <v>0</v>
      </c>
      <c r="W25" s="468">
        <f t="shared" si="8"/>
        <v>0</v>
      </c>
      <c r="X25" s="468">
        <f t="shared" si="8"/>
        <v>0</v>
      </c>
      <c r="Y25" s="468">
        <f t="shared" si="8"/>
        <v>0</v>
      </c>
      <c r="Z25" s="468">
        <f t="shared" si="8"/>
        <v>0</v>
      </c>
      <c r="AA25" s="469">
        <f t="shared" si="9"/>
        <v>0</v>
      </c>
      <c r="AB25" s="470">
        <f t="shared" si="10"/>
        <v>0</v>
      </c>
      <c r="AC25" s="471">
        <f t="shared" si="11"/>
        <v>0</v>
      </c>
      <c r="AD25" s="471">
        <f t="shared" si="12"/>
        <v>0</v>
      </c>
      <c r="AE25" s="472">
        <v>0.05</v>
      </c>
      <c r="AF25" s="471">
        <f t="shared" si="13"/>
        <v>0</v>
      </c>
      <c r="AG25" s="471">
        <f t="shared" si="14"/>
        <v>0</v>
      </c>
      <c r="AH25" s="473">
        <f t="shared" si="15"/>
        <v>0</v>
      </c>
      <c r="AI25" s="484">
        <f t="shared" si="16"/>
        <v>0</v>
      </c>
      <c r="AJ25" s="474">
        <f t="shared" si="17"/>
        <v>0</v>
      </c>
      <c r="AK25" s="471">
        <f t="shared" si="18"/>
        <v>0</v>
      </c>
      <c r="AL25" s="475">
        <f t="shared" si="19"/>
        <v>5.7500000000000002E-2</v>
      </c>
      <c r="AM25" s="471">
        <f t="shared" si="50"/>
        <v>0</v>
      </c>
      <c r="AN25" s="471">
        <f t="shared" si="20"/>
        <v>0</v>
      </c>
      <c r="AO25" s="476">
        <f t="shared" si="21"/>
        <v>0</v>
      </c>
      <c r="AP25" s="484">
        <f t="shared" si="22"/>
        <v>0</v>
      </c>
      <c r="AQ25" s="485">
        <f t="shared" si="23"/>
        <v>0</v>
      </c>
      <c r="AR25" s="471">
        <f t="shared" si="24"/>
        <v>0</v>
      </c>
      <c r="AS25" s="475">
        <f t="shared" si="25"/>
        <v>6.5000000000000002E-2</v>
      </c>
      <c r="AT25" s="471">
        <f t="shared" si="51"/>
        <v>0</v>
      </c>
      <c r="AU25" s="471">
        <f t="shared" si="26"/>
        <v>0</v>
      </c>
      <c r="AV25" s="476">
        <f t="shared" si="27"/>
        <v>0</v>
      </c>
      <c r="AW25" s="484">
        <f t="shared" si="28"/>
        <v>0</v>
      </c>
      <c r="AX25" s="485">
        <f t="shared" si="29"/>
        <v>0</v>
      </c>
      <c r="AY25" s="471">
        <f t="shared" si="30"/>
        <v>0</v>
      </c>
      <c r="AZ25" s="475">
        <f t="shared" si="31"/>
        <v>7.2500000000000009E-2</v>
      </c>
      <c r="BA25" s="471">
        <f t="shared" si="52"/>
        <v>0</v>
      </c>
      <c r="BB25" s="471">
        <f t="shared" si="32"/>
        <v>0</v>
      </c>
      <c r="BC25" s="476">
        <f t="shared" si="33"/>
        <v>0</v>
      </c>
      <c r="BD25" s="484">
        <f t="shared" si="34"/>
        <v>0</v>
      </c>
      <c r="BE25" s="474">
        <f t="shared" si="35"/>
        <v>0</v>
      </c>
      <c r="BF25" s="471">
        <f t="shared" si="36"/>
        <v>0</v>
      </c>
      <c r="BG25" s="475">
        <f t="shared" si="37"/>
        <v>8.0000000000000016E-2</v>
      </c>
      <c r="BH25" s="471">
        <f t="shared" si="53"/>
        <v>0</v>
      </c>
      <c r="BI25" s="471">
        <f t="shared" si="38"/>
        <v>0</v>
      </c>
      <c r="BJ25" s="473">
        <f t="shared" si="39"/>
        <v>0</v>
      </c>
      <c r="BK25" s="479">
        <f t="shared" si="40"/>
        <v>0</v>
      </c>
      <c r="BL25" s="480">
        <f t="shared" si="40"/>
        <v>0</v>
      </c>
      <c r="BM25" s="480">
        <f t="shared" si="41"/>
        <v>0</v>
      </c>
      <c r="BN25" s="480">
        <f t="shared" si="41"/>
        <v>0</v>
      </c>
      <c r="BO25" s="480">
        <f t="shared" si="42"/>
        <v>0</v>
      </c>
      <c r="BP25" s="480">
        <f t="shared" si="43"/>
        <v>0</v>
      </c>
      <c r="BQ25" s="480">
        <f t="shared" si="44"/>
        <v>0</v>
      </c>
      <c r="BR25" s="480">
        <f t="shared" si="45"/>
        <v>0</v>
      </c>
      <c r="BS25" s="480">
        <f t="shared" si="46"/>
        <v>0</v>
      </c>
      <c r="BT25" s="480">
        <f t="shared" si="47"/>
        <v>0</v>
      </c>
      <c r="BU25" s="480">
        <f t="shared" si="48"/>
        <v>0</v>
      </c>
      <c r="BV25" s="480">
        <f t="shared" si="49"/>
        <v>0</v>
      </c>
      <c r="BW25" s="41"/>
      <c r="BX25" s="39">
        <f t="shared" si="54"/>
        <v>0</v>
      </c>
      <c r="BY25" s="39">
        <f t="shared" si="55"/>
        <v>0</v>
      </c>
      <c r="BZ25" s="39">
        <f t="shared" si="56"/>
        <v>0</v>
      </c>
      <c r="CA25" s="40" t="s">
        <v>374</v>
      </c>
      <c r="CB25" s="40"/>
      <c r="CC25" s="40"/>
    </row>
    <row r="26" spans="1:81" ht="15" hidden="1">
      <c r="A26" s="453">
        <f t="shared" si="57"/>
        <v>17</v>
      </c>
      <c r="B26" s="454" t="s">
        <v>382</v>
      </c>
      <c r="C26" s="494" t="s">
        <v>392</v>
      </c>
      <c r="D26" s="456"/>
      <c r="E26" s="457" t="s">
        <v>381</v>
      </c>
      <c r="F26" s="458"/>
      <c r="G26" s="459">
        <v>3</v>
      </c>
      <c r="H26" s="459">
        <v>3</v>
      </c>
      <c r="I26" s="461" t="s">
        <v>373</v>
      </c>
      <c r="J26" s="462">
        <v>77000</v>
      </c>
      <c r="K26" s="463"/>
      <c r="L26" s="495">
        <v>0</v>
      </c>
      <c r="M26" s="491"/>
      <c r="N26" s="491"/>
      <c r="O26" s="496"/>
      <c r="P26" s="496"/>
      <c r="Q26" s="467">
        <f t="shared" si="6"/>
        <v>77000</v>
      </c>
      <c r="R26" s="483">
        <f>Q26*R$3+Q26</f>
        <v>79310</v>
      </c>
      <c r="S26" s="483">
        <f>R26*S$3+R26</f>
        <v>81689.3</v>
      </c>
      <c r="T26" s="483">
        <f>S26*T$3+S26</f>
        <v>84139.979000000007</v>
      </c>
      <c r="U26" s="483">
        <f>T26*U$3+T26</f>
        <v>86664.178370000009</v>
      </c>
      <c r="V26" s="468">
        <f>Q26*L26</f>
        <v>0</v>
      </c>
      <c r="W26" s="468">
        <f>R26*M26</f>
        <v>0</v>
      </c>
      <c r="X26" s="468">
        <f>S26*N26</f>
        <v>0</v>
      </c>
      <c r="Y26" s="468">
        <f>T26*O26</f>
        <v>0</v>
      </c>
      <c r="Z26" s="468">
        <f>U26*P26</f>
        <v>0</v>
      </c>
      <c r="AA26" s="469">
        <f t="shared" si="9"/>
        <v>0</v>
      </c>
      <c r="AB26" s="470">
        <f t="shared" si="10"/>
        <v>0</v>
      </c>
      <c r="AC26" s="471">
        <f t="shared" si="11"/>
        <v>0</v>
      </c>
      <c r="AD26" s="471">
        <f t="shared" si="12"/>
        <v>0</v>
      </c>
      <c r="AE26" s="472">
        <v>0.05</v>
      </c>
      <c r="AF26" s="471">
        <f t="shared" si="13"/>
        <v>0</v>
      </c>
      <c r="AG26" s="471">
        <f t="shared" si="14"/>
        <v>0</v>
      </c>
      <c r="AH26" s="473">
        <f t="shared" si="15"/>
        <v>0</v>
      </c>
      <c r="AI26" s="484">
        <f t="shared" si="16"/>
        <v>0</v>
      </c>
      <c r="AJ26" s="474">
        <f t="shared" si="17"/>
        <v>0</v>
      </c>
      <c r="AK26" s="471">
        <f t="shared" si="18"/>
        <v>0</v>
      </c>
      <c r="AL26" s="475">
        <f t="shared" si="19"/>
        <v>5.7500000000000002E-2</v>
      </c>
      <c r="AM26" s="471">
        <f t="shared" si="50"/>
        <v>0</v>
      </c>
      <c r="AN26" s="471">
        <f t="shared" si="20"/>
        <v>0</v>
      </c>
      <c r="AO26" s="476">
        <f t="shared" si="21"/>
        <v>0</v>
      </c>
      <c r="AP26" s="484">
        <f t="shared" si="22"/>
        <v>0</v>
      </c>
      <c r="AQ26" s="485">
        <f t="shared" si="23"/>
        <v>0</v>
      </c>
      <c r="AR26" s="471">
        <f t="shared" si="24"/>
        <v>0</v>
      </c>
      <c r="AS26" s="475">
        <f t="shared" si="25"/>
        <v>6.5000000000000002E-2</v>
      </c>
      <c r="AT26" s="471">
        <f t="shared" si="51"/>
        <v>0</v>
      </c>
      <c r="AU26" s="471">
        <f t="shared" si="26"/>
        <v>0</v>
      </c>
      <c r="AV26" s="476">
        <f t="shared" si="27"/>
        <v>0</v>
      </c>
      <c r="AW26" s="484">
        <f t="shared" si="28"/>
        <v>0</v>
      </c>
      <c r="AX26" s="485">
        <f t="shared" si="29"/>
        <v>0</v>
      </c>
      <c r="AY26" s="471">
        <f t="shared" si="30"/>
        <v>0</v>
      </c>
      <c r="AZ26" s="475">
        <f t="shared" si="31"/>
        <v>7.2500000000000009E-2</v>
      </c>
      <c r="BA26" s="471">
        <f t="shared" si="52"/>
        <v>0</v>
      </c>
      <c r="BB26" s="471">
        <f t="shared" si="32"/>
        <v>0</v>
      </c>
      <c r="BC26" s="476">
        <f t="shared" si="33"/>
        <v>0</v>
      </c>
      <c r="BD26" s="484">
        <f t="shared" si="34"/>
        <v>0</v>
      </c>
      <c r="BE26" s="474">
        <f t="shared" si="35"/>
        <v>0</v>
      </c>
      <c r="BF26" s="471">
        <f t="shared" si="36"/>
        <v>0</v>
      </c>
      <c r="BG26" s="475">
        <f t="shared" si="37"/>
        <v>8.0000000000000016E-2</v>
      </c>
      <c r="BH26" s="471">
        <f t="shared" si="53"/>
        <v>0</v>
      </c>
      <c r="BI26" s="471">
        <f t="shared" si="38"/>
        <v>0</v>
      </c>
      <c r="BJ26" s="473">
        <f t="shared" si="39"/>
        <v>0</v>
      </c>
      <c r="BK26" s="479">
        <f>AC26+AJ26+AQ26+AX26+BE26</f>
        <v>0</v>
      </c>
      <c r="BL26" s="480">
        <f>AD26+AK26+AR26+AY26+BF26</f>
        <v>0</v>
      </c>
      <c r="BM26" s="480">
        <f>BH26+BA26+AT26++AM26+AF26</f>
        <v>0</v>
      </c>
      <c r="BN26" s="480">
        <f>BI26+BB26+AU26++AN26+AG26</f>
        <v>0</v>
      </c>
      <c r="BO26" s="480">
        <f t="shared" si="42"/>
        <v>0</v>
      </c>
      <c r="BP26" s="480">
        <f t="shared" si="43"/>
        <v>0</v>
      </c>
      <c r="BQ26" s="480">
        <f t="shared" si="44"/>
        <v>0</v>
      </c>
      <c r="BR26" s="480">
        <f t="shared" si="45"/>
        <v>0</v>
      </c>
      <c r="BS26" s="480">
        <f t="shared" si="46"/>
        <v>0</v>
      </c>
      <c r="BT26" s="480">
        <f t="shared" si="47"/>
        <v>0</v>
      </c>
      <c r="BU26" s="480">
        <f t="shared" si="48"/>
        <v>0</v>
      </c>
      <c r="BV26" s="480">
        <f t="shared" si="49"/>
        <v>0</v>
      </c>
      <c r="BW26" s="41"/>
      <c r="BX26" s="39">
        <f t="shared" si="54"/>
        <v>0</v>
      </c>
      <c r="BY26" s="39">
        <f t="shared" si="55"/>
        <v>0</v>
      </c>
      <c r="BZ26" s="39">
        <f t="shared" si="56"/>
        <v>0</v>
      </c>
      <c r="CA26" s="40" t="s">
        <v>374</v>
      </c>
      <c r="CB26" s="40"/>
      <c r="CC26" s="40"/>
    </row>
    <row r="27" spans="1:81" ht="15" hidden="1">
      <c r="A27" s="453">
        <f t="shared" si="57"/>
        <v>18</v>
      </c>
      <c r="B27" s="454" t="s">
        <v>382</v>
      </c>
      <c r="C27" s="494" t="s">
        <v>393</v>
      </c>
      <c r="D27" s="456"/>
      <c r="E27" s="457" t="s">
        <v>381</v>
      </c>
      <c r="F27" s="458"/>
      <c r="G27" s="459">
        <v>3</v>
      </c>
      <c r="H27" s="459">
        <v>3</v>
      </c>
      <c r="I27" s="461" t="s">
        <v>394</v>
      </c>
      <c r="J27" s="462">
        <v>10</v>
      </c>
      <c r="K27" s="463"/>
      <c r="L27" s="497">
        <v>0</v>
      </c>
      <c r="M27" s="466"/>
      <c r="N27" s="466"/>
      <c r="O27" s="466"/>
      <c r="P27" s="466"/>
      <c r="Q27" s="467">
        <f t="shared" si="6"/>
        <v>10</v>
      </c>
      <c r="R27" s="483">
        <f t="shared" si="7"/>
        <v>10.3</v>
      </c>
      <c r="S27" s="483">
        <f t="shared" si="7"/>
        <v>10.609</v>
      </c>
      <c r="T27" s="483">
        <f t="shared" si="7"/>
        <v>10.92727</v>
      </c>
      <c r="U27" s="483">
        <f t="shared" si="7"/>
        <v>11.2550881</v>
      </c>
      <c r="V27" s="468">
        <f t="shared" si="8"/>
        <v>0</v>
      </c>
      <c r="W27" s="468">
        <f t="shared" si="8"/>
        <v>0</v>
      </c>
      <c r="X27" s="468">
        <f t="shared" si="8"/>
        <v>0</v>
      </c>
      <c r="Y27" s="468">
        <f t="shared" si="8"/>
        <v>0</v>
      </c>
      <c r="Z27" s="468">
        <f t="shared" si="8"/>
        <v>0</v>
      </c>
      <c r="AA27" s="469">
        <f t="shared" si="9"/>
        <v>0</v>
      </c>
      <c r="AB27" s="470">
        <f t="shared" si="10"/>
        <v>0</v>
      </c>
      <c r="AC27" s="471">
        <f t="shared" si="11"/>
        <v>0</v>
      </c>
      <c r="AD27" s="471">
        <f t="shared" si="12"/>
        <v>0</v>
      </c>
      <c r="AE27" s="472">
        <v>0.05</v>
      </c>
      <c r="AF27" s="471">
        <f t="shared" si="13"/>
        <v>0</v>
      </c>
      <c r="AG27" s="471">
        <f t="shared" si="14"/>
        <v>0</v>
      </c>
      <c r="AH27" s="473">
        <f t="shared" si="15"/>
        <v>0</v>
      </c>
      <c r="AI27" s="484">
        <f t="shared" si="16"/>
        <v>0</v>
      </c>
      <c r="AJ27" s="474">
        <f t="shared" si="17"/>
        <v>0</v>
      </c>
      <c r="AK27" s="471">
        <f t="shared" si="18"/>
        <v>0</v>
      </c>
      <c r="AL27" s="475">
        <f t="shared" si="19"/>
        <v>5.7500000000000002E-2</v>
      </c>
      <c r="AM27" s="471">
        <f t="shared" si="50"/>
        <v>0</v>
      </c>
      <c r="AN27" s="471">
        <f t="shared" si="20"/>
        <v>0</v>
      </c>
      <c r="AO27" s="476">
        <f t="shared" si="21"/>
        <v>0</v>
      </c>
      <c r="AP27" s="484">
        <f t="shared" si="22"/>
        <v>0</v>
      </c>
      <c r="AQ27" s="485">
        <f t="shared" si="23"/>
        <v>0</v>
      </c>
      <c r="AR27" s="471">
        <f t="shared" si="24"/>
        <v>0</v>
      </c>
      <c r="AS27" s="475">
        <f t="shared" si="25"/>
        <v>6.5000000000000002E-2</v>
      </c>
      <c r="AT27" s="471">
        <f t="shared" si="51"/>
        <v>0</v>
      </c>
      <c r="AU27" s="471">
        <f t="shared" si="26"/>
        <v>0</v>
      </c>
      <c r="AV27" s="476">
        <f t="shared" si="27"/>
        <v>0</v>
      </c>
      <c r="AW27" s="484">
        <f t="shared" si="28"/>
        <v>0</v>
      </c>
      <c r="AX27" s="485">
        <f t="shared" si="29"/>
        <v>0</v>
      </c>
      <c r="AY27" s="471">
        <f t="shared" si="30"/>
        <v>0</v>
      </c>
      <c r="AZ27" s="475">
        <f t="shared" si="31"/>
        <v>7.2500000000000009E-2</v>
      </c>
      <c r="BA27" s="471">
        <f t="shared" si="52"/>
        <v>0</v>
      </c>
      <c r="BB27" s="471">
        <f t="shared" si="32"/>
        <v>0</v>
      </c>
      <c r="BC27" s="476">
        <f t="shared" si="33"/>
        <v>0</v>
      </c>
      <c r="BD27" s="484">
        <f t="shared" si="34"/>
        <v>0</v>
      </c>
      <c r="BE27" s="474">
        <f t="shared" si="35"/>
        <v>0</v>
      </c>
      <c r="BF27" s="471">
        <f t="shared" si="36"/>
        <v>0</v>
      </c>
      <c r="BG27" s="475">
        <f t="shared" si="37"/>
        <v>8.0000000000000016E-2</v>
      </c>
      <c r="BH27" s="471">
        <f t="shared" si="53"/>
        <v>0</v>
      </c>
      <c r="BI27" s="471">
        <f t="shared" si="38"/>
        <v>0</v>
      </c>
      <c r="BJ27" s="473">
        <f t="shared" si="39"/>
        <v>0</v>
      </c>
      <c r="BK27" s="479">
        <f t="shared" si="40"/>
        <v>0</v>
      </c>
      <c r="BL27" s="480">
        <f t="shared" si="40"/>
        <v>0</v>
      </c>
      <c r="BM27" s="480">
        <f t="shared" si="41"/>
        <v>0</v>
      </c>
      <c r="BN27" s="480">
        <f t="shared" si="41"/>
        <v>0</v>
      </c>
      <c r="BO27" s="480">
        <f t="shared" si="42"/>
        <v>0</v>
      </c>
      <c r="BP27" s="480">
        <f t="shared" si="43"/>
        <v>0</v>
      </c>
      <c r="BQ27" s="480">
        <f t="shared" si="44"/>
        <v>0</v>
      </c>
      <c r="BR27" s="480">
        <f t="shared" si="45"/>
        <v>0</v>
      </c>
      <c r="BS27" s="480">
        <f t="shared" si="46"/>
        <v>0</v>
      </c>
      <c r="BT27" s="480">
        <f t="shared" si="47"/>
        <v>0</v>
      </c>
      <c r="BU27" s="480">
        <f t="shared" si="48"/>
        <v>0</v>
      </c>
      <c r="BV27" s="480">
        <f t="shared" si="49"/>
        <v>0</v>
      </c>
      <c r="BW27" s="41"/>
      <c r="BX27" s="39">
        <f t="shared" si="54"/>
        <v>0</v>
      </c>
      <c r="BY27" s="39">
        <f t="shared" si="55"/>
        <v>0</v>
      </c>
      <c r="BZ27" s="39">
        <f t="shared" si="56"/>
        <v>0</v>
      </c>
      <c r="CA27" s="40" t="s">
        <v>374</v>
      </c>
      <c r="CB27" s="40"/>
      <c r="CC27" s="40"/>
    </row>
    <row r="28" spans="1:81" ht="15">
      <c r="A28" s="453">
        <f t="shared" si="57"/>
        <v>19</v>
      </c>
      <c r="B28" s="454" t="s">
        <v>370</v>
      </c>
      <c r="C28" s="492" t="s">
        <v>395</v>
      </c>
      <c r="D28" s="456"/>
      <c r="E28" s="457" t="s">
        <v>381</v>
      </c>
      <c r="F28" s="458"/>
      <c r="G28" s="459">
        <v>5</v>
      </c>
      <c r="H28" s="460">
        <v>5</v>
      </c>
      <c r="I28" s="461" t="s">
        <v>373</v>
      </c>
      <c r="J28" s="462">
        <v>6500</v>
      </c>
      <c r="K28" s="463"/>
      <c r="L28" s="497">
        <v>5</v>
      </c>
      <c r="M28" s="465"/>
      <c r="N28" s="465"/>
      <c r="O28" s="465"/>
      <c r="P28" s="465"/>
      <c r="Q28" s="467">
        <f t="shared" si="6"/>
        <v>6500</v>
      </c>
      <c r="R28" s="483">
        <f t="shared" si="7"/>
        <v>6695</v>
      </c>
      <c r="S28" s="483">
        <f t="shared" si="7"/>
        <v>6895.85</v>
      </c>
      <c r="T28" s="483">
        <f t="shared" si="7"/>
        <v>7102.7255000000005</v>
      </c>
      <c r="U28" s="483">
        <f t="shared" si="7"/>
        <v>7315.8072650000004</v>
      </c>
      <c r="V28" s="468">
        <f t="shared" si="8"/>
        <v>32500</v>
      </c>
      <c r="W28" s="468">
        <f t="shared" si="8"/>
        <v>0</v>
      </c>
      <c r="X28" s="468">
        <f t="shared" si="8"/>
        <v>0</v>
      </c>
      <c r="Y28" s="468">
        <f t="shared" si="8"/>
        <v>0</v>
      </c>
      <c r="Z28" s="468">
        <f t="shared" si="8"/>
        <v>0</v>
      </c>
      <c r="AA28" s="469">
        <f t="shared" si="9"/>
        <v>32500</v>
      </c>
      <c r="AB28" s="470">
        <f t="shared" si="10"/>
        <v>9536.6254594391103</v>
      </c>
      <c r="AC28" s="471">
        <f t="shared" si="11"/>
        <v>6500</v>
      </c>
      <c r="AD28" s="471">
        <f t="shared" si="12"/>
        <v>3036.6254594391103</v>
      </c>
      <c r="AE28" s="472">
        <v>0.05</v>
      </c>
      <c r="AF28" s="471">
        <f t="shared" si="13"/>
        <v>1625</v>
      </c>
      <c r="AG28" s="471">
        <f t="shared" si="14"/>
        <v>81.25</v>
      </c>
      <c r="AH28" s="473">
        <f t="shared" si="15"/>
        <v>26000</v>
      </c>
      <c r="AI28" s="484">
        <f t="shared" si="16"/>
        <v>8929.3003675512882</v>
      </c>
      <c r="AJ28" s="474">
        <f t="shared" si="17"/>
        <v>6500</v>
      </c>
      <c r="AK28" s="471">
        <f t="shared" si="18"/>
        <v>2429.3003675512887</v>
      </c>
      <c r="AL28" s="475">
        <f t="shared" si="19"/>
        <v>5.7500000000000002E-2</v>
      </c>
      <c r="AM28" s="471">
        <f t="shared" si="50"/>
        <v>1868.75</v>
      </c>
      <c r="AN28" s="471">
        <f t="shared" si="20"/>
        <v>66.300000000000011</v>
      </c>
      <c r="AO28" s="476">
        <f t="shared" si="21"/>
        <v>19500</v>
      </c>
      <c r="AP28" s="484">
        <f t="shared" si="22"/>
        <v>8321.9752756634662</v>
      </c>
      <c r="AQ28" s="485">
        <f t="shared" si="23"/>
        <v>6500</v>
      </c>
      <c r="AR28" s="471">
        <f t="shared" si="24"/>
        <v>1821.9752756634662</v>
      </c>
      <c r="AS28" s="475">
        <f t="shared" si="25"/>
        <v>6.5000000000000002E-2</v>
      </c>
      <c r="AT28" s="471">
        <f t="shared" si="51"/>
        <v>2112.5</v>
      </c>
      <c r="AU28" s="471">
        <f t="shared" si="26"/>
        <v>50.719500000000011</v>
      </c>
      <c r="AV28" s="476">
        <f t="shared" si="27"/>
        <v>13000</v>
      </c>
      <c r="AW28" s="484">
        <f t="shared" si="28"/>
        <v>7714.6501837756441</v>
      </c>
      <c r="AX28" s="474">
        <f t="shared" si="29"/>
        <v>6500</v>
      </c>
      <c r="AY28" s="471">
        <f t="shared" si="30"/>
        <v>1214.6501837756443</v>
      </c>
      <c r="AZ28" s="475">
        <f t="shared" si="31"/>
        <v>7.2500000000000009E-2</v>
      </c>
      <c r="BA28" s="471">
        <f t="shared" si="52"/>
        <v>2356.2500000000005</v>
      </c>
      <c r="BB28" s="471">
        <f t="shared" si="32"/>
        <v>34.489260000000002</v>
      </c>
      <c r="BC28" s="476">
        <f t="shared" si="33"/>
        <v>6500</v>
      </c>
      <c r="BD28" s="484">
        <f t="shared" si="34"/>
        <v>7107.3250918878221</v>
      </c>
      <c r="BE28" s="474">
        <f t="shared" si="35"/>
        <v>6500</v>
      </c>
      <c r="BF28" s="471">
        <f t="shared" si="36"/>
        <v>607.32509188782217</v>
      </c>
      <c r="BG28" s="475">
        <f t="shared" si="37"/>
        <v>8.0000000000000016E-2</v>
      </c>
      <c r="BH28" s="471">
        <f t="shared" si="53"/>
        <v>2600.0000000000005</v>
      </c>
      <c r="BI28" s="471">
        <f t="shared" si="38"/>
        <v>17.589522600000002</v>
      </c>
      <c r="BJ28" s="473">
        <f t="shared" si="39"/>
        <v>0</v>
      </c>
      <c r="BK28" s="479">
        <f t="shared" si="40"/>
        <v>32500</v>
      </c>
      <c r="BL28" s="480">
        <f t="shared" si="40"/>
        <v>9109.8763783173308</v>
      </c>
      <c r="BM28" s="480">
        <f t="shared" si="41"/>
        <v>10562.5</v>
      </c>
      <c r="BN28" s="480">
        <f t="shared" si="41"/>
        <v>250.34828260000003</v>
      </c>
      <c r="BO28" s="480">
        <f t="shared" si="42"/>
        <v>41609.876378317334</v>
      </c>
      <c r="BP28" s="480">
        <f t="shared" si="43"/>
        <v>52422.724660917331</v>
      </c>
      <c r="BQ28" s="480">
        <f t="shared" si="44"/>
        <v>41609.876378317334</v>
      </c>
      <c r="BR28" s="480">
        <f t="shared" si="45"/>
        <v>0</v>
      </c>
      <c r="BS28" s="480">
        <f t="shared" si="46"/>
        <v>0</v>
      </c>
      <c r="BT28" s="480">
        <f t="shared" si="47"/>
        <v>0</v>
      </c>
      <c r="BU28" s="480">
        <f t="shared" si="48"/>
        <v>0</v>
      </c>
      <c r="BV28" s="480">
        <f t="shared" si="49"/>
        <v>0</v>
      </c>
      <c r="BW28" s="41"/>
      <c r="BX28" s="39">
        <f t="shared" si="54"/>
        <v>936.90628828659248</v>
      </c>
      <c r="BY28" s="39">
        <f t="shared" si="55"/>
        <v>905.36253062927392</v>
      </c>
      <c r="BZ28" s="39">
        <f t="shared" si="56"/>
        <v>873.76623130528878</v>
      </c>
      <c r="CA28" s="40" t="s">
        <v>374</v>
      </c>
      <c r="CB28" s="40"/>
      <c r="CC28" s="40"/>
    </row>
    <row r="29" spans="1:81" ht="15">
      <c r="A29" s="453">
        <f t="shared" si="57"/>
        <v>20</v>
      </c>
      <c r="B29" s="454" t="s">
        <v>370</v>
      </c>
      <c r="C29" s="492" t="s">
        <v>396</v>
      </c>
      <c r="D29" s="456"/>
      <c r="E29" s="457" t="s">
        <v>381</v>
      </c>
      <c r="F29" s="458"/>
      <c r="G29" s="459">
        <v>5</v>
      </c>
      <c r="H29" s="460">
        <v>5</v>
      </c>
      <c r="I29" s="461" t="s">
        <v>373</v>
      </c>
      <c r="J29" s="462">
        <v>2500</v>
      </c>
      <c r="K29" s="463"/>
      <c r="L29" s="497">
        <v>0</v>
      </c>
      <c r="M29" s="466"/>
      <c r="N29" s="466"/>
      <c r="O29" s="466"/>
      <c r="P29" s="466"/>
      <c r="Q29" s="467">
        <f t="shared" si="6"/>
        <v>2500</v>
      </c>
      <c r="R29" s="483">
        <f t="shared" si="7"/>
        <v>2575</v>
      </c>
      <c r="S29" s="483">
        <f t="shared" si="7"/>
        <v>2652.25</v>
      </c>
      <c r="T29" s="483">
        <f t="shared" si="7"/>
        <v>2731.8175000000001</v>
      </c>
      <c r="U29" s="483">
        <f t="shared" si="7"/>
        <v>2813.7720250000002</v>
      </c>
      <c r="V29" s="468">
        <f t="shared" si="8"/>
        <v>0</v>
      </c>
      <c r="W29" s="468">
        <f t="shared" si="8"/>
        <v>0</v>
      </c>
      <c r="X29" s="468">
        <f t="shared" si="8"/>
        <v>0</v>
      </c>
      <c r="Y29" s="468">
        <f t="shared" si="8"/>
        <v>0</v>
      </c>
      <c r="Z29" s="468">
        <f t="shared" si="8"/>
        <v>0</v>
      </c>
      <c r="AA29" s="469">
        <f t="shared" si="9"/>
        <v>0</v>
      </c>
      <c r="AB29" s="470">
        <f t="shared" si="10"/>
        <v>0</v>
      </c>
      <c r="AC29" s="471">
        <f t="shared" si="11"/>
        <v>0</v>
      </c>
      <c r="AD29" s="471">
        <f t="shared" si="12"/>
        <v>0</v>
      </c>
      <c r="AE29" s="472">
        <v>0.05</v>
      </c>
      <c r="AF29" s="471">
        <f t="shared" si="13"/>
        <v>0</v>
      </c>
      <c r="AG29" s="471">
        <f t="shared" si="14"/>
        <v>0</v>
      </c>
      <c r="AH29" s="473">
        <f t="shared" si="15"/>
        <v>0</v>
      </c>
      <c r="AI29" s="484">
        <f t="shared" si="16"/>
        <v>0</v>
      </c>
      <c r="AJ29" s="474">
        <f t="shared" si="17"/>
        <v>0</v>
      </c>
      <c r="AK29" s="471">
        <f t="shared" si="18"/>
        <v>0</v>
      </c>
      <c r="AL29" s="475">
        <f t="shared" si="19"/>
        <v>5.7500000000000002E-2</v>
      </c>
      <c r="AM29" s="471">
        <f t="shared" si="50"/>
        <v>0</v>
      </c>
      <c r="AN29" s="471">
        <f t="shared" si="20"/>
        <v>0</v>
      </c>
      <c r="AO29" s="476">
        <f t="shared" si="21"/>
        <v>0</v>
      </c>
      <c r="AP29" s="484">
        <f t="shared" si="22"/>
        <v>0</v>
      </c>
      <c r="AQ29" s="485">
        <f t="shared" si="23"/>
        <v>0</v>
      </c>
      <c r="AR29" s="471">
        <f t="shared" si="24"/>
        <v>0</v>
      </c>
      <c r="AS29" s="475">
        <f t="shared" si="25"/>
        <v>6.5000000000000002E-2</v>
      </c>
      <c r="AT29" s="471">
        <f t="shared" si="51"/>
        <v>0</v>
      </c>
      <c r="AU29" s="471">
        <f t="shared" si="26"/>
        <v>0</v>
      </c>
      <c r="AV29" s="476">
        <f t="shared" si="27"/>
        <v>0</v>
      </c>
      <c r="AW29" s="484">
        <f t="shared" si="28"/>
        <v>0</v>
      </c>
      <c r="AX29" s="474">
        <f t="shared" si="29"/>
        <v>0</v>
      </c>
      <c r="AY29" s="471">
        <f t="shared" si="30"/>
        <v>0</v>
      </c>
      <c r="AZ29" s="475">
        <f t="shared" si="31"/>
        <v>7.2500000000000009E-2</v>
      </c>
      <c r="BA29" s="471">
        <f t="shared" si="52"/>
        <v>0</v>
      </c>
      <c r="BB29" s="471">
        <f t="shared" si="32"/>
        <v>0</v>
      </c>
      <c r="BC29" s="476">
        <f t="shared" si="33"/>
        <v>0</v>
      </c>
      <c r="BD29" s="484">
        <f t="shared" si="34"/>
        <v>0</v>
      </c>
      <c r="BE29" s="474">
        <f t="shared" si="35"/>
        <v>0</v>
      </c>
      <c r="BF29" s="471">
        <f t="shared" si="36"/>
        <v>0</v>
      </c>
      <c r="BG29" s="475">
        <f t="shared" si="37"/>
        <v>8.0000000000000016E-2</v>
      </c>
      <c r="BH29" s="471">
        <f t="shared" si="53"/>
        <v>0</v>
      </c>
      <c r="BI29" s="471">
        <f t="shared" si="38"/>
        <v>0</v>
      </c>
      <c r="BJ29" s="473">
        <f t="shared" si="39"/>
        <v>0</v>
      </c>
      <c r="BK29" s="479">
        <f t="shared" si="40"/>
        <v>0</v>
      </c>
      <c r="BL29" s="480">
        <f t="shared" si="40"/>
        <v>0</v>
      </c>
      <c r="BM29" s="480">
        <f t="shared" si="41"/>
        <v>0</v>
      </c>
      <c r="BN29" s="480">
        <f t="shared" si="41"/>
        <v>0</v>
      </c>
      <c r="BO29" s="480">
        <f t="shared" si="42"/>
        <v>0</v>
      </c>
      <c r="BP29" s="480">
        <f t="shared" si="43"/>
        <v>0</v>
      </c>
      <c r="BQ29" s="480">
        <f t="shared" si="44"/>
        <v>0</v>
      </c>
      <c r="BR29" s="480">
        <f t="shared" si="45"/>
        <v>0</v>
      </c>
      <c r="BS29" s="480">
        <f t="shared" si="46"/>
        <v>0</v>
      </c>
      <c r="BT29" s="480">
        <f t="shared" si="47"/>
        <v>0</v>
      </c>
      <c r="BU29" s="480">
        <f t="shared" si="48"/>
        <v>0</v>
      </c>
      <c r="BV29" s="480">
        <f t="shared" si="49"/>
        <v>0</v>
      </c>
      <c r="BW29" s="41"/>
      <c r="BX29" s="39">
        <f t="shared" si="54"/>
        <v>0</v>
      </c>
      <c r="BY29" s="39">
        <f t="shared" si="55"/>
        <v>0</v>
      </c>
      <c r="BZ29" s="39">
        <f t="shared" si="56"/>
        <v>0</v>
      </c>
      <c r="CA29" s="40" t="s">
        <v>374</v>
      </c>
      <c r="CB29" s="40"/>
      <c r="CC29" s="40"/>
    </row>
    <row r="30" spans="1:81" ht="15">
      <c r="A30" s="453">
        <f t="shared" si="57"/>
        <v>21</v>
      </c>
      <c r="B30" s="454" t="s">
        <v>370</v>
      </c>
      <c r="C30" s="492" t="s">
        <v>397</v>
      </c>
      <c r="D30" s="456"/>
      <c r="E30" s="457" t="s">
        <v>381</v>
      </c>
      <c r="F30" s="458"/>
      <c r="G30" s="459">
        <v>5</v>
      </c>
      <c r="H30" s="460">
        <v>5</v>
      </c>
      <c r="I30" s="461" t="s">
        <v>373</v>
      </c>
      <c r="J30" s="462">
        <v>2500</v>
      </c>
      <c r="K30" s="463"/>
      <c r="L30" s="497">
        <v>40</v>
      </c>
      <c r="M30" s="466"/>
      <c r="N30" s="466"/>
      <c r="O30" s="466"/>
      <c r="P30" s="466"/>
      <c r="Q30" s="467">
        <f t="shared" si="6"/>
        <v>2500</v>
      </c>
      <c r="R30" s="483">
        <f>Q30*R$3+Q30</f>
        <v>2575</v>
      </c>
      <c r="S30" s="483">
        <f>R30*S$3+R30</f>
        <v>2652.25</v>
      </c>
      <c r="T30" s="483">
        <f>S30*T$3+S30</f>
        <v>2731.8175000000001</v>
      </c>
      <c r="U30" s="483">
        <f>T30*U$3+T30</f>
        <v>2813.7720250000002</v>
      </c>
      <c r="V30" s="468">
        <f>Q30*L30</f>
        <v>100000</v>
      </c>
      <c r="W30" s="468">
        <f>R30*M30</f>
        <v>0</v>
      </c>
      <c r="X30" s="468">
        <f>S30*N30</f>
        <v>0</v>
      </c>
      <c r="Y30" s="468">
        <f>T30*O30</f>
        <v>0</v>
      </c>
      <c r="Z30" s="468">
        <f>U30*P30</f>
        <v>0</v>
      </c>
      <c r="AA30" s="469">
        <f t="shared" si="9"/>
        <v>100000</v>
      </c>
      <c r="AB30" s="470">
        <f t="shared" si="10"/>
        <v>29343.462952120339</v>
      </c>
      <c r="AC30" s="471">
        <f t="shared" si="11"/>
        <v>20000</v>
      </c>
      <c r="AD30" s="471">
        <f t="shared" si="12"/>
        <v>9343.4629521203406</v>
      </c>
      <c r="AE30" s="472">
        <v>0.05</v>
      </c>
      <c r="AF30" s="471">
        <f t="shared" si="13"/>
        <v>5000</v>
      </c>
      <c r="AG30" s="471">
        <f t="shared" si="14"/>
        <v>250</v>
      </c>
      <c r="AH30" s="473">
        <f t="shared" si="15"/>
        <v>80000</v>
      </c>
      <c r="AI30" s="484">
        <f t="shared" si="16"/>
        <v>27474.770361696272</v>
      </c>
      <c r="AJ30" s="474">
        <f t="shared" si="17"/>
        <v>20000</v>
      </c>
      <c r="AK30" s="471">
        <f t="shared" si="18"/>
        <v>7474.7703616962717</v>
      </c>
      <c r="AL30" s="475">
        <f t="shared" si="19"/>
        <v>5.7500000000000002E-2</v>
      </c>
      <c r="AM30" s="471">
        <f t="shared" si="50"/>
        <v>5750</v>
      </c>
      <c r="AN30" s="471">
        <f t="shared" si="20"/>
        <v>204.00000000000003</v>
      </c>
      <c r="AO30" s="476">
        <f t="shared" si="21"/>
        <v>60000</v>
      </c>
      <c r="AP30" s="484">
        <f t="shared" si="22"/>
        <v>25606.077771272205</v>
      </c>
      <c r="AQ30" s="485">
        <f t="shared" si="23"/>
        <v>20000</v>
      </c>
      <c r="AR30" s="471">
        <f t="shared" si="24"/>
        <v>5606.0777712722047</v>
      </c>
      <c r="AS30" s="475">
        <f t="shared" si="25"/>
        <v>6.5000000000000002E-2</v>
      </c>
      <c r="AT30" s="471">
        <f t="shared" si="51"/>
        <v>6500</v>
      </c>
      <c r="AU30" s="471">
        <f t="shared" si="26"/>
        <v>156.06000000000003</v>
      </c>
      <c r="AV30" s="476">
        <f t="shared" si="27"/>
        <v>40000</v>
      </c>
      <c r="AW30" s="484">
        <f t="shared" si="28"/>
        <v>23737.385180848134</v>
      </c>
      <c r="AX30" s="474">
        <f t="shared" si="29"/>
        <v>20000</v>
      </c>
      <c r="AY30" s="471">
        <f t="shared" si="30"/>
        <v>3737.3851808481359</v>
      </c>
      <c r="AZ30" s="475">
        <f t="shared" si="31"/>
        <v>7.2500000000000009E-2</v>
      </c>
      <c r="BA30" s="471">
        <f t="shared" si="52"/>
        <v>7250.0000000000009</v>
      </c>
      <c r="BB30" s="471">
        <f t="shared" si="32"/>
        <v>106.12080000000002</v>
      </c>
      <c r="BC30" s="476">
        <f t="shared" si="33"/>
        <v>20000</v>
      </c>
      <c r="BD30" s="484">
        <f t="shared" si="34"/>
        <v>21868.692590424067</v>
      </c>
      <c r="BE30" s="474">
        <f t="shared" si="35"/>
        <v>20000</v>
      </c>
      <c r="BF30" s="471">
        <f t="shared" si="36"/>
        <v>1868.6925904240679</v>
      </c>
      <c r="BG30" s="475">
        <f t="shared" si="37"/>
        <v>8.0000000000000016E-2</v>
      </c>
      <c r="BH30" s="471">
        <f t="shared" si="53"/>
        <v>8000.0000000000018</v>
      </c>
      <c r="BI30" s="471">
        <f t="shared" si="38"/>
        <v>54.121608000000002</v>
      </c>
      <c r="BJ30" s="473">
        <f t="shared" si="39"/>
        <v>0</v>
      </c>
      <c r="BK30" s="479">
        <f>AC30+AJ30+AQ30+AX30+BE30</f>
        <v>100000</v>
      </c>
      <c r="BL30" s="480">
        <f>AD30+AK30+AR30+AY30+BF30</f>
        <v>28030.38885636102</v>
      </c>
      <c r="BM30" s="480">
        <f>BH30+BA30+AT30++AM30+AF30</f>
        <v>32500.000000000004</v>
      </c>
      <c r="BN30" s="480">
        <f>BI30+BB30+AU30++AN30+AG30</f>
        <v>770.30240800000001</v>
      </c>
      <c r="BO30" s="480">
        <f t="shared" si="42"/>
        <v>128030.38885636102</v>
      </c>
      <c r="BP30" s="480">
        <f t="shared" si="43"/>
        <v>161300.69126436103</v>
      </c>
      <c r="BQ30" s="480">
        <f t="shared" si="44"/>
        <v>128030.38885636101</v>
      </c>
      <c r="BR30" s="480">
        <f t="shared" si="45"/>
        <v>0</v>
      </c>
      <c r="BS30" s="480">
        <f t="shared" si="46"/>
        <v>0</v>
      </c>
      <c r="BT30" s="480">
        <f t="shared" si="47"/>
        <v>0</v>
      </c>
      <c r="BU30" s="480">
        <f t="shared" si="48"/>
        <v>0</v>
      </c>
      <c r="BV30" s="480">
        <f t="shared" si="49"/>
        <v>0</v>
      </c>
      <c r="BW30" s="41"/>
      <c r="BX30" s="39">
        <f t="shared" si="54"/>
        <v>2882.7885793433616</v>
      </c>
      <c r="BY30" s="39">
        <f t="shared" si="55"/>
        <v>2785.7308634746892</v>
      </c>
      <c r="BZ30" s="39">
        <f t="shared" si="56"/>
        <v>2688.5114809393503</v>
      </c>
      <c r="CA30" s="40" t="s">
        <v>374</v>
      </c>
      <c r="CB30" s="40"/>
      <c r="CC30" s="40"/>
    </row>
    <row r="31" spans="1:81" ht="15" hidden="1">
      <c r="A31" s="453">
        <f t="shared" si="57"/>
        <v>22</v>
      </c>
      <c r="B31" s="454" t="s">
        <v>382</v>
      </c>
      <c r="C31" s="492" t="s">
        <v>398</v>
      </c>
      <c r="D31" s="456"/>
      <c r="E31" s="457" t="s">
        <v>381</v>
      </c>
      <c r="F31" s="458"/>
      <c r="G31" s="459">
        <v>3</v>
      </c>
      <c r="H31" s="460">
        <v>3</v>
      </c>
      <c r="I31" s="461" t="s">
        <v>373</v>
      </c>
      <c r="J31" s="462">
        <v>60000</v>
      </c>
      <c r="K31" s="463"/>
      <c r="L31" s="497">
        <v>0</v>
      </c>
      <c r="M31" s="465"/>
      <c r="N31" s="465"/>
      <c r="O31" s="465"/>
      <c r="P31" s="465"/>
      <c r="Q31" s="467">
        <f t="shared" si="6"/>
        <v>60000</v>
      </c>
      <c r="R31" s="483">
        <f t="shared" si="7"/>
        <v>61800</v>
      </c>
      <c r="S31" s="483">
        <f t="shared" si="7"/>
        <v>63654</v>
      </c>
      <c r="T31" s="483">
        <f t="shared" si="7"/>
        <v>65563.62</v>
      </c>
      <c r="U31" s="483">
        <f t="shared" si="7"/>
        <v>67530.528599999991</v>
      </c>
      <c r="V31" s="468">
        <f t="shared" si="8"/>
        <v>0</v>
      </c>
      <c r="W31" s="468">
        <f t="shared" si="8"/>
        <v>0</v>
      </c>
      <c r="X31" s="468">
        <f t="shared" si="8"/>
        <v>0</v>
      </c>
      <c r="Y31" s="468">
        <f t="shared" si="8"/>
        <v>0</v>
      </c>
      <c r="Z31" s="468">
        <f t="shared" si="8"/>
        <v>0</v>
      </c>
      <c r="AA31" s="469">
        <f t="shared" si="9"/>
        <v>0</v>
      </c>
      <c r="AB31" s="470">
        <f t="shared" si="10"/>
        <v>0</v>
      </c>
      <c r="AC31" s="471">
        <f t="shared" si="11"/>
        <v>0</v>
      </c>
      <c r="AD31" s="471">
        <f t="shared" si="12"/>
        <v>0</v>
      </c>
      <c r="AE31" s="472">
        <v>0.05</v>
      </c>
      <c r="AF31" s="471">
        <f t="shared" si="13"/>
        <v>0</v>
      </c>
      <c r="AG31" s="471">
        <f t="shared" si="14"/>
        <v>0</v>
      </c>
      <c r="AH31" s="473">
        <f t="shared" si="15"/>
        <v>0</v>
      </c>
      <c r="AI31" s="484">
        <f t="shared" si="16"/>
        <v>0</v>
      </c>
      <c r="AJ31" s="474">
        <f t="shared" si="17"/>
        <v>0</v>
      </c>
      <c r="AK31" s="471">
        <f t="shared" si="18"/>
        <v>0</v>
      </c>
      <c r="AL31" s="475">
        <f t="shared" si="19"/>
        <v>5.7500000000000002E-2</v>
      </c>
      <c r="AM31" s="471">
        <f t="shared" si="50"/>
        <v>0</v>
      </c>
      <c r="AN31" s="471">
        <f t="shared" si="20"/>
        <v>0</v>
      </c>
      <c r="AO31" s="476">
        <f t="shared" si="21"/>
        <v>0</v>
      </c>
      <c r="AP31" s="484">
        <f t="shared" si="22"/>
        <v>0</v>
      </c>
      <c r="AQ31" s="485">
        <f t="shared" si="23"/>
        <v>0</v>
      </c>
      <c r="AR31" s="471">
        <f t="shared" si="24"/>
        <v>0</v>
      </c>
      <c r="AS31" s="475">
        <f t="shared" si="25"/>
        <v>6.5000000000000002E-2</v>
      </c>
      <c r="AT31" s="471">
        <f t="shared" si="51"/>
        <v>0</v>
      </c>
      <c r="AU31" s="471">
        <f t="shared" si="26"/>
        <v>0</v>
      </c>
      <c r="AV31" s="476">
        <f t="shared" si="27"/>
        <v>0</v>
      </c>
      <c r="AW31" s="484">
        <f t="shared" si="28"/>
        <v>0</v>
      </c>
      <c r="AX31" s="485">
        <f t="shared" si="29"/>
        <v>0</v>
      </c>
      <c r="AY31" s="471">
        <f t="shared" si="30"/>
        <v>0</v>
      </c>
      <c r="AZ31" s="475">
        <f t="shared" si="31"/>
        <v>7.2500000000000009E-2</v>
      </c>
      <c r="BA31" s="471">
        <f t="shared" si="52"/>
        <v>0</v>
      </c>
      <c r="BB31" s="471">
        <f t="shared" si="32"/>
        <v>0</v>
      </c>
      <c r="BC31" s="476">
        <f t="shared" si="33"/>
        <v>0</v>
      </c>
      <c r="BD31" s="484">
        <f t="shared" si="34"/>
        <v>0</v>
      </c>
      <c r="BE31" s="474">
        <f t="shared" si="35"/>
        <v>0</v>
      </c>
      <c r="BF31" s="471">
        <f t="shared" si="36"/>
        <v>0</v>
      </c>
      <c r="BG31" s="475">
        <f t="shared" si="37"/>
        <v>8.0000000000000016E-2</v>
      </c>
      <c r="BH31" s="471">
        <f t="shared" si="53"/>
        <v>0</v>
      </c>
      <c r="BI31" s="471">
        <f t="shared" si="38"/>
        <v>0</v>
      </c>
      <c r="BJ31" s="473">
        <f t="shared" si="39"/>
        <v>0</v>
      </c>
      <c r="BK31" s="479">
        <f t="shared" si="40"/>
        <v>0</v>
      </c>
      <c r="BL31" s="480">
        <f t="shared" si="40"/>
        <v>0</v>
      </c>
      <c r="BM31" s="480">
        <f t="shared" si="41"/>
        <v>0</v>
      </c>
      <c r="BN31" s="480">
        <f t="shared" si="41"/>
        <v>0</v>
      </c>
      <c r="BO31" s="480">
        <f t="shared" si="42"/>
        <v>0</v>
      </c>
      <c r="BP31" s="480">
        <f t="shared" si="43"/>
        <v>0</v>
      </c>
      <c r="BQ31" s="480">
        <f t="shared" si="44"/>
        <v>0</v>
      </c>
      <c r="BR31" s="480">
        <f t="shared" si="45"/>
        <v>0</v>
      </c>
      <c r="BS31" s="480">
        <f t="shared" si="46"/>
        <v>0</v>
      </c>
      <c r="BT31" s="480">
        <f t="shared" si="47"/>
        <v>0</v>
      </c>
      <c r="BU31" s="480">
        <f t="shared" si="48"/>
        <v>0</v>
      </c>
      <c r="BV31" s="480">
        <f t="shared" si="49"/>
        <v>0</v>
      </c>
      <c r="BW31" s="41"/>
      <c r="BX31" s="39">
        <f t="shared" si="54"/>
        <v>0</v>
      </c>
      <c r="BY31" s="39">
        <f t="shared" si="55"/>
        <v>0</v>
      </c>
      <c r="BZ31" s="39">
        <f t="shared" si="56"/>
        <v>0</v>
      </c>
      <c r="CA31" s="40" t="s">
        <v>374</v>
      </c>
      <c r="CB31" s="40"/>
      <c r="CC31" s="40"/>
    </row>
    <row r="32" spans="1:81" ht="15" hidden="1">
      <c r="A32" s="453">
        <f t="shared" si="57"/>
        <v>23</v>
      </c>
      <c r="B32" s="454" t="s">
        <v>382</v>
      </c>
      <c r="C32" s="498" t="s">
        <v>399</v>
      </c>
      <c r="D32" s="456"/>
      <c r="E32" s="457" t="s">
        <v>381</v>
      </c>
      <c r="F32" s="458"/>
      <c r="G32" s="459">
        <v>3</v>
      </c>
      <c r="H32" s="460">
        <v>3</v>
      </c>
      <c r="I32" s="461" t="s">
        <v>373</v>
      </c>
      <c r="J32" s="499">
        <v>110000</v>
      </c>
      <c r="K32" s="463"/>
      <c r="L32" s="497">
        <v>0</v>
      </c>
      <c r="M32" s="466"/>
      <c r="N32" s="466"/>
      <c r="O32" s="466"/>
      <c r="P32" s="466"/>
      <c r="Q32" s="467">
        <f t="shared" si="6"/>
        <v>110000</v>
      </c>
      <c r="R32" s="483">
        <f t="shared" si="7"/>
        <v>113300</v>
      </c>
      <c r="S32" s="483">
        <f t="shared" si="7"/>
        <v>116699</v>
      </c>
      <c r="T32" s="483">
        <f t="shared" si="7"/>
        <v>120199.97</v>
      </c>
      <c r="U32" s="483">
        <f t="shared" si="7"/>
        <v>123805.9691</v>
      </c>
      <c r="V32" s="468">
        <f t="shared" si="8"/>
        <v>0</v>
      </c>
      <c r="W32" s="468">
        <f t="shared" si="8"/>
        <v>0</v>
      </c>
      <c r="X32" s="468">
        <f t="shared" si="8"/>
        <v>0</v>
      </c>
      <c r="Y32" s="468">
        <f t="shared" si="8"/>
        <v>0</v>
      </c>
      <c r="Z32" s="468">
        <f t="shared" si="8"/>
        <v>0</v>
      </c>
      <c r="AA32" s="469">
        <f t="shared" si="9"/>
        <v>0</v>
      </c>
      <c r="AB32" s="470">
        <f t="shared" si="10"/>
        <v>0</v>
      </c>
      <c r="AC32" s="471">
        <f t="shared" si="11"/>
        <v>0</v>
      </c>
      <c r="AD32" s="471">
        <f t="shared" si="12"/>
        <v>0</v>
      </c>
      <c r="AE32" s="472">
        <v>0.05</v>
      </c>
      <c r="AF32" s="471">
        <f t="shared" si="13"/>
        <v>0</v>
      </c>
      <c r="AG32" s="471">
        <f t="shared" si="14"/>
        <v>0</v>
      </c>
      <c r="AH32" s="473">
        <f t="shared" si="15"/>
        <v>0</v>
      </c>
      <c r="AI32" s="484">
        <f t="shared" si="16"/>
        <v>0</v>
      </c>
      <c r="AJ32" s="474">
        <f t="shared" si="17"/>
        <v>0</v>
      </c>
      <c r="AK32" s="471">
        <f t="shared" si="18"/>
        <v>0</v>
      </c>
      <c r="AL32" s="475">
        <f t="shared" si="19"/>
        <v>5.7500000000000002E-2</v>
      </c>
      <c r="AM32" s="471">
        <f t="shared" si="50"/>
        <v>0</v>
      </c>
      <c r="AN32" s="471">
        <f t="shared" si="20"/>
        <v>0</v>
      </c>
      <c r="AO32" s="476">
        <f t="shared" si="21"/>
        <v>0</v>
      </c>
      <c r="AP32" s="484">
        <f t="shared" si="22"/>
        <v>0</v>
      </c>
      <c r="AQ32" s="485">
        <f t="shared" si="23"/>
        <v>0</v>
      </c>
      <c r="AR32" s="471">
        <f t="shared" si="24"/>
        <v>0</v>
      </c>
      <c r="AS32" s="475">
        <f t="shared" si="25"/>
        <v>6.5000000000000002E-2</v>
      </c>
      <c r="AT32" s="471">
        <f t="shared" si="51"/>
        <v>0</v>
      </c>
      <c r="AU32" s="471">
        <f t="shared" si="26"/>
        <v>0</v>
      </c>
      <c r="AV32" s="476">
        <f t="shared" si="27"/>
        <v>0</v>
      </c>
      <c r="AW32" s="484">
        <f t="shared" si="28"/>
        <v>0</v>
      </c>
      <c r="AX32" s="485">
        <f t="shared" si="29"/>
        <v>0</v>
      </c>
      <c r="AY32" s="471">
        <f t="shared" si="30"/>
        <v>0</v>
      </c>
      <c r="AZ32" s="475">
        <f t="shared" si="31"/>
        <v>7.2500000000000009E-2</v>
      </c>
      <c r="BA32" s="471">
        <f t="shared" si="52"/>
        <v>0</v>
      </c>
      <c r="BB32" s="471">
        <f t="shared" si="32"/>
        <v>0</v>
      </c>
      <c r="BC32" s="476">
        <f t="shared" si="33"/>
        <v>0</v>
      </c>
      <c r="BD32" s="484">
        <f t="shared" si="34"/>
        <v>0</v>
      </c>
      <c r="BE32" s="474">
        <f t="shared" si="35"/>
        <v>0</v>
      </c>
      <c r="BF32" s="471">
        <f t="shared" si="36"/>
        <v>0</v>
      </c>
      <c r="BG32" s="475">
        <f t="shared" si="37"/>
        <v>8.0000000000000016E-2</v>
      </c>
      <c r="BH32" s="471">
        <f t="shared" si="53"/>
        <v>0</v>
      </c>
      <c r="BI32" s="471">
        <f t="shared" si="38"/>
        <v>0</v>
      </c>
      <c r="BJ32" s="473">
        <f t="shared" si="39"/>
        <v>0</v>
      </c>
      <c r="BK32" s="479">
        <f t="shared" si="40"/>
        <v>0</v>
      </c>
      <c r="BL32" s="480">
        <f t="shared" si="40"/>
        <v>0</v>
      </c>
      <c r="BM32" s="480">
        <f t="shared" si="41"/>
        <v>0</v>
      </c>
      <c r="BN32" s="480">
        <f t="shared" si="41"/>
        <v>0</v>
      </c>
      <c r="BO32" s="480">
        <f t="shared" si="42"/>
        <v>0</v>
      </c>
      <c r="BP32" s="480">
        <f t="shared" si="43"/>
        <v>0</v>
      </c>
      <c r="BQ32" s="480">
        <f t="shared" si="44"/>
        <v>0</v>
      </c>
      <c r="BR32" s="480">
        <f t="shared" si="45"/>
        <v>0</v>
      </c>
      <c r="BS32" s="480">
        <f t="shared" si="46"/>
        <v>0</v>
      </c>
      <c r="BT32" s="480">
        <f t="shared" si="47"/>
        <v>0</v>
      </c>
      <c r="BU32" s="480">
        <f t="shared" si="48"/>
        <v>0</v>
      </c>
      <c r="BV32" s="480">
        <f t="shared" si="49"/>
        <v>0</v>
      </c>
      <c r="BW32" s="41"/>
      <c r="BX32" s="39">
        <f t="shared" si="54"/>
        <v>0</v>
      </c>
      <c r="BY32" s="39">
        <f t="shared" si="55"/>
        <v>0</v>
      </c>
      <c r="BZ32" s="39">
        <f t="shared" si="56"/>
        <v>0</v>
      </c>
      <c r="CA32" s="40" t="s">
        <v>374</v>
      </c>
      <c r="CB32" s="40"/>
      <c r="CC32" s="40"/>
    </row>
    <row r="33" spans="1:81" ht="15" hidden="1">
      <c r="A33" s="453">
        <f t="shared" si="57"/>
        <v>24</v>
      </c>
      <c r="B33" s="454" t="s">
        <v>382</v>
      </c>
      <c r="C33" s="492" t="s">
        <v>400</v>
      </c>
      <c r="D33" s="456"/>
      <c r="E33" s="457" t="s">
        <v>381</v>
      </c>
      <c r="F33" s="458"/>
      <c r="G33" s="459">
        <v>3</v>
      </c>
      <c r="H33" s="460">
        <v>3</v>
      </c>
      <c r="I33" s="461" t="s">
        <v>373</v>
      </c>
      <c r="J33" s="462">
        <f>142000+60000</f>
        <v>202000</v>
      </c>
      <c r="K33" s="463"/>
      <c r="L33" s="497">
        <v>0</v>
      </c>
      <c r="M33" s="466"/>
      <c r="N33" s="466"/>
      <c r="O33" s="466"/>
      <c r="P33" s="466"/>
      <c r="Q33" s="467">
        <f t="shared" si="6"/>
        <v>202000</v>
      </c>
      <c r="R33" s="483">
        <f t="shared" si="7"/>
        <v>208060</v>
      </c>
      <c r="S33" s="483">
        <f t="shared" si="7"/>
        <v>214301.8</v>
      </c>
      <c r="T33" s="483">
        <f t="shared" si="7"/>
        <v>220730.85399999999</v>
      </c>
      <c r="U33" s="483">
        <f t="shared" si="7"/>
        <v>227352.77961999999</v>
      </c>
      <c r="V33" s="468">
        <f t="shared" si="8"/>
        <v>0</v>
      </c>
      <c r="W33" s="468">
        <f t="shared" si="8"/>
        <v>0</v>
      </c>
      <c r="X33" s="468">
        <f t="shared" si="8"/>
        <v>0</v>
      </c>
      <c r="Y33" s="468">
        <f t="shared" si="8"/>
        <v>0</v>
      </c>
      <c r="Z33" s="468">
        <f t="shared" si="8"/>
        <v>0</v>
      </c>
      <c r="AA33" s="469">
        <f t="shared" si="9"/>
        <v>0</v>
      </c>
      <c r="AB33" s="470">
        <f t="shared" si="10"/>
        <v>0</v>
      </c>
      <c r="AC33" s="471">
        <f t="shared" si="11"/>
        <v>0</v>
      </c>
      <c r="AD33" s="471">
        <f t="shared" si="12"/>
        <v>0</v>
      </c>
      <c r="AE33" s="472">
        <v>0.05</v>
      </c>
      <c r="AF33" s="471">
        <f t="shared" si="13"/>
        <v>0</v>
      </c>
      <c r="AG33" s="471">
        <f t="shared" si="14"/>
        <v>0</v>
      </c>
      <c r="AH33" s="473">
        <f t="shared" si="15"/>
        <v>0</v>
      </c>
      <c r="AI33" s="484">
        <f t="shared" si="16"/>
        <v>0</v>
      </c>
      <c r="AJ33" s="474">
        <f t="shared" si="17"/>
        <v>0</v>
      </c>
      <c r="AK33" s="471">
        <f t="shared" si="18"/>
        <v>0</v>
      </c>
      <c r="AL33" s="475">
        <f t="shared" si="19"/>
        <v>5.7500000000000002E-2</v>
      </c>
      <c r="AM33" s="471">
        <f t="shared" si="50"/>
        <v>0</v>
      </c>
      <c r="AN33" s="471">
        <f t="shared" si="20"/>
        <v>0</v>
      </c>
      <c r="AO33" s="476">
        <f t="shared" si="21"/>
        <v>0</v>
      </c>
      <c r="AP33" s="484">
        <f t="shared" si="22"/>
        <v>0</v>
      </c>
      <c r="AQ33" s="485">
        <f t="shared" si="23"/>
        <v>0</v>
      </c>
      <c r="AR33" s="471">
        <f t="shared" si="24"/>
        <v>0</v>
      </c>
      <c r="AS33" s="475">
        <f t="shared" si="25"/>
        <v>6.5000000000000002E-2</v>
      </c>
      <c r="AT33" s="471">
        <f t="shared" si="51"/>
        <v>0</v>
      </c>
      <c r="AU33" s="471">
        <f t="shared" si="26"/>
        <v>0</v>
      </c>
      <c r="AV33" s="476">
        <f t="shared" si="27"/>
        <v>0</v>
      </c>
      <c r="AW33" s="484">
        <f t="shared" si="28"/>
        <v>0</v>
      </c>
      <c r="AX33" s="485">
        <f t="shared" si="29"/>
        <v>0</v>
      </c>
      <c r="AY33" s="471">
        <f t="shared" si="30"/>
        <v>0</v>
      </c>
      <c r="AZ33" s="475">
        <f t="shared" si="31"/>
        <v>7.2500000000000009E-2</v>
      </c>
      <c r="BA33" s="471">
        <f t="shared" si="52"/>
        <v>0</v>
      </c>
      <c r="BB33" s="471">
        <f t="shared" si="32"/>
        <v>0</v>
      </c>
      <c r="BC33" s="476">
        <f t="shared" si="33"/>
        <v>0</v>
      </c>
      <c r="BD33" s="484">
        <f t="shared" si="34"/>
        <v>0</v>
      </c>
      <c r="BE33" s="474">
        <f t="shared" si="35"/>
        <v>0</v>
      </c>
      <c r="BF33" s="471">
        <f t="shared" si="36"/>
        <v>0</v>
      </c>
      <c r="BG33" s="475">
        <f t="shared" si="37"/>
        <v>8.0000000000000016E-2</v>
      </c>
      <c r="BH33" s="471">
        <f t="shared" si="53"/>
        <v>0</v>
      </c>
      <c r="BI33" s="471">
        <f t="shared" si="38"/>
        <v>0</v>
      </c>
      <c r="BJ33" s="473">
        <f t="shared" si="39"/>
        <v>0</v>
      </c>
      <c r="BK33" s="479">
        <f t="shared" si="40"/>
        <v>0</v>
      </c>
      <c r="BL33" s="480">
        <f t="shared" si="40"/>
        <v>0</v>
      </c>
      <c r="BM33" s="480">
        <f t="shared" si="41"/>
        <v>0</v>
      </c>
      <c r="BN33" s="480">
        <f t="shared" si="41"/>
        <v>0</v>
      </c>
      <c r="BO33" s="480">
        <f t="shared" si="42"/>
        <v>0</v>
      </c>
      <c r="BP33" s="480">
        <f t="shared" si="43"/>
        <v>0</v>
      </c>
      <c r="BQ33" s="480">
        <f t="shared" si="44"/>
        <v>0</v>
      </c>
      <c r="BR33" s="480">
        <f t="shared" si="45"/>
        <v>0</v>
      </c>
      <c r="BS33" s="480">
        <f t="shared" si="46"/>
        <v>0</v>
      </c>
      <c r="BT33" s="480">
        <f t="shared" si="47"/>
        <v>0</v>
      </c>
      <c r="BU33" s="480">
        <f t="shared" si="48"/>
        <v>0</v>
      </c>
      <c r="BV33" s="480">
        <f t="shared" si="49"/>
        <v>0</v>
      </c>
      <c r="BW33" s="41"/>
      <c r="BX33" s="39">
        <f t="shared" si="54"/>
        <v>0</v>
      </c>
      <c r="BY33" s="39">
        <f t="shared" si="55"/>
        <v>0</v>
      </c>
      <c r="BZ33" s="39">
        <f t="shared" si="56"/>
        <v>0</v>
      </c>
      <c r="CA33" s="40" t="s">
        <v>374</v>
      </c>
      <c r="CB33" s="40"/>
      <c r="CC33" s="40"/>
    </row>
    <row r="34" spans="1:81" ht="15">
      <c r="A34" s="453">
        <f t="shared" si="57"/>
        <v>25</v>
      </c>
      <c r="B34" s="454" t="s">
        <v>382</v>
      </c>
      <c r="C34" s="492" t="s">
        <v>401</v>
      </c>
      <c r="D34" s="456"/>
      <c r="E34" s="457" t="s">
        <v>381</v>
      </c>
      <c r="F34" s="458"/>
      <c r="G34" s="459">
        <v>3</v>
      </c>
      <c r="H34" s="460">
        <v>3</v>
      </c>
      <c r="I34" s="461" t="s">
        <v>373</v>
      </c>
      <c r="J34" s="462">
        <f>365000+100000</f>
        <v>465000</v>
      </c>
      <c r="K34" s="463"/>
      <c r="L34" s="497">
        <v>0</v>
      </c>
      <c r="M34" s="466"/>
      <c r="N34" s="466"/>
      <c r="O34" s="466"/>
      <c r="P34" s="466"/>
      <c r="Q34" s="467">
        <f t="shared" si="6"/>
        <v>465000</v>
      </c>
      <c r="R34" s="483">
        <f t="shared" si="7"/>
        <v>478950</v>
      </c>
      <c r="S34" s="483">
        <f t="shared" si="7"/>
        <v>493318.5</v>
      </c>
      <c r="T34" s="483">
        <f t="shared" si="7"/>
        <v>508118.05499999999</v>
      </c>
      <c r="U34" s="483">
        <f t="shared" si="7"/>
        <v>523361.59664999996</v>
      </c>
      <c r="V34" s="468">
        <f t="shared" si="8"/>
        <v>0</v>
      </c>
      <c r="W34" s="468">
        <f t="shared" si="8"/>
        <v>0</v>
      </c>
      <c r="X34" s="468">
        <f t="shared" si="8"/>
        <v>0</v>
      </c>
      <c r="Y34" s="468">
        <f t="shared" si="8"/>
        <v>0</v>
      </c>
      <c r="Z34" s="468">
        <f t="shared" si="8"/>
        <v>0</v>
      </c>
      <c r="AA34" s="469">
        <f t="shared" si="9"/>
        <v>0</v>
      </c>
      <c r="AB34" s="470">
        <f t="shared" si="10"/>
        <v>0</v>
      </c>
      <c r="AC34" s="471">
        <f t="shared" si="11"/>
        <v>0</v>
      </c>
      <c r="AD34" s="471">
        <f t="shared" si="12"/>
        <v>0</v>
      </c>
      <c r="AE34" s="472">
        <v>0.05</v>
      </c>
      <c r="AF34" s="471">
        <f t="shared" si="13"/>
        <v>0</v>
      </c>
      <c r="AG34" s="471">
        <f t="shared" si="14"/>
        <v>0</v>
      </c>
      <c r="AH34" s="473">
        <f t="shared" si="15"/>
        <v>0</v>
      </c>
      <c r="AI34" s="484">
        <f t="shared" si="16"/>
        <v>0</v>
      </c>
      <c r="AJ34" s="474">
        <f t="shared" si="17"/>
        <v>0</v>
      </c>
      <c r="AK34" s="471">
        <f t="shared" si="18"/>
        <v>0</v>
      </c>
      <c r="AL34" s="475">
        <f t="shared" si="19"/>
        <v>5.7500000000000002E-2</v>
      </c>
      <c r="AM34" s="471">
        <f t="shared" si="50"/>
        <v>0</v>
      </c>
      <c r="AN34" s="471">
        <f t="shared" si="20"/>
        <v>0</v>
      </c>
      <c r="AO34" s="476">
        <f t="shared" si="21"/>
        <v>0</v>
      </c>
      <c r="AP34" s="484">
        <f t="shared" si="22"/>
        <v>0</v>
      </c>
      <c r="AQ34" s="485">
        <f t="shared" si="23"/>
        <v>0</v>
      </c>
      <c r="AR34" s="471">
        <f t="shared" si="24"/>
        <v>0</v>
      </c>
      <c r="AS34" s="475">
        <f t="shared" si="25"/>
        <v>6.5000000000000002E-2</v>
      </c>
      <c r="AT34" s="471">
        <f t="shared" si="51"/>
        <v>0</v>
      </c>
      <c r="AU34" s="471">
        <f t="shared" si="26"/>
        <v>0</v>
      </c>
      <c r="AV34" s="476">
        <f t="shared" si="27"/>
        <v>0</v>
      </c>
      <c r="AW34" s="484">
        <f t="shared" si="28"/>
        <v>0</v>
      </c>
      <c r="AX34" s="485">
        <f t="shared" si="29"/>
        <v>0</v>
      </c>
      <c r="AY34" s="471">
        <f t="shared" si="30"/>
        <v>0</v>
      </c>
      <c r="AZ34" s="475">
        <f t="shared" si="31"/>
        <v>7.2500000000000009E-2</v>
      </c>
      <c r="BA34" s="471">
        <f t="shared" si="52"/>
        <v>0</v>
      </c>
      <c r="BB34" s="471">
        <f t="shared" si="32"/>
        <v>0</v>
      </c>
      <c r="BC34" s="476">
        <f t="shared" si="33"/>
        <v>0</v>
      </c>
      <c r="BD34" s="484">
        <f t="shared" si="34"/>
        <v>0</v>
      </c>
      <c r="BE34" s="474">
        <f t="shared" si="35"/>
        <v>0</v>
      </c>
      <c r="BF34" s="471">
        <f t="shared" si="36"/>
        <v>0</v>
      </c>
      <c r="BG34" s="475">
        <f t="shared" si="37"/>
        <v>8.0000000000000016E-2</v>
      </c>
      <c r="BH34" s="471">
        <f t="shared" si="53"/>
        <v>0</v>
      </c>
      <c r="BI34" s="471">
        <f t="shared" si="38"/>
        <v>0</v>
      </c>
      <c r="BJ34" s="473">
        <f t="shared" si="39"/>
        <v>0</v>
      </c>
      <c r="BK34" s="479">
        <f t="shared" si="40"/>
        <v>0</v>
      </c>
      <c r="BL34" s="480">
        <f t="shared" si="40"/>
        <v>0</v>
      </c>
      <c r="BM34" s="480">
        <f t="shared" si="41"/>
        <v>0</v>
      </c>
      <c r="BN34" s="480">
        <f t="shared" si="41"/>
        <v>0</v>
      </c>
      <c r="BO34" s="480">
        <f t="shared" si="42"/>
        <v>0</v>
      </c>
      <c r="BP34" s="480">
        <f t="shared" si="43"/>
        <v>0</v>
      </c>
      <c r="BQ34" s="480">
        <f t="shared" si="44"/>
        <v>0</v>
      </c>
      <c r="BR34" s="480">
        <f t="shared" si="45"/>
        <v>0</v>
      </c>
      <c r="BS34" s="480">
        <f t="shared" si="46"/>
        <v>0</v>
      </c>
      <c r="BT34" s="480">
        <f t="shared" si="47"/>
        <v>0</v>
      </c>
      <c r="BU34" s="480">
        <f t="shared" si="48"/>
        <v>0</v>
      </c>
      <c r="BV34" s="480">
        <f t="shared" si="49"/>
        <v>0</v>
      </c>
      <c r="BW34" s="41"/>
      <c r="BX34" s="39">
        <f t="shared" si="54"/>
        <v>0</v>
      </c>
      <c r="BY34" s="39">
        <f t="shared" si="55"/>
        <v>0</v>
      </c>
      <c r="BZ34" s="39">
        <f t="shared" si="56"/>
        <v>0</v>
      </c>
      <c r="CA34" s="40" t="s">
        <v>374</v>
      </c>
      <c r="CB34" s="40"/>
      <c r="CC34" s="40"/>
    </row>
    <row r="35" spans="1:81" ht="15" hidden="1">
      <c r="A35" s="453">
        <f t="shared" si="57"/>
        <v>26</v>
      </c>
      <c r="B35" s="454" t="s">
        <v>382</v>
      </c>
      <c r="C35" s="492" t="s">
        <v>402</v>
      </c>
      <c r="D35" s="456"/>
      <c r="E35" s="457" t="s">
        <v>381</v>
      </c>
      <c r="F35" s="458"/>
      <c r="G35" s="459">
        <v>3</v>
      </c>
      <c r="H35" s="460">
        <v>3</v>
      </c>
      <c r="I35" s="461" t="s">
        <v>373</v>
      </c>
      <c r="J35" s="462">
        <f>510000+150000</f>
        <v>660000</v>
      </c>
      <c r="K35" s="463"/>
      <c r="L35" s="497">
        <v>0</v>
      </c>
      <c r="M35" s="466"/>
      <c r="N35" s="466"/>
      <c r="O35" s="466"/>
      <c r="P35" s="466"/>
      <c r="Q35" s="467">
        <f t="shared" si="6"/>
        <v>660000</v>
      </c>
      <c r="R35" s="483">
        <f t="shared" si="7"/>
        <v>679800</v>
      </c>
      <c r="S35" s="483">
        <f t="shared" si="7"/>
        <v>700194</v>
      </c>
      <c r="T35" s="483">
        <f t="shared" si="7"/>
        <v>721199.82</v>
      </c>
      <c r="U35" s="483">
        <f t="shared" si="7"/>
        <v>742835.81459999993</v>
      </c>
      <c r="V35" s="468">
        <f t="shared" si="8"/>
        <v>0</v>
      </c>
      <c r="W35" s="468">
        <f t="shared" si="8"/>
        <v>0</v>
      </c>
      <c r="X35" s="468">
        <f t="shared" si="8"/>
        <v>0</v>
      </c>
      <c r="Y35" s="468">
        <f t="shared" si="8"/>
        <v>0</v>
      </c>
      <c r="Z35" s="468">
        <f t="shared" si="8"/>
        <v>0</v>
      </c>
      <c r="AA35" s="469">
        <f t="shared" si="9"/>
        <v>0</v>
      </c>
      <c r="AB35" s="470">
        <f t="shared" si="10"/>
        <v>0</v>
      </c>
      <c r="AC35" s="471">
        <f t="shared" si="11"/>
        <v>0</v>
      </c>
      <c r="AD35" s="471">
        <f t="shared" si="12"/>
        <v>0</v>
      </c>
      <c r="AE35" s="472">
        <v>0.05</v>
      </c>
      <c r="AF35" s="471">
        <f t="shared" si="13"/>
        <v>0</v>
      </c>
      <c r="AG35" s="471">
        <f t="shared" si="14"/>
        <v>0</v>
      </c>
      <c r="AH35" s="473">
        <f t="shared" si="15"/>
        <v>0</v>
      </c>
      <c r="AI35" s="484">
        <f t="shared" si="16"/>
        <v>0</v>
      </c>
      <c r="AJ35" s="474">
        <f t="shared" si="17"/>
        <v>0</v>
      </c>
      <c r="AK35" s="471">
        <f t="shared" si="18"/>
        <v>0</v>
      </c>
      <c r="AL35" s="475">
        <f t="shared" si="19"/>
        <v>5.7500000000000002E-2</v>
      </c>
      <c r="AM35" s="471">
        <f t="shared" si="50"/>
        <v>0</v>
      </c>
      <c r="AN35" s="471">
        <f t="shared" si="20"/>
        <v>0</v>
      </c>
      <c r="AO35" s="476">
        <f t="shared" si="21"/>
        <v>0</v>
      </c>
      <c r="AP35" s="484">
        <f t="shared" si="22"/>
        <v>0</v>
      </c>
      <c r="AQ35" s="485">
        <f t="shared" si="23"/>
        <v>0</v>
      </c>
      <c r="AR35" s="471">
        <f t="shared" si="24"/>
        <v>0</v>
      </c>
      <c r="AS35" s="475">
        <f t="shared" si="25"/>
        <v>6.5000000000000002E-2</v>
      </c>
      <c r="AT35" s="471">
        <f t="shared" si="51"/>
        <v>0</v>
      </c>
      <c r="AU35" s="471">
        <f t="shared" si="26"/>
        <v>0</v>
      </c>
      <c r="AV35" s="476">
        <f t="shared" si="27"/>
        <v>0</v>
      </c>
      <c r="AW35" s="484">
        <f t="shared" si="28"/>
        <v>0</v>
      </c>
      <c r="AX35" s="485">
        <f t="shared" si="29"/>
        <v>0</v>
      </c>
      <c r="AY35" s="471">
        <f t="shared" si="30"/>
        <v>0</v>
      </c>
      <c r="AZ35" s="475">
        <f t="shared" si="31"/>
        <v>7.2500000000000009E-2</v>
      </c>
      <c r="BA35" s="471">
        <f t="shared" si="52"/>
        <v>0</v>
      </c>
      <c r="BB35" s="471">
        <f t="shared" si="32"/>
        <v>0</v>
      </c>
      <c r="BC35" s="476">
        <f t="shared" si="33"/>
        <v>0</v>
      </c>
      <c r="BD35" s="484">
        <f t="shared" si="34"/>
        <v>0</v>
      </c>
      <c r="BE35" s="474">
        <f t="shared" si="35"/>
        <v>0</v>
      </c>
      <c r="BF35" s="471">
        <f t="shared" si="36"/>
        <v>0</v>
      </c>
      <c r="BG35" s="475">
        <f t="shared" si="37"/>
        <v>8.0000000000000016E-2</v>
      </c>
      <c r="BH35" s="471">
        <f t="shared" si="53"/>
        <v>0</v>
      </c>
      <c r="BI35" s="471">
        <f t="shared" si="38"/>
        <v>0</v>
      </c>
      <c r="BJ35" s="473">
        <f t="shared" si="39"/>
        <v>0</v>
      </c>
      <c r="BK35" s="479">
        <f t="shared" si="40"/>
        <v>0</v>
      </c>
      <c r="BL35" s="480">
        <f t="shared" si="40"/>
        <v>0</v>
      </c>
      <c r="BM35" s="480">
        <f t="shared" si="41"/>
        <v>0</v>
      </c>
      <c r="BN35" s="480">
        <f t="shared" si="41"/>
        <v>0</v>
      </c>
      <c r="BO35" s="480">
        <f t="shared" si="42"/>
        <v>0</v>
      </c>
      <c r="BP35" s="480">
        <f t="shared" si="43"/>
        <v>0</v>
      </c>
      <c r="BQ35" s="480">
        <f t="shared" si="44"/>
        <v>0</v>
      </c>
      <c r="BR35" s="480">
        <f t="shared" si="45"/>
        <v>0</v>
      </c>
      <c r="BS35" s="480">
        <f t="shared" si="46"/>
        <v>0</v>
      </c>
      <c r="BT35" s="480">
        <f t="shared" si="47"/>
        <v>0</v>
      </c>
      <c r="BU35" s="480">
        <f t="shared" si="48"/>
        <v>0</v>
      </c>
      <c r="BV35" s="480">
        <f t="shared" si="49"/>
        <v>0</v>
      </c>
      <c r="BW35" s="41"/>
      <c r="BX35" s="39">
        <f t="shared" si="54"/>
        <v>0</v>
      </c>
      <c r="BY35" s="39">
        <f t="shared" si="55"/>
        <v>0</v>
      </c>
      <c r="BZ35" s="39">
        <f t="shared" si="56"/>
        <v>0</v>
      </c>
      <c r="CA35" s="40" t="s">
        <v>374</v>
      </c>
      <c r="CB35" s="40"/>
      <c r="CC35" s="40"/>
    </row>
    <row r="36" spans="1:81" ht="15">
      <c r="A36" s="453">
        <f t="shared" si="57"/>
        <v>27</v>
      </c>
      <c r="B36" s="454" t="s">
        <v>370</v>
      </c>
      <c r="C36" s="492" t="s">
        <v>403</v>
      </c>
      <c r="D36" s="456"/>
      <c r="E36" s="457" t="s">
        <v>381</v>
      </c>
      <c r="F36" s="458"/>
      <c r="G36" s="459">
        <v>5</v>
      </c>
      <c r="H36" s="460">
        <v>5</v>
      </c>
      <c r="I36" s="461" t="s">
        <v>373</v>
      </c>
      <c r="J36" s="462">
        <v>10000</v>
      </c>
      <c r="K36" s="463"/>
      <c r="L36" s="464">
        <v>40</v>
      </c>
      <c r="M36" s="466"/>
      <c r="N36" s="466"/>
      <c r="O36" s="466"/>
      <c r="P36" s="466"/>
      <c r="Q36" s="467">
        <f t="shared" si="6"/>
        <v>10000</v>
      </c>
      <c r="R36" s="483">
        <f t="shared" si="7"/>
        <v>10300</v>
      </c>
      <c r="S36" s="483">
        <f t="shared" si="7"/>
        <v>10609</v>
      </c>
      <c r="T36" s="483">
        <f t="shared" si="7"/>
        <v>10927.27</v>
      </c>
      <c r="U36" s="483">
        <f t="shared" si="7"/>
        <v>11255.088100000001</v>
      </c>
      <c r="V36" s="468">
        <f t="shared" si="8"/>
        <v>400000</v>
      </c>
      <c r="W36" s="468">
        <f t="shared" si="8"/>
        <v>0</v>
      </c>
      <c r="X36" s="468">
        <f t="shared" si="8"/>
        <v>0</v>
      </c>
      <c r="Y36" s="468">
        <f t="shared" si="8"/>
        <v>0</v>
      </c>
      <c r="Z36" s="468">
        <f t="shared" si="8"/>
        <v>0</v>
      </c>
      <c r="AA36" s="469">
        <f t="shared" si="9"/>
        <v>400000</v>
      </c>
      <c r="AB36" s="470">
        <f t="shared" si="10"/>
        <v>117373.85180848135</v>
      </c>
      <c r="AC36" s="471">
        <f t="shared" si="11"/>
        <v>80000</v>
      </c>
      <c r="AD36" s="471">
        <f t="shared" si="12"/>
        <v>37373.851808481362</v>
      </c>
      <c r="AE36" s="472">
        <v>0.05</v>
      </c>
      <c r="AF36" s="471">
        <f t="shared" si="13"/>
        <v>20000</v>
      </c>
      <c r="AG36" s="471">
        <f t="shared" si="14"/>
        <v>1000</v>
      </c>
      <c r="AH36" s="473">
        <f t="shared" si="15"/>
        <v>320000</v>
      </c>
      <c r="AI36" s="484">
        <f t="shared" si="16"/>
        <v>109899.08144678509</v>
      </c>
      <c r="AJ36" s="474">
        <f t="shared" si="17"/>
        <v>80000</v>
      </c>
      <c r="AK36" s="471">
        <f t="shared" si="18"/>
        <v>29899.081446785087</v>
      </c>
      <c r="AL36" s="475">
        <f t="shared" si="19"/>
        <v>5.7500000000000002E-2</v>
      </c>
      <c r="AM36" s="471">
        <f t="shared" si="50"/>
        <v>23000</v>
      </c>
      <c r="AN36" s="471">
        <f t="shared" si="20"/>
        <v>816.00000000000011</v>
      </c>
      <c r="AO36" s="476">
        <f t="shared" si="21"/>
        <v>240000</v>
      </c>
      <c r="AP36" s="484">
        <f t="shared" si="22"/>
        <v>102424.31108508882</v>
      </c>
      <c r="AQ36" s="485">
        <f t="shared" si="23"/>
        <v>80000</v>
      </c>
      <c r="AR36" s="471">
        <f t="shared" si="24"/>
        <v>22424.311085088819</v>
      </c>
      <c r="AS36" s="475">
        <f t="shared" si="25"/>
        <v>6.5000000000000002E-2</v>
      </c>
      <c r="AT36" s="471">
        <f t="shared" si="51"/>
        <v>26000</v>
      </c>
      <c r="AU36" s="471">
        <f t="shared" si="26"/>
        <v>624.24000000000012</v>
      </c>
      <c r="AV36" s="476">
        <f t="shared" si="27"/>
        <v>160000</v>
      </c>
      <c r="AW36" s="484">
        <f t="shared" si="28"/>
        <v>94949.540723392536</v>
      </c>
      <c r="AX36" s="485">
        <f t="shared" si="29"/>
        <v>80000</v>
      </c>
      <c r="AY36" s="471">
        <f t="shared" si="30"/>
        <v>14949.540723392543</v>
      </c>
      <c r="AZ36" s="475">
        <f t="shared" si="31"/>
        <v>7.2500000000000009E-2</v>
      </c>
      <c r="BA36" s="471">
        <f t="shared" si="52"/>
        <v>29000.000000000004</v>
      </c>
      <c r="BB36" s="471">
        <f t="shared" si="32"/>
        <v>424.48320000000007</v>
      </c>
      <c r="BC36" s="476">
        <f t="shared" si="33"/>
        <v>80000</v>
      </c>
      <c r="BD36" s="484">
        <f t="shared" si="34"/>
        <v>87474.770361696268</v>
      </c>
      <c r="BE36" s="474">
        <f t="shared" si="35"/>
        <v>80000</v>
      </c>
      <c r="BF36" s="471">
        <f t="shared" si="36"/>
        <v>7474.7703616962717</v>
      </c>
      <c r="BG36" s="475">
        <f t="shared" si="37"/>
        <v>8.0000000000000016E-2</v>
      </c>
      <c r="BH36" s="471">
        <f t="shared" si="53"/>
        <v>32000.000000000007</v>
      </c>
      <c r="BI36" s="471">
        <f t="shared" si="38"/>
        <v>216.48643200000001</v>
      </c>
      <c r="BJ36" s="473">
        <f t="shared" si="39"/>
        <v>0</v>
      </c>
      <c r="BK36" s="479">
        <f t="shared" si="40"/>
        <v>400000</v>
      </c>
      <c r="BL36" s="480">
        <f t="shared" si="40"/>
        <v>112121.55542544408</v>
      </c>
      <c r="BM36" s="480">
        <f t="shared" si="41"/>
        <v>130000.00000000001</v>
      </c>
      <c r="BN36" s="480">
        <f t="shared" si="41"/>
        <v>3081.2096320000001</v>
      </c>
      <c r="BO36" s="480">
        <f t="shared" si="42"/>
        <v>512121.55542544409</v>
      </c>
      <c r="BP36" s="480">
        <f t="shared" si="43"/>
        <v>645202.76505744411</v>
      </c>
      <c r="BQ36" s="480">
        <f t="shared" si="44"/>
        <v>512121.55542544404</v>
      </c>
      <c r="BR36" s="480">
        <f t="shared" si="45"/>
        <v>0</v>
      </c>
      <c r="BS36" s="480">
        <f t="shared" si="46"/>
        <v>0</v>
      </c>
      <c r="BT36" s="480">
        <f t="shared" si="47"/>
        <v>0</v>
      </c>
      <c r="BU36" s="480">
        <f t="shared" si="48"/>
        <v>0</v>
      </c>
      <c r="BV36" s="480">
        <f t="shared" si="49"/>
        <v>0</v>
      </c>
      <c r="BW36" s="41"/>
      <c r="BX36" s="39">
        <f t="shared" si="54"/>
        <v>11531.154317373446</v>
      </c>
      <c r="BY36" s="39">
        <f t="shared" si="55"/>
        <v>11142.923453898757</v>
      </c>
      <c r="BZ36" s="39">
        <f t="shared" si="56"/>
        <v>10754.045923757401</v>
      </c>
      <c r="CA36" s="40" t="s">
        <v>374</v>
      </c>
      <c r="CB36" s="40"/>
      <c r="CC36" s="40"/>
    </row>
    <row r="37" spans="1:81" ht="15" hidden="1">
      <c r="A37" s="453">
        <f t="shared" si="57"/>
        <v>28</v>
      </c>
      <c r="B37" s="454" t="s">
        <v>382</v>
      </c>
      <c r="C37" s="492" t="s">
        <v>404</v>
      </c>
      <c r="D37" s="456"/>
      <c r="E37" s="457" t="s">
        <v>381</v>
      </c>
      <c r="F37" s="458"/>
      <c r="G37" s="459">
        <v>5</v>
      </c>
      <c r="H37" s="460">
        <v>5</v>
      </c>
      <c r="I37" s="461" t="s">
        <v>373</v>
      </c>
      <c r="J37" s="462">
        <v>150000</v>
      </c>
      <c r="K37" s="463"/>
      <c r="L37" s="464">
        <v>0</v>
      </c>
      <c r="M37" s="466"/>
      <c r="N37" s="466"/>
      <c r="O37" s="466"/>
      <c r="P37" s="466"/>
      <c r="Q37" s="467">
        <f t="shared" si="6"/>
        <v>150000</v>
      </c>
      <c r="R37" s="483">
        <f t="shared" si="7"/>
        <v>154500</v>
      </c>
      <c r="S37" s="483">
        <f t="shared" si="7"/>
        <v>159135</v>
      </c>
      <c r="T37" s="483">
        <f t="shared" si="7"/>
        <v>163909.04999999999</v>
      </c>
      <c r="U37" s="483">
        <f t="shared" si="7"/>
        <v>168826.32149999999</v>
      </c>
      <c r="V37" s="468">
        <f t="shared" si="8"/>
        <v>0</v>
      </c>
      <c r="W37" s="468">
        <f t="shared" si="8"/>
        <v>0</v>
      </c>
      <c r="X37" s="468">
        <f t="shared" si="8"/>
        <v>0</v>
      </c>
      <c r="Y37" s="468">
        <f t="shared" si="8"/>
        <v>0</v>
      </c>
      <c r="Z37" s="468">
        <f t="shared" si="8"/>
        <v>0</v>
      </c>
      <c r="AA37" s="469">
        <f t="shared" si="9"/>
        <v>0</v>
      </c>
      <c r="AB37" s="470">
        <f t="shared" si="10"/>
        <v>0</v>
      </c>
      <c r="AC37" s="471">
        <f t="shared" si="11"/>
        <v>0</v>
      </c>
      <c r="AD37" s="471">
        <f t="shared" si="12"/>
        <v>0</v>
      </c>
      <c r="AE37" s="472">
        <v>0.05</v>
      </c>
      <c r="AF37" s="471">
        <f t="shared" si="13"/>
        <v>0</v>
      </c>
      <c r="AG37" s="471">
        <f t="shared" si="14"/>
        <v>0</v>
      </c>
      <c r="AH37" s="473">
        <f t="shared" si="15"/>
        <v>0</v>
      </c>
      <c r="AI37" s="484">
        <f t="shared" si="16"/>
        <v>0</v>
      </c>
      <c r="AJ37" s="474">
        <f t="shared" si="17"/>
        <v>0</v>
      </c>
      <c r="AK37" s="471">
        <f t="shared" si="18"/>
        <v>0</v>
      </c>
      <c r="AL37" s="475">
        <f t="shared" si="19"/>
        <v>5.7500000000000002E-2</v>
      </c>
      <c r="AM37" s="471">
        <f t="shared" si="50"/>
        <v>0</v>
      </c>
      <c r="AN37" s="471">
        <f t="shared" si="20"/>
        <v>0</v>
      </c>
      <c r="AO37" s="476">
        <f t="shared" si="21"/>
        <v>0</v>
      </c>
      <c r="AP37" s="484">
        <f t="shared" si="22"/>
        <v>0</v>
      </c>
      <c r="AQ37" s="485">
        <f t="shared" si="23"/>
        <v>0</v>
      </c>
      <c r="AR37" s="471">
        <f t="shared" si="24"/>
        <v>0</v>
      </c>
      <c r="AS37" s="475">
        <f t="shared" si="25"/>
        <v>6.5000000000000002E-2</v>
      </c>
      <c r="AT37" s="471">
        <f t="shared" si="51"/>
        <v>0</v>
      </c>
      <c r="AU37" s="471">
        <f t="shared" si="26"/>
        <v>0</v>
      </c>
      <c r="AV37" s="476">
        <f t="shared" si="27"/>
        <v>0</v>
      </c>
      <c r="AW37" s="484">
        <f t="shared" si="28"/>
        <v>0</v>
      </c>
      <c r="AX37" s="485">
        <f t="shared" si="29"/>
        <v>0</v>
      </c>
      <c r="AY37" s="471">
        <f t="shared" si="30"/>
        <v>0</v>
      </c>
      <c r="AZ37" s="475">
        <f t="shared" si="31"/>
        <v>7.2500000000000009E-2</v>
      </c>
      <c r="BA37" s="471">
        <f t="shared" si="52"/>
        <v>0</v>
      </c>
      <c r="BB37" s="471">
        <f t="shared" si="32"/>
        <v>0</v>
      </c>
      <c r="BC37" s="476">
        <f t="shared" si="33"/>
        <v>0</v>
      </c>
      <c r="BD37" s="484">
        <f t="shared" si="34"/>
        <v>0</v>
      </c>
      <c r="BE37" s="474">
        <f t="shared" si="35"/>
        <v>0</v>
      </c>
      <c r="BF37" s="471">
        <f t="shared" si="36"/>
        <v>0</v>
      </c>
      <c r="BG37" s="475">
        <f t="shared" si="37"/>
        <v>8.0000000000000016E-2</v>
      </c>
      <c r="BH37" s="471">
        <f t="shared" si="53"/>
        <v>0</v>
      </c>
      <c r="BI37" s="471">
        <f t="shared" si="38"/>
        <v>0</v>
      </c>
      <c r="BJ37" s="473">
        <f t="shared" si="39"/>
        <v>0</v>
      </c>
      <c r="BK37" s="479">
        <f t="shared" si="40"/>
        <v>0</v>
      </c>
      <c r="BL37" s="480">
        <f t="shared" si="40"/>
        <v>0</v>
      </c>
      <c r="BM37" s="480">
        <f t="shared" si="41"/>
        <v>0</v>
      </c>
      <c r="BN37" s="480">
        <f t="shared" si="41"/>
        <v>0</v>
      </c>
      <c r="BO37" s="480">
        <f t="shared" si="42"/>
        <v>0</v>
      </c>
      <c r="BP37" s="480">
        <f t="shared" si="43"/>
        <v>0</v>
      </c>
      <c r="BQ37" s="480">
        <f t="shared" si="44"/>
        <v>0</v>
      </c>
      <c r="BR37" s="480">
        <f t="shared" si="45"/>
        <v>0</v>
      </c>
      <c r="BS37" s="480">
        <f t="shared" si="46"/>
        <v>0</v>
      </c>
      <c r="BT37" s="480">
        <f t="shared" si="47"/>
        <v>0</v>
      </c>
      <c r="BU37" s="480">
        <f t="shared" si="48"/>
        <v>0</v>
      </c>
      <c r="BV37" s="480">
        <f t="shared" si="49"/>
        <v>0</v>
      </c>
      <c r="BW37" s="41"/>
      <c r="BX37" s="39">
        <f t="shared" si="54"/>
        <v>0</v>
      </c>
      <c r="BY37" s="39">
        <f t="shared" si="55"/>
        <v>0</v>
      </c>
      <c r="BZ37" s="39">
        <f t="shared" si="56"/>
        <v>0</v>
      </c>
      <c r="CA37" s="40"/>
      <c r="CB37" s="40"/>
      <c r="CC37" s="40"/>
    </row>
    <row r="38" spans="1:81" ht="15" hidden="1">
      <c r="A38" s="453">
        <f t="shared" si="57"/>
        <v>29</v>
      </c>
      <c r="B38" s="454" t="s">
        <v>382</v>
      </c>
      <c r="C38" s="492" t="s">
        <v>405</v>
      </c>
      <c r="D38" s="456"/>
      <c r="E38" s="457" t="s">
        <v>381</v>
      </c>
      <c r="F38" s="458"/>
      <c r="G38" s="459">
        <v>5</v>
      </c>
      <c r="H38" s="460">
        <v>5</v>
      </c>
      <c r="I38" s="461" t="s">
        <v>373</v>
      </c>
      <c r="J38" s="462">
        <v>20000</v>
      </c>
      <c r="K38" s="463"/>
      <c r="L38" s="464">
        <v>0</v>
      </c>
      <c r="M38" s="466"/>
      <c r="N38" s="466"/>
      <c r="O38" s="466"/>
      <c r="P38" s="466"/>
      <c r="Q38" s="467">
        <f t="shared" si="6"/>
        <v>20000</v>
      </c>
      <c r="R38" s="483">
        <f t="shared" si="7"/>
        <v>20600</v>
      </c>
      <c r="S38" s="483">
        <f t="shared" si="7"/>
        <v>21218</v>
      </c>
      <c r="T38" s="483">
        <f t="shared" si="7"/>
        <v>21854.54</v>
      </c>
      <c r="U38" s="483">
        <f t="shared" si="7"/>
        <v>22510.176200000002</v>
      </c>
      <c r="V38" s="468">
        <f t="shared" si="8"/>
        <v>0</v>
      </c>
      <c r="W38" s="468">
        <f t="shared" si="8"/>
        <v>0</v>
      </c>
      <c r="X38" s="468">
        <f t="shared" si="8"/>
        <v>0</v>
      </c>
      <c r="Y38" s="468">
        <f t="shared" si="8"/>
        <v>0</v>
      </c>
      <c r="Z38" s="468">
        <f t="shared" si="8"/>
        <v>0</v>
      </c>
      <c r="AA38" s="469">
        <f t="shared" si="9"/>
        <v>0</v>
      </c>
      <c r="AB38" s="470">
        <f t="shared" si="10"/>
        <v>0</v>
      </c>
      <c r="AC38" s="471">
        <f t="shared" si="11"/>
        <v>0</v>
      </c>
      <c r="AD38" s="471">
        <f t="shared" si="12"/>
        <v>0</v>
      </c>
      <c r="AE38" s="472">
        <v>0.02</v>
      </c>
      <c r="AF38" s="471">
        <f t="shared" si="13"/>
        <v>0</v>
      </c>
      <c r="AG38" s="471">
        <f t="shared" si="14"/>
        <v>0</v>
      </c>
      <c r="AH38" s="473">
        <f t="shared" si="15"/>
        <v>0</v>
      </c>
      <c r="AI38" s="484">
        <f t="shared" si="16"/>
        <v>0</v>
      </c>
      <c r="AJ38" s="474">
        <f t="shared" si="17"/>
        <v>0</v>
      </c>
      <c r="AK38" s="471">
        <f t="shared" si="18"/>
        <v>0</v>
      </c>
      <c r="AL38" s="475">
        <f t="shared" si="19"/>
        <v>2.75E-2</v>
      </c>
      <c r="AM38" s="471">
        <f t="shared" si="50"/>
        <v>0</v>
      </c>
      <c r="AN38" s="471">
        <f t="shared" si="20"/>
        <v>0</v>
      </c>
      <c r="AO38" s="476">
        <f t="shared" si="21"/>
        <v>0</v>
      </c>
      <c r="AP38" s="484">
        <f t="shared" si="22"/>
        <v>0</v>
      </c>
      <c r="AQ38" s="485">
        <f t="shared" si="23"/>
        <v>0</v>
      </c>
      <c r="AR38" s="471">
        <f t="shared" si="24"/>
        <v>0</v>
      </c>
      <c r="AS38" s="475">
        <f t="shared" si="25"/>
        <v>3.5000000000000003E-2</v>
      </c>
      <c r="AT38" s="471">
        <f t="shared" si="51"/>
        <v>0</v>
      </c>
      <c r="AU38" s="471">
        <f t="shared" si="26"/>
        <v>0</v>
      </c>
      <c r="AV38" s="476">
        <f t="shared" si="27"/>
        <v>0</v>
      </c>
      <c r="AW38" s="484">
        <f t="shared" si="28"/>
        <v>0</v>
      </c>
      <c r="AX38" s="485">
        <f t="shared" si="29"/>
        <v>0</v>
      </c>
      <c r="AY38" s="471">
        <f t="shared" si="30"/>
        <v>0</v>
      </c>
      <c r="AZ38" s="475">
        <f t="shared" si="31"/>
        <v>4.2500000000000003E-2</v>
      </c>
      <c r="BA38" s="471">
        <f t="shared" si="52"/>
        <v>0</v>
      </c>
      <c r="BB38" s="471">
        <f t="shared" si="32"/>
        <v>0</v>
      </c>
      <c r="BC38" s="476">
        <f t="shared" si="33"/>
        <v>0</v>
      </c>
      <c r="BD38" s="484">
        <f t="shared" si="34"/>
        <v>0</v>
      </c>
      <c r="BE38" s="474">
        <f t="shared" si="35"/>
        <v>0</v>
      </c>
      <c r="BF38" s="471">
        <f t="shared" si="36"/>
        <v>0</v>
      </c>
      <c r="BG38" s="475">
        <f t="shared" si="37"/>
        <v>0.05</v>
      </c>
      <c r="BH38" s="471">
        <f t="shared" si="53"/>
        <v>0</v>
      </c>
      <c r="BI38" s="471">
        <f t="shared" si="38"/>
        <v>0</v>
      </c>
      <c r="BJ38" s="473">
        <f t="shared" si="39"/>
        <v>0</v>
      </c>
      <c r="BK38" s="479">
        <f t="shared" si="40"/>
        <v>0</v>
      </c>
      <c r="BL38" s="480">
        <f t="shared" si="40"/>
        <v>0</v>
      </c>
      <c r="BM38" s="480">
        <f t="shared" si="41"/>
        <v>0</v>
      </c>
      <c r="BN38" s="480">
        <f t="shared" si="41"/>
        <v>0</v>
      </c>
      <c r="BO38" s="480">
        <f t="shared" si="42"/>
        <v>0</v>
      </c>
      <c r="BP38" s="480">
        <f t="shared" si="43"/>
        <v>0</v>
      </c>
      <c r="BQ38" s="480">
        <f t="shared" si="44"/>
        <v>0</v>
      </c>
      <c r="BR38" s="480">
        <f t="shared" si="45"/>
        <v>0</v>
      </c>
      <c r="BS38" s="480">
        <f t="shared" si="46"/>
        <v>0</v>
      </c>
      <c r="BT38" s="480">
        <f t="shared" si="47"/>
        <v>0</v>
      </c>
      <c r="BU38" s="480">
        <f t="shared" si="48"/>
        <v>0</v>
      </c>
      <c r="BV38" s="480">
        <f t="shared" si="49"/>
        <v>0</v>
      </c>
      <c r="BW38" s="41"/>
      <c r="BX38" s="39">
        <f t="shared" si="54"/>
        <v>0</v>
      </c>
      <c r="BY38" s="39">
        <f t="shared" si="55"/>
        <v>0</v>
      </c>
      <c r="BZ38" s="39">
        <f t="shared" si="56"/>
        <v>0</v>
      </c>
      <c r="CA38" s="40"/>
      <c r="CB38" s="40"/>
      <c r="CC38" s="40"/>
    </row>
    <row r="39" spans="1:81" ht="15">
      <c r="A39" s="453">
        <f t="shared" si="57"/>
        <v>30</v>
      </c>
      <c r="B39" s="454" t="s">
        <v>370</v>
      </c>
      <c r="C39" s="492" t="s">
        <v>406</v>
      </c>
      <c r="D39" s="456"/>
      <c r="E39" s="457" t="s">
        <v>381</v>
      </c>
      <c r="F39" s="458"/>
      <c r="G39" s="459">
        <v>5</v>
      </c>
      <c r="H39" s="460">
        <v>5</v>
      </c>
      <c r="I39" s="461" t="s">
        <v>373</v>
      </c>
      <c r="J39" s="462">
        <v>18000</v>
      </c>
      <c r="K39" s="463"/>
      <c r="L39" s="497">
        <v>0</v>
      </c>
      <c r="M39" s="465"/>
      <c r="N39" s="465"/>
      <c r="O39" s="465"/>
      <c r="P39" s="465"/>
      <c r="Q39" s="467">
        <f t="shared" si="6"/>
        <v>18000</v>
      </c>
      <c r="R39" s="483">
        <f t="shared" si="7"/>
        <v>18540</v>
      </c>
      <c r="S39" s="483">
        <f t="shared" si="7"/>
        <v>19096.2</v>
      </c>
      <c r="T39" s="483">
        <f t="shared" si="7"/>
        <v>19669.085999999999</v>
      </c>
      <c r="U39" s="483">
        <f t="shared" si="7"/>
        <v>20259.158579999999</v>
      </c>
      <c r="V39" s="468">
        <f t="shared" si="8"/>
        <v>0</v>
      </c>
      <c r="W39" s="468">
        <f t="shared" si="8"/>
        <v>0</v>
      </c>
      <c r="X39" s="468">
        <f t="shared" si="8"/>
        <v>0</v>
      </c>
      <c r="Y39" s="468">
        <f t="shared" si="8"/>
        <v>0</v>
      </c>
      <c r="Z39" s="468">
        <f t="shared" si="8"/>
        <v>0</v>
      </c>
      <c r="AA39" s="469">
        <f t="shared" si="9"/>
        <v>0</v>
      </c>
      <c r="AB39" s="470">
        <f t="shared" si="10"/>
        <v>0</v>
      </c>
      <c r="AC39" s="471">
        <f t="shared" si="11"/>
        <v>0</v>
      </c>
      <c r="AD39" s="471">
        <f t="shared" si="12"/>
        <v>0</v>
      </c>
      <c r="AE39" s="472">
        <v>0.02</v>
      </c>
      <c r="AF39" s="471">
        <f t="shared" si="13"/>
        <v>0</v>
      </c>
      <c r="AG39" s="471">
        <f t="shared" si="14"/>
        <v>0</v>
      </c>
      <c r="AH39" s="473">
        <f t="shared" si="15"/>
        <v>0</v>
      </c>
      <c r="AI39" s="484">
        <f t="shared" si="16"/>
        <v>0</v>
      </c>
      <c r="AJ39" s="474">
        <f t="shared" si="17"/>
        <v>0</v>
      </c>
      <c r="AK39" s="471">
        <f t="shared" si="18"/>
        <v>0</v>
      </c>
      <c r="AL39" s="475">
        <f t="shared" si="19"/>
        <v>2.75E-2</v>
      </c>
      <c r="AM39" s="471">
        <f t="shared" si="50"/>
        <v>0</v>
      </c>
      <c r="AN39" s="471">
        <f t="shared" si="20"/>
        <v>0</v>
      </c>
      <c r="AO39" s="476">
        <f t="shared" si="21"/>
        <v>0</v>
      </c>
      <c r="AP39" s="484">
        <f t="shared" si="22"/>
        <v>0</v>
      </c>
      <c r="AQ39" s="485">
        <f t="shared" si="23"/>
        <v>0</v>
      </c>
      <c r="AR39" s="471">
        <f t="shared" si="24"/>
        <v>0</v>
      </c>
      <c r="AS39" s="475">
        <f t="shared" si="25"/>
        <v>3.5000000000000003E-2</v>
      </c>
      <c r="AT39" s="471">
        <f t="shared" si="51"/>
        <v>0</v>
      </c>
      <c r="AU39" s="471">
        <f t="shared" si="26"/>
        <v>0</v>
      </c>
      <c r="AV39" s="476">
        <f t="shared" si="27"/>
        <v>0</v>
      </c>
      <c r="AW39" s="484">
        <f t="shared" si="28"/>
        <v>0</v>
      </c>
      <c r="AX39" s="485">
        <f t="shared" si="29"/>
        <v>0</v>
      </c>
      <c r="AY39" s="471">
        <f t="shared" si="30"/>
        <v>0</v>
      </c>
      <c r="AZ39" s="475">
        <f t="shared" si="31"/>
        <v>4.2500000000000003E-2</v>
      </c>
      <c r="BA39" s="471">
        <f t="shared" si="52"/>
        <v>0</v>
      </c>
      <c r="BB39" s="471">
        <f t="shared" si="32"/>
        <v>0</v>
      </c>
      <c r="BC39" s="476">
        <f t="shared" si="33"/>
        <v>0</v>
      </c>
      <c r="BD39" s="484">
        <f t="shared" si="34"/>
        <v>0</v>
      </c>
      <c r="BE39" s="474">
        <f t="shared" si="35"/>
        <v>0</v>
      </c>
      <c r="BF39" s="471">
        <f t="shared" si="36"/>
        <v>0</v>
      </c>
      <c r="BG39" s="475">
        <f t="shared" si="37"/>
        <v>0.05</v>
      </c>
      <c r="BH39" s="471">
        <f t="shared" si="53"/>
        <v>0</v>
      </c>
      <c r="BI39" s="471">
        <f t="shared" si="38"/>
        <v>0</v>
      </c>
      <c r="BJ39" s="473">
        <f t="shared" si="39"/>
        <v>0</v>
      </c>
      <c r="BK39" s="479">
        <f t="shared" si="40"/>
        <v>0</v>
      </c>
      <c r="BL39" s="480">
        <f t="shared" si="40"/>
        <v>0</v>
      </c>
      <c r="BM39" s="480">
        <f t="shared" si="41"/>
        <v>0</v>
      </c>
      <c r="BN39" s="480">
        <f t="shared" si="41"/>
        <v>0</v>
      </c>
      <c r="BO39" s="480">
        <f t="shared" si="42"/>
        <v>0</v>
      </c>
      <c r="BP39" s="480">
        <f t="shared" si="43"/>
        <v>0</v>
      </c>
      <c r="BQ39" s="480">
        <f t="shared" si="44"/>
        <v>0</v>
      </c>
      <c r="BR39" s="480">
        <f t="shared" si="45"/>
        <v>0</v>
      </c>
      <c r="BS39" s="480">
        <f t="shared" si="46"/>
        <v>0</v>
      </c>
      <c r="BT39" s="480">
        <f t="shared" si="47"/>
        <v>0</v>
      </c>
      <c r="BU39" s="480">
        <f t="shared" si="48"/>
        <v>0</v>
      </c>
      <c r="BV39" s="480">
        <f t="shared" si="49"/>
        <v>0</v>
      </c>
      <c r="BW39" s="41"/>
      <c r="BX39" s="39">
        <f t="shared" si="54"/>
        <v>0</v>
      </c>
      <c r="BY39" s="39">
        <f t="shared" si="55"/>
        <v>0</v>
      </c>
      <c r="BZ39" s="39">
        <f t="shared" si="56"/>
        <v>0</v>
      </c>
      <c r="CA39" s="40"/>
      <c r="CB39" s="40"/>
      <c r="CC39" s="40"/>
    </row>
    <row r="40" spans="1:81" ht="15" hidden="1">
      <c r="A40" s="453">
        <f t="shared" si="57"/>
        <v>31</v>
      </c>
      <c r="B40" s="454" t="s">
        <v>370</v>
      </c>
      <c r="C40" s="492" t="s">
        <v>407</v>
      </c>
      <c r="D40" s="456"/>
      <c r="E40" s="457" t="s">
        <v>381</v>
      </c>
      <c r="F40" s="458"/>
      <c r="G40" s="459">
        <v>5</v>
      </c>
      <c r="H40" s="460">
        <v>5</v>
      </c>
      <c r="I40" s="461" t="s">
        <v>373</v>
      </c>
      <c r="J40" s="462">
        <v>6500</v>
      </c>
      <c r="K40" s="463"/>
      <c r="L40" s="464">
        <v>0</v>
      </c>
      <c r="M40" s="466"/>
      <c r="N40" s="466"/>
      <c r="O40" s="466"/>
      <c r="P40" s="466"/>
      <c r="Q40" s="467">
        <f t="shared" si="6"/>
        <v>6500</v>
      </c>
      <c r="R40" s="483">
        <f t="shared" si="7"/>
        <v>6695</v>
      </c>
      <c r="S40" s="483">
        <f t="shared" si="7"/>
        <v>6895.85</v>
      </c>
      <c r="T40" s="483">
        <f t="shared" si="7"/>
        <v>7102.7255000000005</v>
      </c>
      <c r="U40" s="483">
        <f t="shared" si="7"/>
        <v>7315.8072650000004</v>
      </c>
      <c r="V40" s="468">
        <f t="shared" si="8"/>
        <v>0</v>
      </c>
      <c r="W40" s="468">
        <f t="shared" si="8"/>
        <v>0</v>
      </c>
      <c r="X40" s="468">
        <f t="shared" si="8"/>
        <v>0</v>
      </c>
      <c r="Y40" s="468">
        <f t="shared" si="8"/>
        <v>0</v>
      </c>
      <c r="Z40" s="468">
        <f t="shared" si="8"/>
        <v>0</v>
      </c>
      <c r="AA40" s="469">
        <f t="shared" si="9"/>
        <v>0</v>
      </c>
      <c r="AB40" s="470">
        <f t="shared" si="10"/>
        <v>0</v>
      </c>
      <c r="AC40" s="471">
        <f t="shared" si="11"/>
        <v>0</v>
      </c>
      <c r="AD40" s="471">
        <f t="shared" si="12"/>
        <v>0</v>
      </c>
      <c r="AE40" s="472">
        <v>0.02</v>
      </c>
      <c r="AF40" s="471">
        <f t="shared" si="13"/>
        <v>0</v>
      </c>
      <c r="AG40" s="471">
        <f t="shared" si="14"/>
        <v>0</v>
      </c>
      <c r="AH40" s="473">
        <f t="shared" si="15"/>
        <v>0</v>
      </c>
      <c r="AI40" s="484">
        <f t="shared" si="16"/>
        <v>0</v>
      </c>
      <c r="AJ40" s="474">
        <f t="shared" si="17"/>
        <v>0</v>
      </c>
      <c r="AK40" s="471">
        <f t="shared" si="18"/>
        <v>0</v>
      </c>
      <c r="AL40" s="475">
        <f t="shared" si="19"/>
        <v>2.75E-2</v>
      </c>
      <c r="AM40" s="471">
        <f t="shared" si="50"/>
        <v>0</v>
      </c>
      <c r="AN40" s="471">
        <f t="shared" si="20"/>
        <v>0</v>
      </c>
      <c r="AO40" s="476">
        <f t="shared" si="21"/>
        <v>0</v>
      </c>
      <c r="AP40" s="484">
        <f t="shared" si="22"/>
        <v>0</v>
      </c>
      <c r="AQ40" s="485">
        <f t="shared" si="23"/>
        <v>0</v>
      </c>
      <c r="AR40" s="471">
        <f t="shared" si="24"/>
        <v>0</v>
      </c>
      <c r="AS40" s="475">
        <f t="shared" si="25"/>
        <v>3.5000000000000003E-2</v>
      </c>
      <c r="AT40" s="471">
        <f t="shared" si="51"/>
        <v>0</v>
      </c>
      <c r="AU40" s="471">
        <f t="shared" si="26"/>
        <v>0</v>
      </c>
      <c r="AV40" s="476">
        <f t="shared" si="27"/>
        <v>0</v>
      </c>
      <c r="AW40" s="484">
        <f t="shared" si="28"/>
        <v>0</v>
      </c>
      <c r="AX40" s="474">
        <f t="shared" si="29"/>
        <v>0</v>
      </c>
      <c r="AY40" s="471">
        <f t="shared" si="30"/>
        <v>0</v>
      </c>
      <c r="AZ40" s="475">
        <f t="shared" si="31"/>
        <v>4.2500000000000003E-2</v>
      </c>
      <c r="BA40" s="471">
        <f t="shared" si="52"/>
        <v>0</v>
      </c>
      <c r="BB40" s="471">
        <f t="shared" si="32"/>
        <v>0</v>
      </c>
      <c r="BC40" s="476">
        <f t="shared" si="33"/>
        <v>0</v>
      </c>
      <c r="BD40" s="484">
        <f t="shared" si="34"/>
        <v>0</v>
      </c>
      <c r="BE40" s="474">
        <f t="shared" si="35"/>
        <v>0</v>
      </c>
      <c r="BF40" s="471">
        <f t="shared" si="36"/>
        <v>0</v>
      </c>
      <c r="BG40" s="475">
        <f t="shared" si="37"/>
        <v>0.05</v>
      </c>
      <c r="BH40" s="471">
        <f t="shared" si="53"/>
        <v>0</v>
      </c>
      <c r="BI40" s="471">
        <f t="shared" si="38"/>
        <v>0</v>
      </c>
      <c r="BJ40" s="473">
        <f t="shared" si="39"/>
        <v>0</v>
      </c>
      <c r="BK40" s="479">
        <f t="shared" si="40"/>
        <v>0</v>
      </c>
      <c r="BL40" s="480">
        <f t="shared" si="40"/>
        <v>0</v>
      </c>
      <c r="BM40" s="480">
        <f t="shared" si="41"/>
        <v>0</v>
      </c>
      <c r="BN40" s="480">
        <f t="shared" si="41"/>
        <v>0</v>
      </c>
      <c r="BO40" s="480">
        <f t="shared" si="42"/>
        <v>0</v>
      </c>
      <c r="BP40" s="480">
        <f t="shared" si="43"/>
        <v>0</v>
      </c>
      <c r="BQ40" s="480">
        <f t="shared" si="44"/>
        <v>0</v>
      </c>
      <c r="BR40" s="480">
        <f t="shared" si="45"/>
        <v>0</v>
      </c>
      <c r="BS40" s="480">
        <f t="shared" si="46"/>
        <v>0</v>
      </c>
      <c r="BT40" s="480">
        <f t="shared" si="47"/>
        <v>0</v>
      </c>
      <c r="BU40" s="480">
        <f t="shared" si="48"/>
        <v>0</v>
      </c>
      <c r="BV40" s="480">
        <f t="shared" si="49"/>
        <v>0</v>
      </c>
      <c r="BW40" s="41"/>
      <c r="BX40" s="39">
        <f t="shared" si="54"/>
        <v>0</v>
      </c>
      <c r="BY40" s="39">
        <f t="shared" si="55"/>
        <v>0</v>
      </c>
      <c r="BZ40" s="39">
        <f t="shared" si="56"/>
        <v>0</v>
      </c>
      <c r="CA40" s="40" t="s">
        <v>374</v>
      </c>
      <c r="CB40" s="40"/>
      <c r="CC40" s="40"/>
    </row>
    <row r="41" spans="1:81" ht="15">
      <c r="A41" s="453">
        <f t="shared" si="57"/>
        <v>32</v>
      </c>
      <c r="B41" s="454" t="s">
        <v>382</v>
      </c>
      <c r="C41" s="492" t="s">
        <v>408</v>
      </c>
      <c r="D41" s="456"/>
      <c r="E41" s="457" t="s">
        <v>381</v>
      </c>
      <c r="F41" s="458"/>
      <c r="G41" s="459">
        <v>3</v>
      </c>
      <c r="H41" s="460">
        <v>3</v>
      </c>
      <c r="I41" s="461" t="s">
        <v>373</v>
      </c>
      <c r="J41" s="462">
        <v>500000</v>
      </c>
      <c r="K41" s="463"/>
      <c r="L41" s="497">
        <v>0</v>
      </c>
      <c r="M41" s="466"/>
      <c r="N41" s="466"/>
      <c r="O41" s="466"/>
      <c r="P41" s="466"/>
      <c r="Q41" s="467">
        <f t="shared" si="6"/>
        <v>500000</v>
      </c>
      <c r="R41" s="483">
        <f t="shared" si="7"/>
        <v>515000</v>
      </c>
      <c r="S41" s="483">
        <f t="shared" si="7"/>
        <v>530450</v>
      </c>
      <c r="T41" s="483">
        <f t="shared" si="7"/>
        <v>546363.5</v>
      </c>
      <c r="U41" s="483">
        <f t="shared" si="7"/>
        <v>562754.40500000003</v>
      </c>
      <c r="V41" s="468">
        <f t="shared" si="8"/>
        <v>0</v>
      </c>
      <c r="W41" s="468">
        <f t="shared" si="8"/>
        <v>0</v>
      </c>
      <c r="X41" s="468">
        <f t="shared" si="8"/>
        <v>0</v>
      </c>
      <c r="Y41" s="468">
        <f t="shared" si="8"/>
        <v>0</v>
      </c>
      <c r="Z41" s="468">
        <f t="shared" si="8"/>
        <v>0</v>
      </c>
      <c r="AA41" s="469">
        <f t="shared" si="9"/>
        <v>0</v>
      </c>
      <c r="AB41" s="470">
        <f t="shared" si="10"/>
        <v>0</v>
      </c>
      <c r="AC41" s="471">
        <f t="shared" si="11"/>
        <v>0</v>
      </c>
      <c r="AD41" s="471">
        <f t="shared" si="12"/>
        <v>0</v>
      </c>
      <c r="AE41" s="472">
        <v>0.02</v>
      </c>
      <c r="AF41" s="471">
        <f t="shared" si="13"/>
        <v>0</v>
      </c>
      <c r="AG41" s="471">
        <f t="shared" si="14"/>
        <v>0</v>
      </c>
      <c r="AH41" s="473">
        <f t="shared" si="15"/>
        <v>0</v>
      </c>
      <c r="AI41" s="484">
        <f t="shared" si="16"/>
        <v>0</v>
      </c>
      <c r="AJ41" s="474">
        <f t="shared" si="17"/>
        <v>0</v>
      </c>
      <c r="AK41" s="471">
        <f t="shared" si="18"/>
        <v>0</v>
      </c>
      <c r="AL41" s="475">
        <f t="shared" si="19"/>
        <v>2.75E-2</v>
      </c>
      <c r="AM41" s="471">
        <f t="shared" si="50"/>
        <v>0</v>
      </c>
      <c r="AN41" s="471">
        <f t="shared" si="20"/>
        <v>0</v>
      </c>
      <c r="AO41" s="476">
        <f t="shared" si="21"/>
        <v>0</v>
      </c>
      <c r="AP41" s="484">
        <f t="shared" si="22"/>
        <v>0</v>
      </c>
      <c r="AQ41" s="485">
        <f t="shared" si="23"/>
        <v>0</v>
      </c>
      <c r="AR41" s="471">
        <f t="shared" si="24"/>
        <v>0</v>
      </c>
      <c r="AS41" s="475">
        <f t="shared" si="25"/>
        <v>3.5000000000000003E-2</v>
      </c>
      <c r="AT41" s="471">
        <f t="shared" si="51"/>
        <v>0</v>
      </c>
      <c r="AU41" s="471">
        <f t="shared" si="26"/>
        <v>0</v>
      </c>
      <c r="AV41" s="476">
        <f t="shared" si="27"/>
        <v>0</v>
      </c>
      <c r="AW41" s="484">
        <f t="shared" si="28"/>
        <v>0</v>
      </c>
      <c r="AX41" s="474">
        <f t="shared" si="29"/>
        <v>0</v>
      </c>
      <c r="AY41" s="471">
        <f t="shared" si="30"/>
        <v>0</v>
      </c>
      <c r="AZ41" s="475">
        <f t="shared" si="31"/>
        <v>4.2500000000000003E-2</v>
      </c>
      <c r="BA41" s="471">
        <f t="shared" si="52"/>
        <v>0</v>
      </c>
      <c r="BB41" s="471">
        <f t="shared" si="32"/>
        <v>0</v>
      </c>
      <c r="BC41" s="476">
        <f t="shared" si="33"/>
        <v>0</v>
      </c>
      <c r="BD41" s="484">
        <f t="shared" si="34"/>
        <v>0</v>
      </c>
      <c r="BE41" s="474">
        <f t="shared" si="35"/>
        <v>0</v>
      </c>
      <c r="BF41" s="471">
        <f t="shared" si="36"/>
        <v>0</v>
      </c>
      <c r="BG41" s="475">
        <f t="shared" si="37"/>
        <v>0.05</v>
      </c>
      <c r="BH41" s="471">
        <f t="shared" si="53"/>
        <v>0</v>
      </c>
      <c r="BI41" s="471">
        <f t="shared" si="38"/>
        <v>0</v>
      </c>
      <c r="BJ41" s="473">
        <f t="shared" si="39"/>
        <v>0</v>
      </c>
      <c r="BK41" s="479">
        <f t="shared" si="40"/>
        <v>0</v>
      </c>
      <c r="BL41" s="480">
        <f t="shared" si="40"/>
        <v>0</v>
      </c>
      <c r="BM41" s="480">
        <f t="shared" si="41"/>
        <v>0</v>
      </c>
      <c r="BN41" s="480">
        <f t="shared" si="41"/>
        <v>0</v>
      </c>
      <c r="BO41" s="480">
        <f t="shared" si="42"/>
        <v>0</v>
      </c>
      <c r="BP41" s="480">
        <f t="shared" si="43"/>
        <v>0</v>
      </c>
      <c r="BQ41" s="480">
        <f t="shared" si="44"/>
        <v>0</v>
      </c>
      <c r="BR41" s="480">
        <f t="shared" si="45"/>
        <v>0</v>
      </c>
      <c r="BS41" s="480">
        <f t="shared" si="46"/>
        <v>0</v>
      </c>
      <c r="BT41" s="480">
        <f t="shared" si="47"/>
        <v>0</v>
      </c>
      <c r="BU41" s="480">
        <f t="shared" si="48"/>
        <v>0</v>
      </c>
      <c r="BV41" s="480">
        <f t="shared" si="49"/>
        <v>0</v>
      </c>
      <c r="BW41" s="41"/>
      <c r="BX41" s="39">
        <f t="shared" si="54"/>
        <v>0</v>
      </c>
      <c r="BY41" s="39">
        <f t="shared" si="55"/>
        <v>0</v>
      </c>
      <c r="BZ41" s="39">
        <f t="shared" si="56"/>
        <v>0</v>
      </c>
      <c r="CA41" s="40" t="s">
        <v>409</v>
      </c>
      <c r="CB41" s="40"/>
      <c r="CC41" s="40"/>
    </row>
    <row r="42" spans="1:81" ht="15" hidden="1">
      <c r="A42" s="453">
        <f t="shared" si="57"/>
        <v>33</v>
      </c>
      <c r="B42" s="500" t="s">
        <v>198</v>
      </c>
      <c r="C42" s="492" t="s">
        <v>410</v>
      </c>
      <c r="D42" s="456"/>
      <c r="E42" s="457" t="s">
        <v>372</v>
      </c>
      <c r="F42" s="458"/>
      <c r="G42" s="459">
        <v>3</v>
      </c>
      <c r="H42" s="460">
        <v>3</v>
      </c>
      <c r="I42" s="461" t="s">
        <v>373</v>
      </c>
      <c r="J42" s="462">
        <v>800</v>
      </c>
      <c r="K42" s="501"/>
      <c r="L42" s="464">
        <v>0</v>
      </c>
      <c r="M42" s="465"/>
      <c r="N42" s="465"/>
      <c r="O42" s="466"/>
      <c r="P42" s="466"/>
      <c r="Q42" s="467">
        <f t="shared" si="6"/>
        <v>800</v>
      </c>
      <c r="R42" s="483">
        <f t="shared" si="7"/>
        <v>824</v>
      </c>
      <c r="S42" s="483">
        <f t="shared" si="7"/>
        <v>848.72</v>
      </c>
      <c r="T42" s="483">
        <f t="shared" si="7"/>
        <v>874.1816</v>
      </c>
      <c r="U42" s="483">
        <f t="shared" si="7"/>
        <v>900.40704800000003</v>
      </c>
      <c r="V42" s="468">
        <f t="shared" si="8"/>
        <v>0</v>
      </c>
      <c r="W42" s="468">
        <f t="shared" si="8"/>
        <v>0</v>
      </c>
      <c r="X42" s="468">
        <f t="shared" si="8"/>
        <v>0</v>
      </c>
      <c r="Y42" s="468">
        <f t="shared" si="8"/>
        <v>0</v>
      </c>
      <c r="Z42" s="468">
        <f t="shared" si="8"/>
        <v>0</v>
      </c>
      <c r="AA42" s="469">
        <f t="shared" si="9"/>
        <v>0</v>
      </c>
      <c r="AB42" s="470">
        <f t="shared" si="10"/>
        <v>0</v>
      </c>
      <c r="AC42" s="471">
        <f t="shared" si="11"/>
        <v>0</v>
      </c>
      <c r="AD42" s="471">
        <f t="shared" si="12"/>
        <v>0</v>
      </c>
      <c r="AE42" s="472">
        <v>0.03</v>
      </c>
      <c r="AF42" s="471">
        <f t="shared" si="13"/>
        <v>0</v>
      </c>
      <c r="AG42" s="471">
        <f t="shared" si="14"/>
        <v>0</v>
      </c>
      <c r="AH42" s="473">
        <f t="shared" si="15"/>
        <v>0</v>
      </c>
      <c r="AI42" s="484">
        <f t="shared" si="16"/>
        <v>0</v>
      </c>
      <c r="AJ42" s="474">
        <f t="shared" si="17"/>
        <v>0</v>
      </c>
      <c r="AK42" s="471">
        <f t="shared" si="18"/>
        <v>0</v>
      </c>
      <c r="AL42" s="475">
        <f t="shared" si="19"/>
        <v>3.7499999999999999E-2</v>
      </c>
      <c r="AM42" s="471">
        <f t="shared" si="50"/>
        <v>0</v>
      </c>
      <c r="AN42" s="471">
        <f t="shared" si="20"/>
        <v>0</v>
      </c>
      <c r="AO42" s="476">
        <f t="shared" si="21"/>
        <v>0</v>
      </c>
      <c r="AP42" s="484">
        <f t="shared" si="22"/>
        <v>0</v>
      </c>
      <c r="AQ42" s="485">
        <f t="shared" si="23"/>
        <v>0</v>
      </c>
      <c r="AR42" s="471">
        <f t="shared" si="24"/>
        <v>0</v>
      </c>
      <c r="AS42" s="475">
        <f t="shared" si="25"/>
        <v>4.4999999999999998E-2</v>
      </c>
      <c r="AT42" s="471">
        <f t="shared" si="51"/>
        <v>0</v>
      </c>
      <c r="AU42" s="471">
        <f t="shared" si="26"/>
        <v>0</v>
      </c>
      <c r="AV42" s="476">
        <f t="shared" si="27"/>
        <v>0</v>
      </c>
      <c r="AW42" s="484">
        <f t="shared" si="28"/>
        <v>0</v>
      </c>
      <c r="AX42" s="485">
        <f t="shared" si="29"/>
        <v>0</v>
      </c>
      <c r="AY42" s="471">
        <f t="shared" si="30"/>
        <v>0</v>
      </c>
      <c r="AZ42" s="475">
        <f t="shared" si="31"/>
        <v>5.2499999999999998E-2</v>
      </c>
      <c r="BA42" s="471">
        <f t="shared" si="52"/>
        <v>0</v>
      </c>
      <c r="BB42" s="471">
        <f t="shared" si="32"/>
        <v>0</v>
      </c>
      <c r="BC42" s="476">
        <f t="shared" si="33"/>
        <v>0</v>
      </c>
      <c r="BD42" s="484">
        <f t="shared" si="34"/>
        <v>0</v>
      </c>
      <c r="BE42" s="474">
        <f t="shared" si="35"/>
        <v>0</v>
      </c>
      <c r="BF42" s="471">
        <f t="shared" si="36"/>
        <v>0</v>
      </c>
      <c r="BG42" s="475">
        <f t="shared" si="37"/>
        <v>0.06</v>
      </c>
      <c r="BH42" s="471">
        <f t="shared" si="53"/>
        <v>0</v>
      </c>
      <c r="BI42" s="471">
        <f t="shared" si="38"/>
        <v>0</v>
      </c>
      <c r="BJ42" s="473">
        <f t="shared" si="39"/>
        <v>0</v>
      </c>
      <c r="BK42" s="479">
        <f t="shared" si="40"/>
        <v>0</v>
      </c>
      <c r="BL42" s="480">
        <f t="shared" si="40"/>
        <v>0</v>
      </c>
      <c r="BM42" s="480">
        <f t="shared" si="41"/>
        <v>0</v>
      </c>
      <c r="BN42" s="480">
        <f t="shared" si="41"/>
        <v>0</v>
      </c>
      <c r="BO42" s="480">
        <f t="shared" si="42"/>
        <v>0</v>
      </c>
      <c r="BP42" s="480">
        <f t="shared" si="43"/>
        <v>0</v>
      </c>
      <c r="BQ42" s="480">
        <f t="shared" si="44"/>
        <v>0</v>
      </c>
      <c r="BR42" s="480">
        <f t="shared" si="45"/>
        <v>0</v>
      </c>
      <c r="BS42" s="480">
        <f t="shared" si="46"/>
        <v>0</v>
      </c>
      <c r="BT42" s="480">
        <f t="shared" si="47"/>
        <v>0</v>
      </c>
      <c r="BU42" s="480">
        <f t="shared" si="48"/>
        <v>0</v>
      </c>
      <c r="BV42" s="480">
        <f t="shared" si="49"/>
        <v>0</v>
      </c>
      <c r="BW42" s="41"/>
      <c r="BX42" s="39">
        <f t="shared" si="54"/>
        <v>0</v>
      </c>
      <c r="BY42" s="39">
        <f t="shared" si="55"/>
        <v>0</v>
      </c>
      <c r="BZ42" s="39">
        <f t="shared" si="56"/>
        <v>0</v>
      </c>
      <c r="CA42" s="40" t="s">
        <v>374</v>
      </c>
      <c r="CB42" s="40"/>
      <c r="CC42" s="40"/>
    </row>
    <row r="43" spans="1:81" ht="15" hidden="1">
      <c r="A43" s="453">
        <f t="shared" si="57"/>
        <v>34</v>
      </c>
      <c r="B43" s="500" t="s">
        <v>198</v>
      </c>
      <c r="C43" s="492" t="s">
        <v>411</v>
      </c>
      <c r="D43" s="456"/>
      <c r="E43" s="457" t="s">
        <v>372</v>
      </c>
      <c r="F43" s="458"/>
      <c r="G43" s="459">
        <v>3</v>
      </c>
      <c r="H43" s="460">
        <v>3</v>
      </c>
      <c r="I43" s="461" t="s">
        <v>373</v>
      </c>
      <c r="J43" s="462">
        <v>1500</v>
      </c>
      <c r="K43" s="463"/>
      <c r="L43" s="497">
        <v>0</v>
      </c>
      <c r="M43" s="465"/>
      <c r="N43" s="465"/>
      <c r="O43" s="465"/>
      <c r="P43" s="465"/>
      <c r="Q43" s="467">
        <f t="shared" si="6"/>
        <v>1500</v>
      </c>
      <c r="R43" s="483">
        <f t="shared" si="7"/>
        <v>1545</v>
      </c>
      <c r="S43" s="483">
        <f t="shared" si="7"/>
        <v>1591.35</v>
      </c>
      <c r="T43" s="483">
        <f t="shared" si="7"/>
        <v>1639.0904999999998</v>
      </c>
      <c r="U43" s="483">
        <f t="shared" si="7"/>
        <v>1688.2632149999997</v>
      </c>
      <c r="V43" s="468">
        <f>Q43*L43</f>
        <v>0</v>
      </c>
      <c r="W43" s="468">
        <f t="shared" si="8"/>
        <v>0</v>
      </c>
      <c r="X43" s="468">
        <f t="shared" si="8"/>
        <v>0</v>
      </c>
      <c r="Y43" s="468">
        <f t="shared" si="8"/>
        <v>0</v>
      </c>
      <c r="Z43" s="468">
        <f t="shared" si="8"/>
        <v>0</v>
      </c>
      <c r="AA43" s="469">
        <f t="shared" si="9"/>
        <v>0</v>
      </c>
      <c r="AB43" s="470">
        <f t="shared" si="10"/>
        <v>0</v>
      </c>
      <c r="AC43" s="471">
        <f t="shared" si="11"/>
        <v>0</v>
      </c>
      <c r="AD43" s="471">
        <f t="shared" si="12"/>
        <v>0</v>
      </c>
      <c r="AE43" s="472">
        <v>0.1</v>
      </c>
      <c r="AF43" s="471">
        <f t="shared" si="13"/>
        <v>0</v>
      </c>
      <c r="AG43" s="471">
        <f t="shared" si="14"/>
        <v>0</v>
      </c>
      <c r="AH43" s="473">
        <f t="shared" si="15"/>
        <v>0</v>
      </c>
      <c r="AI43" s="484">
        <f t="shared" si="16"/>
        <v>0</v>
      </c>
      <c r="AJ43" s="474">
        <f t="shared" si="17"/>
        <v>0</v>
      </c>
      <c r="AK43" s="471">
        <f t="shared" si="18"/>
        <v>0</v>
      </c>
      <c r="AL43" s="475">
        <f t="shared" si="19"/>
        <v>0.10750000000000001</v>
      </c>
      <c r="AM43" s="471">
        <f t="shared" si="50"/>
        <v>0</v>
      </c>
      <c r="AN43" s="471">
        <f t="shared" si="20"/>
        <v>0</v>
      </c>
      <c r="AO43" s="476">
        <f t="shared" si="21"/>
        <v>0</v>
      </c>
      <c r="AP43" s="484">
        <f t="shared" si="22"/>
        <v>0</v>
      </c>
      <c r="AQ43" s="485">
        <f t="shared" si="23"/>
        <v>0</v>
      </c>
      <c r="AR43" s="471">
        <f t="shared" si="24"/>
        <v>0</v>
      </c>
      <c r="AS43" s="475">
        <f t="shared" si="25"/>
        <v>0.11500000000000002</v>
      </c>
      <c r="AT43" s="471">
        <f t="shared" si="51"/>
        <v>0</v>
      </c>
      <c r="AU43" s="471">
        <f t="shared" si="26"/>
        <v>0</v>
      </c>
      <c r="AV43" s="476">
        <f t="shared" si="27"/>
        <v>0</v>
      </c>
      <c r="AW43" s="484">
        <f t="shared" si="28"/>
        <v>0</v>
      </c>
      <c r="AX43" s="485">
        <f t="shared" si="29"/>
        <v>0</v>
      </c>
      <c r="AY43" s="471">
        <f t="shared" si="30"/>
        <v>0</v>
      </c>
      <c r="AZ43" s="475">
        <f t="shared" si="31"/>
        <v>0.12250000000000003</v>
      </c>
      <c r="BA43" s="471">
        <f t="shared" si="52"/>
        <v>0</v>
      </c>
      <c r="BB43" s="471">
        <f t="shared" si="32"/>
        <v>0</v>
      </c>
      <c r="BC43" s="476">
        <f t="shared" si="33"/>
        <v>0</v>
      </c>
      <c r="BD43" s="484">
        <f t="shared" si="34"/>
        <v>0</v>
      </c>
      <c r="BE43" s="474">
        <f t="shared" si="35"/>
        <v>0</v>
      </c>
      <c r="BF43" s="471">
        <f t="shared" si="36"/>
        <v>0</v>
      </c>
      <c r="BG43" s="475">
        <f t="shared" si="37"/>
        <v>0.13000000000000003</v>
      </c>
      <c r="BH43" s="471">
        <f t="shared" si="53"/>
        <v>0</v>
      </c>
      <c r="BI43" s="471">
        <f t="shared" si="38"/>
        <v>0</v>
      </c>
      <c r="BJ43" s="473">
        <f t="shared" si="39"/>
        <v>0</v>
      </c>
      <c r="BK43" s="479">
        <f t="shared" si="40"/>
        <v>0</v>
      </c>
      <c r="BL43" s="480">
        <f t="shared" si="40"/>
        <v>0</v>
      </c>
      <c r="BM43" s="480">
        <f t="shared" si="41"/>
        <v>0</v>
      </c>
      <c r="BN43" s="480">
        <f t="shared" si="41"/>
        <v>0</v>
      </c>
      <c r="BO43" s="480">
        <f t="shared" si="42"/>
        <v>0</v>
      </c>
      <c r="BP43" s="480">
        <f t="shared" si="43"/>
        <v>0</v>
      </c>
      <c r="BQ43" s="480">
        <f t="shared" si="44"/>
        <v>0</v>
      </c>
      <c r="BR43" s="480">
        <f t="shared" si="45"/>
        <v>0</v>
      </c>
      <c r="BS43" s="480">
        <f t="shared" si="46"/>
        <v>0</v>
      </c>
      <c r="BT43" s="480">
        <f t="shared" si="47"/>
        <v>0</v>
      </c>
      <c r="BU43" s="480">
        <f t="shared" si="48"/>
        <v>0</v>
      </c>
      <c r="BV43" s="480">
        <f t="shared" si="49"/>
        <v>0</v>
      </c>
      <c r="BW43" s="41"/>
      <c r="BX43" s="39">
        <f t="shared" si="54"/>
        <v>0</v>
      </c>
      <c r="BY43" s="39">
        <f t="shared" si="55"/>
        <v>0</v>
      </c>
      <c r="BZ43" s="39">
        <f t="shared" si="56"/>
        <v>0</v>
      </c>
      <c r="CA43" s="40" t="s">
        <v>374</v>
      </c>
      <c r="CB43" s="40"/>
      <c r="CC43" s="40"/>
    </row>
    <row r="44" spans="1:81" ht="15" hidden="1">
      <c r="A44" s="453">
        <f t="shared" si="57"/>
        <v>35</v>
      </c>
      <c r="B44" s="500" t="s">
        <v>198</v>
      </c>
      <c r="C44" s="492" t="s">
        <v>412</v>
      </c>
      <c r="D44" s="456"/>
      <c r="E44" s="457" t="s">
        <v>372</v>
      </c>
      <c r="F44" s="458"/>
      <c r="G44" s="459">
        <v>3</v>
      </c>
      <c r="H44" s="460">
        <v>3</v>
      </c>
      <c r="I44" s="461" t="s">
        <v>373</v>
      </c>
      <c r="J44" s="462">
        <v>1200</v>
      </c>
      <c r="K44" s="501"/>
      <c r="L44" s="464">
        <v>0</v>
      </c>
      <c r="M44" s="466"/>
      <c r="N44" s="466"/>
      <c r="O44" s="466"/>
      <c r="P44" s="466"/>
      <c r="Q44" s="467">
        <f t="shared" si="6"/>
        <v>1200</v>
      </c>
      <c r="R44" s="483">
        <f t="shared" si="7"/>
        <v>1236</v>
      </c>
      <c r="S44" s="483">
        <f t="shared" si="7"/>
        <v>1273.08</v>
      </c>
      <c r="T44" s="483">
        <f t="shared" si="7"/>
        <v>1311.2723999999998</v>
      </c>
      <c r="U44" s="483">
        <f t="shared" si="7"/>
        <v>1350.6105719999998</v>
      </c>
      <c r="V44" s="468">
        <f t="shared" si="8"/>
        <v>0</v>
      </c>
      <c r="W44" s="468">
        <f t="shared" si="8"/>
        <v>0</v>
      </c>
      <c r="X44" s="468">
        <f t="shared" si="8"/>
        <v>0</v>
      </c>
      <c r="Y44" s="468">
        <f t="shared" si="8"/>
        <v>0</v>
      </c>
      <c r="Z44" s="468">
        <f t="shared" si="8"/>
        <v>0</v>
      </c>
      <c r="AA44" s="469">
        <f t="shared" si="9"/>
        <v>0</v>
      </c>
      <c r="AB44" s="470">
        <f t="shared" si="10"/>
        <v>0</v>
      </c>
      <c r="AC44" s="471">
        <f t="shared" si="11"/>
        <v>0</v>
      </c>
      <c r="AD44" s="471">
        <f t="shared" si="12"/>
        <v>0</v>
      </c>
      <c r="AE44" s="472">
        <v>0.05</v>
      </c>
      <c r="AF44" s="471">
        <f t="shared" si="13"/>
        <v>0</v>
      </c>
      <c r="AG44" s="471">
        <f t="shared" si="14"/>
        <v>0</v>
      </c>
      <c r="AH44" s="473">
        <f t="shared" si="15"/>
        <v>0</v>
      </c>
      <c r="AI44" s="484">
        <f t="shared" si="16"/>
        <v>0</v>
      </c>
      <c r="AJ44" s="474">
        <f t="shared" si="17"/>
        <v>0</v>
      </c>
      <c r="AK44" s="471">
        <f t="shared" si="18"/>
        <v>0</v>
      </c>
      <c r="AL44" s="475">
        <f t="shared" si="19"/>
        <v>5.7500000000000002E-2</v>
      </c>
      <c r="AM44" s="471">
        <f t="shared" si="50"/>
        <v>0</v>
      </c>
      <c r="AN44" s="471">
        <f t="shared" si="20"/>
        <v>0</v>
      </c>
      <c r="AO44" s="476">
        <f t="shared" si="21"/>
        <v>0</v>
      </c>
      <c r="AP44" s="484">
        <f t="shared" si="22"/>
        <v>0</v>
      </c>
      <c r="AQ44" s="485">
        <f t="shared" si="23"/>
        <v>0</v>
      </c>
      <c r="AR44" s="471">
        <f t="shared" si="24"/>
        <v>0</v>
      </c>
      <c r="AS44" s="475">
        <f t="shared" si="25"/>
        <v>6.5000000000000002E-2</v>
      </c>
      <c r="AT44" s="471">
        <f t="shared" si="51"/>
        <v>0</v>
      </c>
      <c r="AU44" s="471">
        <f t="shared" si="26"/>
        <v>0</v>
      </c>
      <c r="AV44" s="476">
        <f t="shared" si="27"/>
        <v>0</v>
      </c>
      <c r="AW44" s="484">
        <f t="shared" si="28"/>
        <v>0</v>
      </c>
      <c r="AX44" s="485">
        <f t="shared" si="29"/>
        <v>0</v>
      </c>
      <c r="AY44" s="471">
        <f t="shared" si="30"/>
        <v>0</v>
      </c>
      <c r="AZ44" s="475">
        <f t="shared" si="31"/>
        <v>7.2500000000000009E-2</v>
      </c>
      <c r="BA44" s="471">
        <f t="shared" si="52"/>
        <v>0</v>
      </c>
      <c r="BB44" s="471">
        <f t="shared" si="32"/>
        <v>0</v>
      </c>
      <c r="BC44" s="476">
        <f t="shared" si="33"/>
        <v>0</v>
      </c>
      <c r="BD44" s="484">
        <f t="shared" si="34"/>
        <v>0</v>
      </c>
      <c r="BE44" s="474">
        <f t="shared" si="35"/>
        <v>0</v>
      </c>
      <c r="BF44" s="471">
        <f t="shared" si="36"/>
        <v>0</v>
      </c>
      <c r="BG44" s="475">
        <f t="shared" si="37"/>
        <v>8.0000000000000016E-2</v>
      </c>
      <c r="BH44" s="471">
        <f t="shared" si="53"/>
        <v>0</v>
      </c>
      <c r="BI44" s="471">
        <f t="shared" si="38"/>
        <v>0</v>
      </c>
      <c r="BJ44" s="473">
        <f t="shared" si="39"/>
        <v>0</v>
      </c>
      <c r="BK44" s="479">
        <f t="shared" si="40"/>
        <v>0</v>
      </c>
      <c r="BL44" s="480">
        <f t="shared" si="40"/>
        <v>0</v>
      </c>
      <c r="BM44" s="480">
        <f t="shared" si="41"/>
        <v>0</v>
      </c>
      <c r="BN44" s="480">
        <f t="shared" si="41"/>
        <v>0</v>
      </c>
      <c r="BO44" s="480">
        <f t="shared" si="42"/>
        <v>0</v>
      </c>
      <c r="BP44" s="480">
        <f t="shared" si="43"/>
        <v>0</v>
      </c>
      <c r="BQ44" s="480">
        <f t="shared" si="44"/>
        <v>0</v>
      </c>
      <c r="BR44" s="480">
        <f t="shared" si="45"/>
        <v>0</v>
      </c>
      <c r="BS44" s="480">
        <f t="shared" si="46"/>
        <v>0</v>
      </c>
      <c r="BT44" s="480">
        <f t="shared" si="47"/>
        <v>0</v>
      </c>
      <c r="BU44" s="480">
        <f t="shared" si="48"/>
        <v>0</v>
      </c>
      <c r="BV44" s="480">
        <f t="shared" si="49"/>
        <v>0</v>
      </c>
      <c r="BW44" s="41"/>
      <c r="BX44" s="39">
        <f t="shared" si="54"/>
        <v>0</v>
      </c>
      <c r="BY44" s="39">
        <f t="shared" si="55"/>
        <v>0</v>
      </c>
      <c r="BZ44" s="39">
        <f t="shared" si="56"/>
        <v>0</v>
      </c>
      <c r="CA44" s="40"/>
      <c r="CB44" s="40"/>
      <c r="CC44" s="40"/>
    </row>
    <row r="45" spans="1:81" ht="15" hidden="1">
      <c r="A45" s="453">
        <f t="shared" si="57"/>
        <v>36</v>
      </c>
      <c r="B45" s="500" t="s">
        <v>198</v>
      </c>
      <c r="C45" s="492" t="s">
        <v>413</v>
      </c>
      <c r="D45" s="456"/>
      <c r="E45" s="457" t="s">
        <v>372</v>
      </c>
      <c r="F45" s="458"/>
      <c r="G45" s="459">
        <v>3</v>
      </c>
      <c r="H45" s="460">
        <v>3</v>
      </c>
      <c r="I45" s="461" t="s">
        <v>373</v>
      </c>
      <c r="J45" s="462">
        <v>690</v>
      </c>
      <c r="K45" s="463"/>
      <c r="L45" s="464">
        <v>0</v>
      </c>
      <c r="M45" s="466"/>
      <c r="N45" s="466"/>
      <c r="O45" s="466"/>
      <c r="P45" s="466"/>
      <c r="Q45" s="467">
        <f t="shared" si="6"/>
        <v>690</v>
      </c>
      <c r="R45" s="483">
        <f t="shared" si="7"/>
        <v>710.7</v>
      </c>
      <c r="S45" s="483">
        <f t="shared" si="7"/>
        <v>732.02100000000007</v>
      </c>
      <c r="T45" s="483">
        <f t="shared" si="7"/>
        <v>753.98163000000011</v>
      </c>
      <c r="U45" s="483">
        <f t="shared" si="7"/>
        <v>776.60107890000006</v>
      </c>
      <c r="V45" s="468">
        <f t="shared" si="8"/>
        <v>0</v>
      </c>
      <c r="W45" s="468">
        <f t="shared" si="8"/>
        <v>0</v>
      </c>
      <c r="X45" s="468">
        <f t="shared" si="8"/>
        <v>0</v>
      </c>
      <c r="Y45" s="468">
        <f t="shared" si="8"/>
        <v>0</v>
      </c>
      <c r="Z45" s="468">
        <f t="shared" si="8"/>
        <v>0</v>
      </c>
      <c r="AA45" s="469">
        <f t="shared" si="9"/>
        <v>0</v>
      </c>
      <c r="AB45" s="470">
        <f t="shared" si="10"/>
        <v>0</v>
      </c>
      <c r="AC45" s="471">
        <f t="shared" si="11"/>
        <v>0</v>
      </c>
      <c r="AD45" s="471">
        <f t="shared" si="12"/>
        <v>0</v>
      </c>
      <c r="AE45" s="472">
        <v>0.05</v>
      </c>
      <c r="AF45" s="471">
        <f t="shared" si="13"/>
        <v>0</v>
      </c>
      <c r="AG45" s="471">
        <f t="shared" si="14"/>
        <v>0</v>
      </c>
      <c r="AH45" s="473">
        <f t="shared" si="15"/>
        <v>0</v>
      </c>
      <c r="AI45" s="484">
        <f t="shared" si="16"/>
        <v>0</v>
      </c>
      <c r="AJ45" s="474">
        <f t="shared" si="17"/>
        <v>0</v>
      </c>
      <c r="AK45" s="471">
        <f t="shared" si="18"/>
        <v>0</v>
      </c>
      <c r="AL45" s="475">
        <f t="shared" si="19"/>
        <v>5.7500000000000002E-2</v>
      </c>
      <c r="AM45" s="471">
        <f t="shared" si="50"/>
        <v>0</v>
      </c>
      <c r="AN45" s="471">
        <f t="shared" si="20"/>
        <v>0</v>
      </c>
      <c r="AO45" s="476">
        <f t="shared" si="21"/>
        <v>0</v>
      </c>
      <c r="AP45" s="484">
        <f t="shared" si="22"/>
        <v>0</v>
      </c>
      <c r="AQ45" s="485">
        <f t="shared" si="23"/>
        <v>0</v>
      </c>
      <c r="AR45" s="471">
        <f t="shared" si="24"/>
        <v>0</v>
      </c>
      <c r="AS45" s="475">
        <f t="shared" si="25"/>
        <v>6.5000000000000002E-2</v>
      </c>
      <c r="AT45" s="471">
        <f t="shared" si="51"/>
        <v>0</v>
      </c>
      <c r="AU45" s="471">
        <f t="shared" si="26"/>
        <v>0</v>
      </c>
      <c r="AV45" s="476">
        <f t="shared" si="27"/>
        <v>0</v>
      </c>
      <c r="AW45" s="484">
        <f t="shared" si="28"/>
        <v>0</v>
      </c>
      <c r="AX45" s="485">
        <f t="shared" si="29"/>
        <v>0</v>
      </c>
      <c r="AY45" s="471">
        <f t="shared" si="30"/>
        <v>0</v>
      </c>
      <c r="AZ45" s="475">
        <f t="shared" si="31"/>
        <v>7.2500000000000009E-2</v>
      </c>
      <c r="BA45" s="471">
        <f t="shared" si="52"/>
        <v>0</v>
      </c>
      <c r="BB45" s="471">
        <f t="shared" si="32"/>
        <v>0</v>
      </c>
      <c r="BC45" s="476">
        <f t="shared" si="33"/>
        <v>0</v>
      </c>
      <c r="BD45" s="484">
        <f t="shared" si="34"/>
        <v>0</v>
      </c>
      <c r="BE45" s="474">
        <f t="shared" si="35"/>
        <v>0</v>
      </c>
      <c r="BF45" s="471">
        <f t="shared" si="36"/>
        <v>0</v>
      </c>
      <c r="BG45" s="475">
        <f t="shared" si="37"/>
        <v>8.0000000000000016E-2</v>
      </c>
      <c r="BH45" s="471">
        <f t="shared" si="53"/>
        <v>0</v>
      </c>
      <c r="BI45" s="471">
        <f t="shared" si="38"/>
        <v>0</v>
      </c>
      <c r="BJ45" s="473">
        <f t="shared" si="39"/>
        <v>0</v>
      </c>
      <c r="BK45" s="479">
        <f t="shared" si="40"/>
        <v>0</v>
      </c>
      <c r="BL45" s="480">
        <f t="shared" si="40"/>
        <v>0</v>
      </c>
      <c r="BM45" s="480">
        <f t="shared" si="41"/>
        <v>0</v>
      </c>
      <c r="BN45" s="480">
        <f t="shared" si="41"/>
        <v>0</v>
      </c>
      <c r="BO45" s="480">
        <f t="shared" si="42"/>
        <v>0</v>
      </c>
      <c r="BP45" s="480">
        <f t="shared" si="43"/>
        <v>0</v>
      </c>
      <c r="BQ45" s="480">
        <f t="shared" si="44"/>
        <v>0</v>
      </c>
      <c r="BR45" s="480">
        <f t="shared" si="45"/>
        <v>0</v>
      </c>
      <c r="BS45" s="480">
        <f t="shared" si="46"/>
        <v>0</v>
      </c>
      <c r="BT45" s="480">
        <f t="shared" si="47"/>
        <v>0</v>
      </c>
      <c r="BU45" s="480">
        <f t="shared" si="48"/>
        <v>0</v>
      </c>
      <c r="BV45" s="480">
        <f t="shared" si="49"/>
        <v>0</v>
      </c>
      <c r="BW45" s="41"/>
      <c r="BX45" s="39">
        <f t="shared" si="54"/>
        <v>0</v>
      </c>
      <c r="BY45" s="39">
        <f t="shared" si="55"/>
        <v>0</v>
      </c>
      <c r="BZ45" s="39">
        <f t="shared" si="56"/>
        <v>0</v>
      </c>
      <c r="CA45" s="40"/>
      <c r="CB45" s="40"/>
      <c r="CC45" s="40"/>
    </row>
    <row r="46" spans="1:81" ht="15">
      <c r="A46" s="453">
        <f t="shared" si="57"/>
        <v>37</v>
      </c>
      <c r="B46" s="454" t="s">
        <v>370</v>
      </c>
      <c r="C46" s="492" t="s">
        <v>414</v>
      </c>
      <c r="D46" s="456"/>
      <c r="E46" s="457" t="s">
        <v>381</v>
      </c>
      <c r="F46" s="458"/>
      <c r="G46" s="459">
        <v>3</v>
      </c>
      <c r="H46" s="460">
        <v>3</v>
      </c>
      <c r="I46" s="461" t="s">
        <v>373</v>
      </c>
      <c r="J46" s="462">
        <v>4500</v>
      </c>
      <c r="K46" s="463"/>
      <c r="L46" s="464">
        <v>0</v>
      </c>
      <c r="M46" s="465"/>
      <c r="N46" s="465"/>
      <c r="O46" s="465"/>
      <c r="P46" s="465"/>
      <c r="Q46" s="467">
        <f t="shared" si="6"/>
        <v>4500</v>
      </c>
      <c r="R46" s="483">
        <f t="shared" si="7"/>
        <v>4635</v>
      </c>
      <c r="S46" s="483">
        <f t="shared" si="7"/>
        <v>4774.05</v>
      </c>
      <c r="T46" s="483">
        <f t="shared" si="7"/>
        <v>4917.2714999999998</v>
      </c>
      <c r="U46" s="483">
        <f t="shared" si="7"/>
        <v>5064.7896449999998</v>
      </c>
      <c r="V46" s="468">
        <f t="shared" si="8"/>
        <v>0</v>
      </c>
      <c r="W46" s="468">
        <f t="shared" si="8"/>
        <v>0</v>
      </c>
      <c r="X46" s="468">
        <f t="shared" si="8"/>
        <v>0</v>
      </c>
      <c r="Y46" s="468">
        <f t="shared" si="8"/>
        <v>0</v>
      </c>
      <c r="Z46" s="468">
        <f t="shared" si="8"/>
        <v>0</v>
      </c>
      <c r="AA46" s="469">
        <f t="shared" si="9"/>
        <v>0</v>
      </c>
      <c r="AB46" s="470">
        <f t="shared" si="10"/>
        <v>0</v>
      </c>
      <c r="AC46" s="471">
        <f t="shared" si="11"/>
        <v>0</v>
      </c>
      <c r="AD46" s="471">
        <f t="shared" si="12"/>
        <v>0</v>
      </c>
      <c r="AE46" s="472">
        <v>0.05</v>
      </c>
      <c r="AF46" s="471">
        <f t="shared" si="13"/>
        <v>0</v>
      </c>
      <c r="AG46" s="471">
        <f t="shared" si="14"/>
        <v>0</v>
      </c>
      <c r="AH46" s="473">
        <f t="shared" si="15"/>
        <v>0</v>
      </c>
      <c r="AI46" s="484">
        <f t="shared" si="16"/>
        <v>0</v>
      </c>
      <c r="AJ46" s="474">
        <f t="shared" si="17"/>
        <v>0</v>
      </c>
      <c r="AK46" s="471">
        <f t="shared" si="18"/>
        <v>0</v>
      </c>
      <c r="AL46" s="475">
        <f t="shared" si="19"/>
        <v>5.7500000000000002E-2</v>
      </c>
      <c r="AM46" s="471">
        <f t="shared" si="50"/>
        <v>0</v>
      </c>
      <c r="AN46" s="471">
        <f t="shared" si="20"/>
        <v>0</v>
      </c>
      <c r="AO46" s="476">
        <f t="shared" si="21"/>
        <v>0</v>
      </c>
      <c r="AP46" s="484">
        <f t="shared" si="22"/>
        <v>0</v>
      </c>
      <c r="AQ46" s="485">
        <f t="shared" si="23"/>
        <v>0</v>
      </c>
      <c r="AR46" s="471">
        <f t="shared" si="24"/>
        <v>0</v>
      </c>
      <c r="AS46" s="475">
        <f t="shared" si="25"/>
        <v>6.5000000000000002E-2</v>
      </c>
      <c r="AT46" s="471">
        <f t="shared" si="51"/>
        <v>0</v>
      </c>
      <c r="AU46" s="471">
        <f t="shared" si="26"/>
        <v>0</v>
      </c>
      <c r="AV46" s="476">
        <f t="shared" si="27"/>
        <v>0</v>
      </c>
      <c r="AW46" s="484">
        <f t="shared" si="28"/>
        <v>0</v>
      </c>
      <c r="AX46" s="485">
        <f t="shared" si="29"/>
        <v>0</v>
      </c>
      <c r="AY46" s="471">
        <f t="shared" si="30"/>
        <v>0</v>
      </c>
      <c r="AZ46" s="475">
        <f t="shared" si="31"/>
        <v>7.2500000000000009E-2</v>
      </c>
      <c r="BA46" s="471">
        <f t="shared" si="52"/>
        <v>0</v>
      </c>
      <c r="BB46" s="471">
        <f t="shared" si="32"/>
        <v>0</v>
      </c>
      <c r="BC46" s="476">
        <f t="shared" si="33"/>
        <v>0</v>
      </c>
      <c r="BD46" s="484">
        <f t="shared" si="34"/>
        <v>0</v>
      </c>
      <c r="BE46" s="474">
        <f t="shared" si="35"/>
        <v>0</v>
      </c>
      <c r="BF46" s="471">
        <f t="shared" si="36"/>
        <v>0</v>
      </c>
      <c r="BG46" s="475">
        <f t="shared" si="37"/>
        <v>8.0000000000000016E-2</v>
      </c>
      <c r="BH46" s="471">
        <f t="shared" si="53"/>
        <v>0</v>
      </c>
      <c r="BI46" s="471">
        <f t="shared" si="38"/>
        <v>0</v>
      </c>
      <c r="BJ46" s="473">
        <f t="shared" si="39"/>
        <v>0</v>
      </c>
      <c r="BK46" s="479">
        <f t="shared" si="40"/>
        <v>0</v>
      </c>
      <c r="BL46" s="480">
        <f t="shared" si="40"/>
        <v>0</v>
      </c>
      <c r="BM46" s="480">
        <f t="shared" si="41"/>
        <v>0</v>
      </c>
      <c r="BN46" s="480">
        <f t="shared" si="41"/>
        <v>0</v>
      </c>
      <c r="BO46" s="480">
        <f t="shared" si="42"/>
        <v>0</v>
      </c>
      <c r="BP46" s="480">
        <f t="shared" si="43"/>
        <v>0</v>
      </c>
      <c r="BQ46" s="480">
        <f t="shared" si="44"/>
        <v>0</v>
      </c>
      <c r="BR46" s="480">
        <f t="shared" si="45"/>
        <v>0</v>
      </c>
      <c r="BS46" s="480">
        <f t="shared" si="46"/>
        <v>0</v>
      </c>
      <c r="BT46" s="480">
        <f t="shared" si="47"/>
        <v>0</v>
      </c>
      <c r="BU46" s="480">
        <f t="shared" si="48"/>
        <v>0</v>
      </c>
      <c r="BV46" s="480">
        <f t="shared" si="49"/>
        <v>0</v>
      </c>
      <c r="BW46" s="41"/>
      <c r="BX46" s="39">
        <f t="shared" si="54"/>
        <v>0</v>
      </c>
      <c r="BY46" s="39">
        <f t="shared" si="55"/>
        <v>0</v>
      </c>
      <c r="BZ46" s="39">
        <f t="shared" si="56"/>
        <v>0</v>
      </c>
      <c r="CA46" s="40"/>
      <c r="CB46" s="40"/>
      <c r="CC46" s="40"/>
    </row>
    <row r="47" spans="1:81" ht="15">
      <c r="A47" s="453">
        <f t="shared" si="57"/>
        <v>38</v>
      </c>
      <c r="B47" s="454" t="s">
        <v>382</v>
      </c>
      <c r="C47" s="492" t="s">
        <v>415</v>
      </c>
      <c r="D47" s="456"/>
      <c r="E47" s="457" t="s">
        <v>372</v>
      </c>
      <c r="F47" s="458"/>
      <c r="G47" s="459">
        <v>3</v>
      </c>
      <c r="H47" s="460">
        <v>3</v>
      </c>
      <c r="I47" s="461" t="s">
        <v>373</v>
      </c>
      <c r="J47" s="462">
        <v>28000</v>
      </c>
      <c r="K47" s="463"/>
      <c r="L47" s="464">
        <v>2</v>
      </c>
      <c r="M47" s="465"/>
      <c r="N47" s="465"/>
      <c r="O47" s="465"/>
      <c r="P47" s="465"/>
      <c r="Q47" s="467">
        <f t="shared" si="6"/>
        <v>28000</v>
      </c>
      <c r="R47" s="483">
        <f t="shared" si="7"/>
        <v>28840</v>
      </c>
      <c r="S47" s="483">
        <f t="shared" si="7"/>
        <v>29705.200000000001</v>
      </c>
      <c r="T47" s="483">
        <f t="shared" si="7"/>
        <v>30596.356</v>
      </c>
      <c r="U47" s="483">
        <f t="shared" si="7"/>
        <v>31514.24668</v>
      </c>
      <c r="V47" s="468">
        <f t="shared" si="8"/>
        <v>56000</v>
      </c>
      <c r="W47" s="468">
        <f t="shared" si="8"/>
        <v>0</v>
      </c>
      <c r="X47" s="468">
        <f t="shared" si="8"/>
        <v>0</v>
      </c>
      <c r="Y47" s="468">
        <f t="shared" si="8"/>
        <v>0</v>
      </c>
      <c r="Z47" s="468">
        <f t="shared" si="8"/>
        <v>0</v>
      </c>
      <c r="AA47" s="469">
        <f t="shared" si="9"/>
        <v>56000</v>
      </c>
      <c r="AB47" s="470">
        <f t="shared" si="10"/>
        <v>23585.2561622092</v>
      </c>
      <c r="AC47" s="471">
        <f t="shared" si="11"/>
        <v>18666.666666666668</v>
      </c>
      <c r="AD47" s="471">
        <f t="shared" si="12"/>
        <v>4918.589495542531</v>
      </c>
      <c r="AE47" s="472">
        <v>0.05</v>
      </c>
      <c r="AF47" s="471">
        <f t="shared" si="13"/>
        <v>2800</v>
      </c>
      <c r="AG47" s="471">
        <f t="shared" si="14"/>
        <v>140</v>
      </c>
      <c r="AH47" s="473">
        <f t="shared" si="15"/>
        <v>37333.333333333328</v>
      </c>
      <c r="AI47" s="484">
        <f t="shared" si="16"/>
        <v>21945.726330361686</v>
      </c>
      <c r="AJ47" s="474">
        <f t="shared" si="17"/>
        <v>18666.666666666668</v>
      </c>
      <c r="AK47" s="471">
        <f t="shared" si="18"/>
        <v>3279.0596636950195</v>
      </c>
      <c r="AL47" s="475">
        <f t="shared" si="19"/>
        <v>5.7500000000000002E-2</v>
      </c>
      <c r="AM47" s="471">
        <f t="shared" si="50"/>
        <v>3220</v>
      </c>
      <c r="AN47" s="471">
        <f t="shared" si="20"/>
        <v>95.199999999999989</v>
      </c>
      <c r="AO47" s="476">
        <f t="shared" si="21"/>
        <v>18666.666666666661</v>
      </c>
      <c r="AP47" s="484">
        <f t="shared" si="22"/>
        <v>20306.196498514179</v>
      </c>
      <c r="AQ47" s="485">
        <f t="shared" si="23"/>
        <v>18666.666666666668</v>
      </c>
      <c r="AR47" s="471">
        <f t="shared" si="24"/>
        <v>1639.5298318475097</v>
      </c>
      <c r="AS47" s="475">
        <f t="shared" si="25"/>
        <v>6.5000000000000002E-2</v>
      </c>
      <c r="AT47" s="471">
        <f t="shared" si="51"/>
        <v>3640</v>
      </c>
      <c r="AU47" s="471">
        <f t="shared" si="26"/>
        <v>48.551999999999992</v>
      </c>
      <c r="AV47" s="476">
        <f t="shared" si="27"/>
        <v>59410.399999999994</v>
      </c>
      <c r="AW47" s="484">
        <f t="shared" si="28"/>
        <v>25021.598262487736</v>
      </c>
      <c r="AX47" s="485">
        <f t="shared" si="29"/>
        <v>19803.466666666664</v>
      </c>
      <c r="AY47" s="471">
        <f t="shared" si="30"/>
        <v>5218.1315958210707</v>
      </c>
      <c r="AZ47" s="475">
        <f t="shared" si="31"/>
        <v>7.2500000000000009E-2</v>
      </c>
      <c r="BA47" s="471">
        <f t="shared" si="52"/>
        <v>4060.0000000000005</v>
      </c>
      <c r="BB47" s="471">
        <f t="shared" si="32"/>
        <v>157.61697940799999</v>
      </c>
      <c r="BC47" s="476">
        <f t="shared" si="33"/>
        <v>39606.933333333334</v>
      </c>
      <c r="BD47" s="484">
        <f t="shared" si="34"/>
        <v>23282.221063880712</v>
      </c>
      <c r="BE47" s="474">
        <f t="shared" si="35"/>
        <v>19803.466666666664</v>
      </c>
      <c r="BF47" s="471">
        <f t="shared" si="36"/>
        <v>3478.7543972140475</v>
      </c>
      <c r="BG47" s="475">
        <f t="shared" si="37"/>
        <v>8.0000000000000016E-2</v>
      </c>
      <c r="BH47" s="471">
        <f t="shared" si="53"/>
        <v>4480.0000000000009</v>
      </c>
      <c r="BI47" s="471">
        <f t="shared" si="38"/>
        <v>107.17954599744002</v>
      </c>
      <c r="BJ47" s="473">
        <f t="shared" si="39"/>
        <v>19803.466666666671</v>
      </c>
      <c r="BK47" s="479">
        <f t="shared" si="40"/>
        <v>95606.93333333332</v>
      </c>
      <c r="BL47" s="480">
        <f t="shared" si="40"/>
        <v>18534.064984120178</v>
      </c>
      <c r="BM47" s="480">
        <f t="shared" si="41"/>
        <v>18200</v>
      </c>
      <c r="BN47" s="480">
        <f t="shared" si="41"/>
        <v>548.54852540543993</v>
      </c>
      <c r="BO47" s="480">
        <f t="shared" si="42"/>
        <v>114140.9983174535</v>
      </c>
      <c r="BP47" s="480">
        <f t="shared" si="43"/>
        <v>132889.54684285895</v>
      </c>
      <c r="BQ47" s="480">
        <f t="shared" si="44"/>
        <v>114140.99831745352</v>
      </c>
      <c r="BR47" s="480">
        <f t="shared" si="45"/>
        <v>0</v>
      </c>
      <c r="BS47" s="480">
        <f t="shared" si="46"/>
        <v>-39606.93333333332</v>
      </c>
      <c r="BT47" s="480">
        <f t="shared" si="47"/>
        <v>59410.399999999994</v>
      </c>
      <c r="BU47" s="480">
        <f t="shared" si="48"/>
        <v>19803.466666666674</v>
      </c>
      <c r="BV47" s="480">
        <f t="shared" si="49"/>
        <v>0</v>
      </c>
      <c r="BW47" s="41"/>
      <c r="BX47" s="39">
        <f t="shared" si="54"/>
        <v>2210.4380135174333</v>
      </c>
      <c r="BY47" s="39">
        <f t="shared" si="55"/>
        <v>2105.0771941968073</v>
      </c>
      <c r="BZ47" s="39">
        <f t="shared" si="56"/>
        <v>1999.5623748761816</v>
      </c>
      <c r="CA47" s="40" t="s">
        <v>374</v>
      </c>
      <c r="CB47" s="40"/>
      <c r="CC47" s="40"/>
    </row>
    <row r="48" spans="1:81" ht="15">
      <c r="A48" s="453">
        <f t="shared" si="57"/>
        <v>39</v>
      </c>
      <c r="B48" s="454" t="s">
        <v>370</v>
      </c>
      <c r="C48" s="492" t="s">
        <v>416</v>
      </c>
      <c r="D48" s="456"/>
      <c r="E48" s="457" t="s">
        <v>381</v>
      </c>
      <c r="F48" s="458"/>
      <c r="G48" s="459">
        <v>5</v>
      </c>
      <c r="H48" s="460">
        <v>5</v>
      </c>
      <c r="I48" s="461" t="s">
        <v>373</v>
      </c>
      <c r="J48" s="462">
        <v>45000</v>
      </c>
      <c r="K48" s="463"/>
      <c r="L48" s="464">
        <v>2</v>
      </c>
      <c r="M48" s="502"/>
      <c r="N48" s="466"/>
      <c r="O48" s="466"/>
      <c r="P48" s="466"/>
      <c r="Q48" s="467">
        <f t="shared" si="6"/>
        <v>45000</v>
      </c>
      <c r="R48" s="483">
        <f t="shared" si="7"/>
        <v>46350</v>
      </c>
      <c r="S48" s="483">
        <f t="shared" si="7"/>
        <v>47740.5</v>
      </c>
      <c r="T48" s="483">
        <f t="shared" si="7"/>
        <v>49172.714999999997</v>
      </c>
      <c r="U48" s="483">
        <f t="shared" si="7"/>
        <v>50647.896449999993</v>
      </c>
      <c r="V48" s="468">
        <f t="shared" si="8"/>
        <v>90000</v>
      </c>
      <c r="W48" s="468">
        <f t="shared" si="8"/>
        <v>0</v>
      </c>
      <c r="X48" s="468">
        <f t="shared" si="8"/>
        <v>0</v>
      </c>
      <c r="Y48" s="468">
        <f t="shared" si="8"/>
        <v>0</v>
      </c>
      <c r="Z48" s="468">
        <f t="shared" si="8"/>
        <v>0</v>
      </c>
      <c r="AA48" s="469">
        <f t="shared" si="9"/>
        <v>90000</v>
      </c>
      <c r="AB48" s="470">
        <f t="shared" si="10"/>
        <v>26409.116656908307</v>
      </c>
      <c r="AC48" s="471">
        <f t="shared" si="11"/>
        <v>18000</v>
      </c>
      <c r="AD48" s="471">
        <f t="shared" si="12"/>
        <v>8409.116656908307</v>
      </c>
      <c r="AE48" s="472">
        <v>0.03</v>
      </c>
      <c r="AF48" s="471">
        <f t="shared" si="13"/>
        <v>2700</v>
      </c>
      <c r="AG48" s="471">
        <f t="shared" si="14"/>
        <v>225</v>
      </c>
      <c r="AH48" s="473">
        <f t="shared" si="15"/>
        <v>72000</v>
      </c>
      <c r="AI48" s="484">
        <f t="shared" si="16"/>
        <v>24727.293325526643</v>
      </c>
      <c r="AJ48" s="474">
        <f t="shared" si="17"/>
        <v>18000</v>
      </c>
      <c r="AK48" s="471">
        <f t="shared" si="18"/>
        <v>6727.2933255266435</v>
      </c>
      <c r="AL48" s="475">
        <f t="shared" si="19"/>
        <v>3.7499999999999999E-2</v>
      </c>
      <c r="AM48" s="471">
        <f t="shared" si="50"/>
        <v>3375</v>
      </c>
      <c r="AN48" s="471">
        <f t="shared" si="20"/>
        <v>183.60000000000002</v>
      </c>
      <c r="AO48" s="476">
        <f t="shared" si="21"/>
        <v>54000</v>
      </c>
      <c r="AP48" s="484">
        <f t="shared" si="22"/>
        <v>23045.469994144984</v>
      </c>
      <c r="AQ48" s="485">
        <f t="shared" si="23"/>
        <v>18000</v>
      </c>
      <c r="AR48" s="471">
        <f t="shared" si="24"/>
        <v>5045.4699941449835</v>
      </c>
      <c r="AS48" s="475">
        <f t="shared" si="25"/>
        <v>4.4999999999999998E-2</v>
      </c>
      <c r="AT48" s="471">
        <f t="shared" si="51"/>
        <v>4050</v>
      </c>
      <c r="AU48" s="471">
        <f t="shared" si="26"/>
        <v>140.45400000000004</v>
      </c>
      <c r="AV48" s="476">
        <f t="shared" si="27"/>
        <v>36000</v>
      </c>
      <c r="AW48" s="484">
        <f t="shared" si="28"/>
        <v>21363.64666276332</v>
      </c>
      <c r="AX48" s="485">
        <f t="shared" si="29"/>
        <v>18000</v>
      </c>
      <c r="AY48" s="471">
        <f t="shared" si="30"/>
        <v>3363.6466627633217</v>
      </c>
      <c r="AZ48" s="475">
        <f t="shared" si="31"/>
        <v>5.2499999999999998E-2</v>
      </c>
      <c r="BA48" s="471">
        <f t="shared" si="52"/>
        <v>4725</v>
      </c>
      <c r="BB48" s="471">
        <f t="shared" si="32"/>
        <v>95.508720000000011</v>
      </c>
      <c r="BC48" s="476">
        <f t="shared" si="33"/>
        <v>18000</v>
      </c>
      <c r="BD48" s="484">
        <f t="shared" si="34"/>
        <v>19681.82333138166</v>
      </c>
      <c r="BE48" s="474">
        <f t="shared" si="35"/>
        <v>18000</v>
      </c>
      <c r="BF48" s="471">
        <f t="shared" si="36"/>
        <v>1681.8233313816609</v>
      </c>
      <c r="BG48" s="475">
        <f t="shared" si="37"/>
        <v>0.06</v>
      </c>
      <c r="BH48" s="471">
        <f t="shared" si="53"/>
        <v>5400</v>
      </c>
      <c r="BI48" s="471">
        <f t="shared" si="38"/>
        <v>48.7094472</v>
      </c>
      <c r="BJ48" s="473">
        <f t="shared" si="39"/>
        <v>0</v>
      </c>
      <c r="BK48" s="479">
        <f t="shared" si="40"/>
        <v>90000</v>
      </c>
      <c r="BL48" s="480">
        <f t="shared" si="40"/>
        <v>25227.349970724914</v>
      </c>
      <c r="BM48" s="480">
        <f t="shared" si="41"/>
        <v>20250</v>
      </c>
      <c r="BN48" s="480">
        <f t="shared" si="41"/>
        <v>693.27216720000001</v>
      </c>
      <c r="BO48" s="480">
        <f t="shared" si="42"/>
        <v>115227.34997072491</v>
      </c>
      <c r="BP48" s="480">
        <f t="shared" si="43"/>
        <v>136170.62213792492</v>
      </c>
      <c r="BQ48" s="480">
        <f t="shared" si="44"/>
        <v>115227.34997072491</v>
      </c>
      <c r="BR48" s="480">
        <f t="shared" si="45"/>
        <v>0</v>
      </c>
      <c r="BS48" s="480">
        <f t="shared" si="46"/>
        <v>0</v>
      </c>
      <c r="BT48" s="480">
        <f t="shared" si="47"/>
        <v>0</v>
      </c>
      <c r="BU48" s="480">
        <f t="shared" si="48"/>
        <v>0</v>
      </c>
      <c r="BV48" s="480">
        <f t="shared" si="49"/>
        <v>0</v>
      </c>
      <c r="BW48" s="41"/>
      <c r="BX48" s="39">
        <f t="shared" si="54"/>
        <v>2444.5097214090256</v>
      </c>
      <c r="BY48" s="39">
        <f t="shared" si="55"/>
        <v>2357.15777712722</v>
      </c>
      <c r="BZ48" s="39">
        <f t="shared" si="56"/>
        <v>2269.6603328454153</v>
      </c>
      <c r="CA48" s="40" t="s">
        <v>374</v>
      </c>
      <c r="CB48" s="40"/>
      <c r="CC48" s="40"/>
    </row>
    <row r="49" spans="1:81" ht="15">
      <c r="A49" s="453">
        <f t="shared" si="57"/>
        <v>40</v>
      </c>
      <c r="B49" s="454" t="s">
        <v>370</v>
      </c>
      <c r="C49" s="492" t="s">
        <v>417</v>
      </c>
      <c r="D49" s="456"/>
      <c r="E49" s="457" t="s">
        <v>381</v>
      </c>
      <c r="F49" s="458"/>
      <c r="G49" s="459">
        <v>3</v>
      </c>
      <c r="H49" s="460">
        <v>3</v>
      </c>
      <c r="I49" s="461" t="s">
        <v>373</v>
      </c>
      <c r="J49" s="462">
        <v>2500</v>
      </c>
      <c r="K49" s="463"/>
      <c r="L49" s="464">
        <v>0</v>
      </c>
      <c r="M49" s="502"/>
      <c r="N49" s="466"/>
      <c r="O49" s="466"/>
      <c r="P49" s="466"/>
      <c r="Q49" s="467">
        <f t="shared" si="6"/>
        <v>2500</v>
      </c>
      <c r="R49" s="483">
        <f t="shared" si="7"/>
        <v>2575</v>
      </c>
      <c r="S49" s="483">
        <f t="shared" si="7"/>
        <v>2652.25</v>
      </c>
      <c r="T49" s="483">
        <f t="shared" si="7"/>
        <v>2731.8175000000001</v>
      </c>
      <c r="U49" s="483">
        <f t="shared" si="7"/>
        <v>2813.7720250000002</v>
      </c>
      <c r="V49" s="468">
        <f t="shared" si="8"/>
        <v>0</v>
      </c>
      <c r="W49" s="468">
        <f t="shared" si="8"/>
        <v>0</v>
      </c>
      <c r="X49" s="468">
        <f t="shared" si="8"/>
        <v>0</v>
      </c>
      <c r="Y49" s="468">
        <f t="shared" si="8"/>
        <v>0</v>
      </c>
      <c r="Z49" s="468">
        <f t="shared" si="8"/>
        <v>0</v>
      </c>
      <c r="AA49" s="469">
        <f t="shared" si="9"/>
        <v>0</v>
      </c>
      <c r="AB49" s="470">
        <f t="shared" si="10"/>
        <v>0</v>
      </c>
      <c r="AC49" s="471">
        <f t="shared" si="11"/>
        <v>0</v>
      </c>
      <c r="AD49" s="471">
        <f t="shared" si="12"/>
        <v>0</v>
      </c>
      <c r="AE49" s="472">
        <v>0.05</v>
      </c>
      <c r="AF49" s="471">
        <f t="shared" si="13"/>
        <v>0</v>
      </c>
      <c r="AG49" s="471">
        <f t="shared" si="14"/>
        <v>0</v>
      </c>
      <c r="AH49" s="473">
        <f t="shared" si="15"/>
        <v>0</v>
      </c>
      <c r="AI49" s="484">
        <f t="shared" si="16"/>
        <v>0</v>
      </c>
      <c r="AJ49" s="474">
        <f t="shared" si="17"/>
        <v>0</v>
      </c>
      <c r="AK49" s="471">
        <f t="shared" si="18"/>
        <v>0</v>
      </c>
      <c r="AL49" s="475">
        <f t="shared" si="19"/>
        <v>5.7500000000000002E-2</v>
      </c>
      <c r="AM49" s="471">
        <f t="shared" si="50"/>
        <v>0</v>
      </c>
      <c r="AN49" s="471">
        <f t="shared" si="20"/>
        <v>0</v>
      </c>
      <c r="AO49" s="476">
        <f t="shared" si="21"/>
        <v>0</v>
      </c>
      <c r="AP49" s="484">
        <f t="shared" si="22"/>
        <v>0</v>
      </c>
      <c r="AQ49" s="485">
        <f t="shared" si="23"/>
        <v>0</v>
      </c>
      <c r="AR49" s="471">
        <f t="shared" si="24"/>
        <v>0</v>
      </c>
      <c r="AS49" s="475">
        <f t="shared" si="25"/>
        <v>6.5000000000000002E-2</v>
      </c>
      <c r="AT49" s="471">
        <f t="shared" si="51"/>
        <v>0</v>
      </c>
      <c r="AU49" s="471">
        <f t="shared" si="26"/>
        <v>0</v>
      </c>
      <c r="AV49" s="476">
        <f t="shared" si="27"/>
        <v>0</v>
      </c>
      <c r="AW49" s="484">
        <f t="shared" si="28"/>
        <v>0</v>
      </c>
      <c r="AX49" s="485">
        <f t="shared" si="29"/>
        <v>0</v>
      </c>
      <c r="AY49" s="471">
        <f t="shared" si="30"/>
        <v>0</v>
      </c>
      <c r="AZ49" s="475">
        <f t="shared" si="31"/>
        <v>7.2500000000000009E-2</v>
      </c>
      <c r="BA49" s="471">
        <f t="shared" si="52"/>
        <v>0</v>
      </c>
      <c r="BB49" s="471">
        <f t="shared" si="32"/>
        <v>0</v>
      </c>
      <c r="BC49" s="476">
        <f t="shared" si="33"/>
        <v>0</v>
      </c>
      <c r="BD49" s="484">
        <f t="shared" si="34"/>
        <v>0</v>
      </c>
      <c r="BE49" s="474">
        <f t="shared" si="35"/>
        <v>0</v>
      </c>
      <c r="BF49" s="471">
        <f t="shared" si="36"/>
        <v>0</v>
      </c>
      <c r="BG49" s="475">
        <f t="shared" si="37"/>
        <v>8.0000000000000016E-2</v>
      </c>
      <c r="BH49" s="471">
        <f t="shared" si="53"/>
        <v>0</v>
      </c>
      <c r="BI49" s="471">
        <f t="shared" si="38"/>
        <v>0</v>
      </c>
      <c r="BJ49" s="473">
        <f t="shared" si="39"/>
        <v>0</v>
      </c>
      <c r="BK49" s="479">
        <f t="shared" si="40"/>
        <v>0</v>
      </c>
      <c r="BL49" s="480">
        <f t="shared" si="40"/>
        <v>0</v>
      </c>
      <c r="BM49" s="480">
        <f t="shared" si="41"/>
        <v>0</v>
      </c>
      <c r="BN49" s="480">
        <f t="shared" si="41"/>
        <v>0</v>
      </c>
      <c r="BO49" s="480">
        <f t="shared" si="42"/>
        <v>0</v>
      </c>
      <c r="BP49" s="480">
        <f t="shared" si="43"/>
        <v>0</v>
      </c>
      <c r="BQ49" s="480">
        <f t="shared" si="44"/>
        <v>0</v>
      </c>
      <c r="BR49" s="480">
        <f t="shared" si="45"/>
        <v>0</v>
      </c>
      <c r="BS49" s="480">
        <f t="shared" si="46"/>
        <v>0</v>
      </c>
      <c r="BT49" s="480">
        <f t="shared" si="47"/>
        <v>0</v>
      </c>
      <c r="BU49" s="480">
        <f t="shared" si="48"/>
        <v>0</v>
      </c>
      <c r="BV49" s="480">
        <f t="shared" si="49"/>
        <v>0</v>
      </c>
      <c r="BW49" s="41"/>
      <c r="BX49" s="39">
        <f t="shared" si="54"/>
        <v>0</v>
      </c>
      <c r="BY49" s="39">
        <f t="shared" si="55"/>
        <v>0</v>
      </c>
      <c r="BZ49" s="39">
        <f t="shared" si="56"/>
        <v>0</v>
      </c>
      <c r="CA49" s="40" t="s">
        <v>374</v>
      </c>
      <c r="CB49" s="40"/>
      <c r="CC49" s="40"/>
    </row>
    <row r="50" spans="1:81" ht="15">
      <c r="A50" s="453">
        <f t="shared" si="57"/>
        <v>41</v>
      </c>
      <c r="B50" s="454" t="s">
        <v>382</v>
      </c>
      <c r="C50" s="492" t="s">
        <v>418</v>
      </c>
      <c r="D50" s="456"/>
      <c r="E50" s="457" t="s">
        <v>381</v>
      </c>
      <c r="F50" s="458"/>
      <c r="G50" s="459">
        <v>3</v>
      </c>
      <c r="H50" s="460">
        <v>3</v>
      </c>
      <c r="I50" s="461" t="s">
        <v>373</v>
      </c>
      <c r="J50" s="462">
        <v>10000</v>
      </c>
      <c r="K50" s="463"/>
      <c r="L50" s="464">
        <v>0</v>
      </c>
      <c r="M50" s="502"/>
      <c r="N50" s="466"/>
      <c r="O50" s="466"/>
      <c r="P50" s="466"/>
      <c r="Q50" s="467">
        <f t="shared" si="6"/>
        <v>10000</v>
      </c>
      <c r="R50" s="483">
        <f t="shared" si="7"/>
        <v>10300</v>
      </c>
      <c r="S50" s="483">
        <f t="shared" si="7"/>
        <v>10609</v>
      </c>
      <c r="T50" s="483">
        <f t="shared" si="7"/>
        <v>10927.27</v>
      </c>
      <c r="U50" s="483">
        <f t="shared" si="7"/>
        <v>11255.088100000001</v>
      </c>
      <c r="V50" s="468">
        <f t="shared" si="8"/>
        <v>0</v>
      </c>
      <c r="W50" s="468">
        <f t="shared" si="8"/>
        <v>0</v>
      </c>
      <c r="X50" s="468">
        <f t="shared" si="8"/>
        <v>0</v>
      </c>
      <c r="Y50" s="468">
        <f t="shared" si="8"/>
        <v>0</v>
      </c>
      <c r="Z50" s="468">
        <f t="shared" si="8"/>
        <v>0</v>
      </c>
      <c r="AA50" s="469">
        <f t="shared" si="9"/>
        <v>0</v>
      </c>
      <c r="AB50" s="470">
        <f t="shared" si="10"/>
        <v>0</v>
      </c>
      <c r="AC50" s="471">
        <f t="shared" si="11"/>
        <v>0</v>
      </c>
      <c r="AD50" s="471">
        <f t="shared" si="12"/>
        <v>0</v>
      </c>
      <c r="AE50" s="472">
        <v>0</v>
      </c>
      <c r="AF50" s="471">
        <f t="shared" si="13"/>
        <v>0</v>
      </c>
      <c r="AG50" s="471">
        <f t="shared" si="14"/>
        <v>0</v>
      </c>
      <c r="AH50" s="473">
        <f t="shared" si="15"/>
        <v>0</v>
      </c>
      <c r="AI50" s="484">
        <f t="shared" si="16"/>
        <v>0</v>
      </c>
      <c r="AJ50" s="503">
        <f t="shared" si="17"/>
        <v>0</v>
      </c>
      <c r="AK50" s="471">
        <f t="shared" si="18"/>
        <v>0</v>
      </c>
      <c r="AL50" s="475">
        <f t="shared" si="19"/>
        <v>0</v>
      </c>
      <c r="AM50" s="471">
        <f t="shared" si="50"/>
        <v>0</v>
      </c>
      <c r="AN50" s="471">
        <f t="shared" si="20"/>
        <v>0</v>
      </c>
      <c r="AO50" s="477">
        <f t="shared" si="21"/>
        <v>0</v>
      </c>
      <c r="AP50" s="484">
        <f t="shared" si="22"/>
        <v>0</v>
      </c>
      <c r="AQ50" s="503">
        <f t="shared" si="23"/>
        <v>0</v>
      </c>
      <c r="AR50" s="471">
        <f t="shared" si="24"/>
        <v>0</v>
      </c>
      <c r="AS50" s="475">
        <f t="shared" si="25"/>
        <v>0</v>
      </c>
      <c r="AT50" s="471">
        <f t="shared" si="51"/>
        <v>0</v>
      </c>
      <c r="AU50" s="471">
        <f t="shared" si="26"/>
        <v>0</v>
      </c>
      <c r="AV50" s="477">
        <f t="shared" si="27"/>
        <v>0</v>
      </c>
      <c r="AW50" s="484">
        <f t="shared" si="28"/>
        <v>0</v>
      </c>
      <c r="AX50" s="485">
        <f t="shared" si="29"/>
        <v>0</v>
      </c>
      <c r="AY50" s="471">
        <f t="shared" si="30"/>
        <v>0</v>
      </c>
      <c r="AZ50" s="475">
        <f t="shared" si="31"/>
        <v>0</v>
      </c>
      <c r="BA50" s="471">
        <f t="shared" si="52"/>
        <v>0</v>
      </c>
      <c r="BB50" s="471">
        <f t="shared" si="32"/>
        <v>0</v>
      </c>
      <c r="BC50" s="476">
        <f t="shared" si="33"/>
        <v>0</v>
      </c>
      <c r="BD50" s="484">
        <f t="shared" si="34"/>
        <v>0</v>
      </c>
      <c r="BE50" s="474">
        <f t="shared" si="35"/>
        <v>0</v>
      </c>
      <c r="BF50" s="471">
        <f t="shared" si="36"/>
        <v>0</v>
      </c>
      <c r="BG50" s="475">
        <f t="shared" si="37"/>
        <v>0</v>
      </c>
      <c r="BH50" s="471">
        <f t="shared" si="53"/>
        <v>0</v>
      </c>
      <c r="BI50" s="471">
        <f t="shared" si="38"/>
        <v>0</v>
      </c>
      <c r="BJ50" s="473">
        <f t="shared" si="39"/>
        <v>0</v>
      </c>
      <c r="BK50" s="479">
        <f t="shared" si="40"/>
        <v>0</v>
      </c>
      <c r="BL50" s="480">
        <f t="shared" si="40"/>
        <v>0</v>
      </c>
      <c r="BM50" s="480">
        <f t="shared" si="41"/>
        <v>0</v>
      </c>
      <c r="BN50" s="480">
        <f t="shared" si="41"/>
        <v>0</v>
      </c>
      <c r="BO50" s="480">
        <f t="shared" si="42"/>
        <v>0</v>
      </c>
      <c r="BP50" s="480">
        <f t="shared" si="43"/>
        <v>0</v>
      </c>
      <c r="BQ50" s="480">
        <f t="shared" si="44"/>
        <v>0</v>
      </c>
      <c r="BR50" s="480">
        <f t="shared" si="45"/>
        <v>0</v>
      </c>
      <c r="BS50" s="480">
        <f t="shared" si="46"/>
        <v>0</v>
      </c>
      <c r="BT50" s="480">
        <f t="shared" si="47"/>
        <v>0</v>
      </c>
      <c r="BU50" s="480">
        <f t="shared" si="48"/>
        <v>0</v>
      </c>
      <c r="BV50" s="480">
        <f t="shared" si="49"/>
        <v>0</v>
      </c>
      <c r="BW50" s="41"/>
      <c r="BX50" s="39">
        <f t="shared" si="54"/>
        <v>0</v>
      </c>
      <c r="BY50" s="39">
        <f t="shared" si="55"/>
        <v>0</v>
      </c>
      <c r="BZ50" s="39">
        <f t="shared" si="56"/>
        <v>0</v>
      </c>
      <c r="CA50" s="40" t="s">
        <v>374</v>
      </c>
      <c r="CB50" s="40"/>
      <c r="CC50" s="40"/>
    </row>
    <row r="51" spans="1:81" ht="15">
      <c r="A51" s="453">
        <f t="shared" si="57"/>
        <v>42</v>
      </c>
      <c r="B51" s="454" t="s">
        <v>370</v>
      </c>
      <c r="C51" s="492" t="s">
        <v>419</v>
      </c>
      <c r="D51" s="456"/>
      <c r="E51" s="457" t="s">
        <v>381</v>
      </c>
      <c r="F51" s="458"/>
      <c r="G51" s="459">
        <v>3</v>
      </c>
      <c r="H51" s="460">
        <v>3</v>
      </c>
      <c r="I51" s="461" t="s">
        <v>394</v>
      </c>
      <c r="J51" s="462">
        <v>10</v>
      </c>
      <c r="K51" s="463"/>
      <c r="L51" s="497">
        <v>0</v>
      </c>
      <c r="M51" s="466"/>
      <c r="N51" s="466"/>
      <c r="O51" s="466"/>
      <c r="P51" s="466"/>
      <c r="Q51" s="467">
        <f t="shared" si="6"/>
        <v>10</v>
      </c>
      <c r="R51" s="483">
        <f>Q51*R$3+Q51</f>
        <v>10.3</v>
      </c>
      <c r="S51" s="483">
        <f>R51*S$3+R51</f>
        <v>10.609</v>
      </c>
      <c r="T51" s="483">
        <f>S51*T$3+S51</f>
        <v>10.92727</v>
      </c>
      <c r="U51" s="483">
        <f>T51*U$3+T51</f>
        <v>11.2550881</v>
      </c>
      <c r="V51" s="468">
        <f>Q51*L51</f>
        <v>0</v>
      </c>
      <c r="W51" s="468">
        <f>R51*M51</f>
        <v>0</v>
      </c>
      <c r="X51" s="468">
        <f>S51*N51</f>
        <v>0</v>
      </c>
      <c r="Y51" s="468">
        <f>T51*O51</f>
        <v>0</v>
      </c>
      <c r="Z51" s="468">
        <f>U51*P51</f>
        <v>0</v>
      </c>
      <c r="AA51" s="469">
        <f t="shared" si="9"/>
        <v>0</v>
      </c>
      <c r="AB51" s="470">
        <f t="shared" si="10"/>
        <v>0</v>
      </c>
      <c r="AC51" s="471">
        <f t="shared" si="11"/>
        <v>0</v>
      </c>
      <c r="AD51" s="471">
        <f t="shared" si="12"/>
        <v>0</v>
      </c>
      <c r="AE51" s="472">
        <v>0.05</v>
      </c>
      <c r="AF51" s="471">
        <f t="shared" si="13"/>
        <v>0</v>
      </c>
      <c r="AG51" s="471">
        <f t="shared" si="14"/>
        <v>0</v>
      </c>
      <c r="AH51" s="473">
        <f t="shared" si="15"/>
        <v>0</v>
      </c>
      <c r="AI51" s="484">
        <f t="shared" si="16"/>
        <v>0</v>
      </c>
      <c r="AJ51" s="474">
        <f t="shared" si="17"/>
        <v>0</v>
      </c>
      <c r="AK51" s="471">
        <f t="shared" si="18"/>
        <v>0</v>
      </c>
      <c r="AL51" s="475">
        <f t="shared" si="19"/>
        <v>5.7500000000000002E-2</v>
      </c>
      <c r="AM51" s="471">
        <f t="shared" si="50"/>
        <v>0</v>
      </c>
      <c r="AN51" s="471">
        <f t="shared" si="20"/>
        <v>0</v>
      </c>
      <c r="AO51" s="476">
        <f t="shared" si="21"/>
        <v>0</v>
      </c>
      <c r="AP51" s="484">
        <f t="shared" si="22"/>
        <v>0</v>
      </c>
      <c r="AQ51" s="485">
        <f t="shared" si="23"/>
        <v>0</v>
      </c>
      <c r="AR51" s="471">
        <f t="shared" si="24"/>
        <v>0</v>
      </c>
      <c r="AS51" s="475">
        <f t="shared" si="25"/>
        <v>6.5000000000000002E-2</v>
      </c>
      <c r="AT51" s="471">
        <f t="shared" si="51"/>
        <v>0</v>
      </c>
      <c r="AU51" s="471">
        <f t="shared" si="26"/>
        <v>0</v>
      </c>
      <c r="AV51" s="476">
        <f t="shared" si="27"/>
        <v>0</v>
      </c>
      <c r="AW51" s="484">
        <f t="shared" si="28"/>
        <v>0</v>
      </c>
      <c r="AX51" s="485">
        <f t="shared" si="29"/>
        <v>0</v>
      </c>
      <c r="AY51" s="471">
        <f t="shared" si="30"/>
        <v>0</v>
      </c>
      <c r="AZ51" s="475">
        <f t="shared" si="31"/>
        <v>7.2500000000000009E-2</v>
      </c>
      <c r="BA51" s="471">
        <f t="shared" si="52"/>
        <v>0</v>
      </c>
      <c r="BB51" s="471">
        <f t="shared" si="32"/>
        <v>0</v>
      </c>
      <c r="BC51" s="476">
        <f t="shared" si="33"/>
        <v>0</v>
      </c>
      <c r="BD51" s="484">
        <f t="shared" si="34"/>
        <v>0</v>
      </c>
      <c r="BE51" s="474">
        <f t="shared" si="35"/>
        <v>0</v>
      </c>
      <c r="BF51" s="471">
        <f t="shared" si="36"/>
        <v>0</v>
      </c>
      <c r="BG51" s="475">
        <f t="shared" si="37"/>
        <v>8.0000000000000016E-2</v>
      </c>
      <c r="BH51" s="471">
        <f t="shared" si="53"/>
        <v>0</v>
      </c>
      <c r="BI51" s="471">
        <f t="shared" si="38"/>
        <v>0</v>
      </c>
      <c r="BJ51" s="473">
        <f t="shared" si="39"/>
        <v>0</v>
      </c>
      <c r="BK51" s="479">
        <f>AC51+AJ51+AQ51+AX51+BE51</f>
        <v>0</v>
      </c>
      <c r="BL51" s="480">
        <f>AD51+AK51+AR51+AY51+BF51</f>
        <v>0</v>
      </c>
      <c r="BM51" s="480">
        <f>BH51+BA51+AT51++AM51+AF51</f>
        <v>0</v>
      </c>
      <c r="BN51" s="480">
        <f>BI51+BB51+AU51++AN51+AG51</f>
        <v>0</v>
      </c>
      <c r="BO51" s="480">
        <f t="shared" si="42"/>
        <v>0</v>
      </c>
      <c r="BP51" s="480">
        <f t="shared" si="43"/>
        <v>0</v>
      </c>
      <c r="BQ51" s="480">
        <f t="shared" si="44"/>
        <v>0</v>
      </c>
      <c r="BR51" s="480">
        <f t="shared" si="45"/>
        <v>0</v>
      </c>
      <c r="BS51" s="480">
        <f t="shared" si="46"/>
        <v>0</v>
      </c>
      <c r="BT51" s="480">
        <f t="shared" si="47"/>
        <v>0</v>
      </c>
      <c r="BU51" s="480">
        <f t="shared" si="48"/>
        <v>0</v>
      </c>
      <c r="BV51" s="480">
        <f t="shared" si="49"/>
        <v>0</v>
      </c>
      <c r="BW51" s="41"/>
      <c r="BX51" s="39">
        <f t="shared" si="54"/>
        <v>0</v>
      </c>
      <c r="BY51" s="39">
        <f t="shared" si="55"/>
        <v>0</v>
      </c>
      <c r="BZ51" s="39">
        <f t="shared" si="56"/>
        <v>0</v>
      </c>
      <c r="CA51" s="40" t="s">
        <v>374</v>
      </c>
      <c r="CB51" s="40"/>
      <c r="CC51" s="40"/>
    </row>
    <row r="52" spans="1:81" ht="15">
      <c r="A52" s="453">
        <f t="shared" si="57"/>
        <v>43</v>
      </c>
      <c r="B52" s="454" t="s">
        <v>370</v>
      </c>
      <c r="C52" s="504" t="s">
        <v>420</v>
      </c>
      <c r="D52" s="481"/>
      <c r="E52" s="457" t="s">
        <v>381</v>
      </c>
      <c r="F52" s="458"/>
      <c r="G52" s="459">
        <v>5</v>
      </c>
      <c r="H52" s="460">
        <v>5</v>
      </c>
      <c r="I52" s="461" t="s">
        <v>373</v>
      </c>
      <c r="J52" s="462">
        <v>12000</v>
      </c>
      <c r="K52" s="463"/>
      <c r="L52" s="464">
        <v>2</v>
      </c>
      <c r="M52" s="465"/>
      <c r="N52" s="465"/>
      <c r="O52" s="465"/>
      <c r="P52" s="465"/>
      <c r="Q52" s="467">
        <f t="shared" si="6"/>
        <v>12000</v>
      </c>
      <c r="R52" s="483">
        <f t="shared" si="7"/>
        <v>12360</v>
      </c>
      <c r="S52" s="483">
        <f t="shared" si="7"/>
        <v>12730.8</v>
      </c>
      <c r="T52" s="483">
        <f t="shared" si="7"/>
        <v>13112.723999999998</v>
      </c>
      <c r="U52" s="483">
        <f t="shared" si="7"/>
        <v>13506.105719999998</v>
      </c>
      <c r="V52" s="468">
        <f t="shared" si="8"/>
        <v>24000</v>
      </c>
      <c r="W52" s="468">
        <f t="shared" si="8"/>
        <v>0</v>
      </c>
      <c r="X52" s="468">
        <f t="shared" si="8"/>
        <v>0</v>
      </c>
      <c r="Y52" s="468">
        <f t="shared" si="8"/>
        <v>0</v>
      </c>
      <c r="Z52" s="468">
        <f t="shared" si="8"/>
        <v>0</v>
      </c>
      <c r="AA52" s="469">
        <f t="shared" si="9"/>
        <v>24000</v>
      </c>
      <c r="AB52" s="470">
        <f t="shared" si="10"/>
        <v>7042.4311085088812</v>
      </c>
      <c r="AC52" s="471">
        <f t="shared" si="11"/>
        <v>4800</v>
      </c>
      <c r="AD52" s="471">
        <f t="shared" si="12"/>
        <v>2242.4311085088812</v>
      </c>
      <c r="AE52" s="472">
        <v>0.05</v>
      </c>
      <c r="AF52" s="471">
        <f t="shared" si="13"/>
        <v>1200</v>
      </c>
      <c r="AG52" s="471">
        <f t="shared" si="14"/>
        <v>60</v>
      </c>
      <c r="AH52" s="473">
        <f t="shared" si="15"/>
        <v>19200</v>
      </c>
      <c r="AI52" s="484">
        <f t="shared" si="16"/>
        <v>6593.9448868071049</v>
      </c>
      <c r="AJ52" s="474">
        <f t="shared" si="17"/>
        <v>4800</v>
      </c>
      <c r="AK52" s="471">
        <f t="shared" si="18"/>
        <v>1793.9448868071054</v>
      </c>
      <c r="AL52" s="475">
        <f t="shared" si="19"/>
        <v>5.7500000000000002E-2</v>
      </c>
      <c r="AM52" s="471">
        <f t="shared" si="50"/>
        <v>1380</v>
      </c>
      <c r="AN52" s="471">
        <f t="shared" si="20"/>
        <v>48.96</v>
      </c>
      <c r="AO52" s="476">
        <f t="shared" si="21"/>
        <v>14400</v>
      </c>
      <c r="AP52" s="484">
        <f t="shared" si="22"/>
        <v>6145.4586651053287</v>
      </c>
      <c r="AQ52" s="485">
        <f t="shared" si="23"/>
        <v>4800</v>
      </c>
      <c r="AR52" s="471">
        <f t="shared" si="24"/>
        <v>1345.4586651053289</v>
      </c>
      <c r="AS52" s="475">
        <f t="shared" si="25"/>
        <v>6.5000000000000002E-2</v>
      </c>
      <c r="AT52" s="471">
        <f t="shared" si="51"/>
        <v>1560</v>
      </c>
      <c r="AU52" s="471">
        <f t="shared" si="26"/>
        <v>37.454400000000007</v>
      </c>
      <c r="AV52" s="476">
        <f t="shared" si="27"/>
        <v>9600</v>
      </c>
      <c r="AW52" s="484">
        <f t="shared" si="28"/>
        <v>5696.9724434035525</v>
      </c>
      <c r="AX52" s="474">
        <f t="shared" si="29"/>
        <v>4800</v>
      </c>
      <c r="AY52" s="471">
        <f t="shared" si="30"/>
        <v>896.97244340355269</v>
      </c>
      <c r="AZ52" s="475">
        <f t="shared" si="31"/>
        <v>7.2500000000000009E-2</v>
      </c>
      <c r="BA52" s="471">
        <f t="shared" si="52"/>
        <v>1740.0000000000002</v>
      </c>
      <c r="BB52" s="471">
        <f t="shared" si="32"/>
        <v>25.468992000000004</v>
      </c>
      <c r="BC52" s="476">
        <f t="shared" si="33"/>
        <v>4800</v>
      </c>
      <c r="BD52" s="484">
        <f t="shared" si="34"/>
        <v>5248.4862217017762</v>
      </c>
      <c r="BE52" s="474">
        <f t="shared" si="35"/>
        <v>4800</v>
      </c>
      <c r="BF52" s="471">
        <f t="shared" si="36"/>
        <v>448.48622170177634</v>
      </c>
      <c r="BG52" s="475">
        <f t="shared" si="37"/>
        <v>8.0000000000000016E-2</v>
      </c>
      <c r="BH52" s="471">
        <f t="shared" si="53"/>
        <v>1920.0000000000005</v>
      </c>
      <c r="BI52" s="471">
        <f t="shared" si="38"/>
        <v>12.989185920000001</v>
      </c>
      <c r="BJ52" s="473">
        <f t="shared" si="39"/>
        <v>0</v>
      </c>
      <c r="BK52" s="479">
        <f t="shared" si="40"/>
        <v>24000</v>
      </c>
      <c r="BL52" s="480">
        <f t="shared" si="40"/>
        <v>6727.2933255266444</v>
      </c>
      <c r="BM52" s="480">
        <f t="shared" si="41"/>
        <v>7800.0000000000009</v>
      </c>
      <c r="BN52" s="480">
        <f t="shared" si="41"/>
        <v>184.87257792000003</v>
      </c>
      <c r="BO52" s="480">
        <f t="shared" si="42"/>
        <v>30727.293325526643</v>
      </c>
      <c r="BP52" s="480">
        <f t="shared" si="43"/>
        <v>38712.165903446643</v>
      </c>
      <c r="BQ52" s="480">
        <f t="shared" si="44"/>
        <v>30727.293325526643</v>
      </c>
      <c r="BR52" s="480">
        <f t="shared" si="45"/>
        <v>0</v>
      </c>
      <c r="BS52" s="480">
        <f t="shared" si="46"/>
        <v>0</v>
      </c>
      <c r="BT52" s="480">
        <f t="shared" si="47"/>
        <v>0</v>
      </c>
      <c r="BU52" s="480">
        <f t="shared" si="48"/>
        <v>0</v>
      </c>
      <c r="BV52" s="480">
        <f t="shared" si="49"/>
        <v>0</v>
      </c>
      <c r="BW52" s="41"/>
      <c r="BX52" s="39">
        <f t="shared" si="54"/>
        <v>691.86925904240672</v>
      </c>
      <c r="BY52" s="39">
        <f t="shared" si="55"/>
        <v>668.57540723392538</v>
      </c>
      <c r="BZ52" s="39">
        <f t="shared" si="56"/>
        <v>645.24275542544399</v>
      </c>
      <c r="CA52" s="40" t="s">
        <v>374</v>
      </c>
      <c r="CB52" s="40"/>
      <c r="CC52" s="40"/>
    </row>
    <row r="53" spans="1:81" ht="15" hidden="1">
      <c r="A53" s="453">
        <f t="shared" si="57"/>
        <v>44</v>
      </c>
      <c r="B53" s="454" t="s">
        <v>370</v>
      </c>
      <c r="C53" s="492" t="s">
        <v>421</v>
      </c>
      <c r="D53" s="456"/>
      <c r="E53" s="457" t="s">
        <v>381</v>
      </c>
      <c r="F53" s="458"/>
      <c r="G53" s="459">
        <v>5</v>
      </c>
      <c r="H53" s="460">
        <v>5</v>
      </c>
      <c r="I53" s="461" t="s">
        <v>373</v>
      </c>
      <c r="J53" s="462">
        <v>12000</v>
      </c>
      <c r="K53" s="463"/>
      <c r="L53" s="464">
        <v>0</v>
      </c>
      <c r="M53" s="466"/>
      <c r="N53" s="466"/>
      <c r="O53" s="466"/>
      <c r="P53" s="466"/>
      <c r="Q53" s="467">
        <f t="shared" si="6"/>
        <v>12000</v>
      </c>
      <c r="R53" s="483">
        <f t="shared" si="7"/>
        <v>12360</v>
      </c>
      <c r="S53" s="483">
        <f t="shared" si="7"/>
        <v>12730.8</v>
      </c>
      <c r="T53" s="483">
        <f t="shared" si="7"/>
        <v>13112.723999999998</v>
      </c>
      <c r="U53" s="483">
        <f t="shared" si="7"/>
        <v>13506.105719999998</v>
      </c>
      <c r="V53" s="468">
        <f t="shared" si="8"/>
        <v>0</v>
      </c>
      <c r="W53" s="468">
        <f t="shared" si="8"/>
        <v>0</v>
      </c>
      <c r="X53" s="468">
        <f t="shared" si="8"/>
        <v>0</v>
      </c>
      <c r="Y53" s="468">
        <f t="shared" si="8"/>
        <v>0</v>
      </c>
      <c r="Z53" s="468">
        <f t="shared" si="8"/>
        <v>0</v>
      </c>
      <c r="AA53" s="469">
        <f t="shared" si="9"/>
        <v>0</v>
      </c>
      <c r="AB53" s="470">
        <f t="shared" si="10"/>
        <v>0</v>
      </c>
      <c r="AC53" s="471">
        <f t="shared" si="11"/>
        <v>0</v>
      </c>
      <c r="AD53" s="471">
        <f t="shared" si="12"/>
        <v>0</v>
      </c>
      <c r="AE53" s="472">
        <v>0.02</v>
      </c>
      <c r="AF53" s="471">
        <f t="shared" si="13"/>
        <v>0</v>
      </c>
      <c r="AG53" s="471">
        <f t="shared" si="14"/>
        <v>0</v>
      </c>
      <c r="AH53" s="473">
        <f t="shared" si="15"/>
        <v>0</v>
      </c>
      <c r="AI53" s="484">
        <f t="shared" si="16"/>
        <v>0</v>
      </c>
      <c r="AJ53" s="474">
        <f t="shared" si="17"/>
        <v>0</v>
      </c>
      <c r="AK53" s="471">
        <f t="shared" si="18"/>
        <v>0</v>
      </c>
      <c r="AL53" s="475">
        <f t="shared" si="19"/>
        <v>2.75E-2</v>
      </c>
      <c r="AM53" s="471">
        <f t="shared" si="50"/>
        <v>0</v>
      </c>
      <c r="AN53" s="471">
        <f t="shared" si="20"/>
        <v>0</v>
      </c>
      <c r="AO53" s="476">
        <f t="shared" si="21"/>
        <v>0</v>
      </c>
      <c r="AP53" s="484">
        <f t="shared" si="22"/>
        <v>0</v>
      </c>
      <c r="AQ53" s="485">
        <f t="shared" si="23"/>
        <v>0</v>
      </c>
      <c r="AR53" s="471">
        <f t="shared" si="24"/>
        <v>0</v>
      </c>
      <c r="AS53" s="475">
        <f t="shared" si="25"/>
        <v>3.5000000000000003E-2</v>
      </c>
      <c r="AT53" s="471">
        <f t="shared" si="51"/>
        <v>0</v>
      </c>
      <c r="AU53" s="471">
        <f t="shared" si="26"/>
        <v>0</v>
      </c>
      <c r="AV53" s="476">
        <f t="shared" si="27"/>
        <v>0</v>
      </c>
      <c r="AW53" s="484">
        <f t="shared" si="28"/>
        <v>0</v>
      </c>
      <c r="AX53" s="474">
        <f t="shared" si="29"/>
        <v>0</v>
      </c>
      <c r="AY53" s="471">
        <f t="shared" si="30"/>
        <v>0</v>
      </c>
      <c r="AZ53" s="475">
        <f t="shared" si="31"/>
        <v>4.2500000000000003E-2</v>
      </c>
      <c r="BA53" s="471">
        <f t="shared" si="52"/>
        <v>0</v>
      </c>
      <c r="BB53" s="471">
        <f t="shared" si="32"/>
        <v>0</v>
      </c>
      <c r="BC53" s="476">
        <f t="shared" si="33"/>
        <v>0</v>
      </c>
      <c r="BD53" s="484">
        <f t="shared" si="34"/>
        <v>0</v>
      </c>
      <c r="BE53" s="474">
        <f t="shared" si="35"/>
        <v>0</v>
      </c>
      <c r="BF53" s="471">
        <f t="shared" si="36"/>
        <v>0</v>
      </c>
      <c r="BG53" s="475">
        <f t="shared" si="37"/>
        <v>0.05</v>
      </c>
      <c r="BH53" s="471">
        <f t="shared" si="53"/>
        <v>0</v>
      </c>
      <c r="BI53" s="471">
        <f t="shared" si="38"/>
        <v>0</v>
      </c>
      <c r="BJ53" s="473">
        <f t="shared" si="39"/>
        <v>0</v>
      </c>
      <c r="BK53" s="479">
        <f t="shared" si="40"/>
        <v>0</v>
      </c>
      <c r="BL53" s="480">
        <f t="shared" si="40"/>
        <v>0</v>
      </c>
      <c r="BM53" s="480">
        <f t="shared" si="41"/>
        <v>0</v>
      </c>
      <c r="BN53" s="480">
        <f t="shared" si="41"/>
        <v>0</v>
      </c>
      <c r="BO53" s="480">
        <f t="shared" si="42"/>
        <v>0</v>
      </c>
      <c r="BP53" s="480">
        <f t="shared" si="43"/>
        <v>0</v>
      </c>
      <c r="BQ53" s="480">
        <f t="shared" si="44"/>
        <v>0</v>
      </c>
      <c r="BR53" s="480">
        <f t="shared" si="45"/>
        <v>0</v>
      </c>
      <c r="BS53" s="480">
        <f t="shared" si="46"/>
        <v>0</v>
      </c>
      <c r="BT53" s="480">
        <f t="shared" si="47"/>
        <v>0</v>
      </c>
      <c r="BU53" s="480">
        <f t="shared" si="48"/>
        <v>0</v>
      </c>
      <c r="BV53" s="480">
        <f t="shared" si="49"/>
        <v>0</v>
      </c>
      <c r="BW53" s="41"/>
      <c r="BX53" s="39">
        <f t="shared" si="54"/>
        <v>0</v>
      </c>
      <c r="BY53" s="39">
        <f t="shared" si="55"/>
        <v>0</v>
      </c>
      <c r="BZ53" s="39">
        <f t="shared" si="56"/>
        <v>0</v>
      </c>
      <c r="CA53" s="40" t="s">
        <v>374</v>
      </c>
      <c r="CB53" s="40"/>
      <c r="CC53" s="40"/>
    </row>
    <row r="54" spans="1:81" ht="15" hidden="1">
      <c r="A54" s="453">
        <f t="shared" si="57"/>
        <v>45</v>
      </c>
      <c r="B54" s="454" t="s">
        <v>370</v>
      </c>
      <c r="C54" s="492" t="s">
        <v>422</v>
      </c>
      <c r="D54" s="456"/>
      <c r="E54" s="457" t="s">
        <v>381</v>
      </c>
      <c r="F54" s="458"/>
      <c r="G54" s="459">
        <v>5</v>
      </c>
      <c r="H54" s="460">
        <v>5</v>
      </c>
      <c r="I54" s="461" t="s">
        <v>373</v>
      </c>
      <c r="J54" s="462">
        <v>15000</v>
      </c>
      <c r="K54" s="463"/>
      <c r="L54" s="464">
        <v>0</v>
      </c>
      <c r="M54" s="465"/>
      <c r="N54" s="465"/>
      <c r="O54" s="465"/>
      <c r="P54" s="465"/>
      <c r="Q54" s="467">
        <f t="shared" si="6"/>
        <v>15000</v>
      </c>
      <c r="R54" s="483">
        <f t="shared" ref="R54:U69" si="58">Q54*R$3+Q54</f>
        <v>15450</v>
      </c>
      <c r="S54" s="483">
        <f t="shared" si="58"/>
        <v>15913.5</v>
      </c>
      <c r="T54" s="483">
        <f t="shared" si="58"/>
        <v>16390.904999999999</v>
      </c>
      <c r="U54" s="483">
        <f t="shared" si="58"/>
        <v>16882.632149999998</v>
      </c>
      <c r="V54" s="468">
        <f t="shared" ref="V54:Z69" si="59">Q54*L54</f>
        <v>0</v>
      </c>
      <c r="W54" s="468">
        <f t="shared" si="59"/>
        <v>0</v>
      </c>
      <c r="X54" s="468">
        <f t="shared" si="59"/>
        <v>0</v>
      </c>
      <c r="Y54" s="468">
        <f t="shared" si="59"/>
        <v>0</v>
      </c>
      <c r="Z54" s="468">
        <f t="shared" si="59"/>
        <v>0</v>
      </c>
      <c r="AA54" s="469">
        <f t="shared" si="9"/>
        <v>0</v>
      </c>
      <c r="AB54" s="470">
        <f t="shared" si="10"/>
        <v>0</v>
      </c>
      <c r="AC54" s="471">
        <f t="shared" si="11"/>
        <v>0</v>
      </c>
      <c r="AD54" s="471">
        <f t="shared" si="12"/>
        <v>0</v>
      </c>
      <c r="AE54" s="472">
        <v>0.02</v>
      </c>
      <c r="AF54" s="471">
        <f t="shared" si="13"/>
        <v>0</v>
      </c>
      <c r="AG54" s="471">
        <f t="shared" si="14"/>
        <v>0</v>
      </c>
      <c r="AH54" s="473">
        <f t="shared" si="15"/>
        <v>0</v>
      </c>
      <c r="AI54" s="484">
        <f t="shared" si="16"/>
        <v>0</v>
      </c>
      <c r="AJ54" s="474">
        <f t="shared" si="17"/>
        <v>0</v>
      </c>
      <c r="AK54" s="471">
        <f t="shared" si="18"/>
        <v>0</v>
      </c>
      <c r="AL54" s="475">
        <f t="shared" si="19"/>
        <v>2.75E-2</v>
      </c>
      <c r="AM54" s="471">
        <f t="shared" si="50"/>
        <v>0</v>
      </c>
      <c r="AN54" s="471">
        <f t="shared" si="20"/>
        <v>0</v>
      </c>
      <c r="AO54" s="476">
        <f t="shared" si="21"/>
        <v>0</v>
      </c>
      <c r="AP54" s="484">
        <f t="shared" si="22"/>
        <v>0</v>
      </c>
      <c r="AQ54" s="485">
        <f t="shared" si="23"/>
        <v>0</v>
      </c>
      <c r="AR54" s="471">
        <f t="shared" si="24"/>
        <v>0</v>
      </c>
      <c r="AS54" s="475">
        <f t="shared" si="25"/>
        <v>3.5000000000000003E-2</v>
      </c>
      <c r="AT54" s="471">
        <f t="shared" si="51"/>
        <v>0</v>
      </c>
      <c r="AU54" s="471">
        <f t="shared" si="26"/>
        <v>0</v>
      </c>
      <c r="AV54" s="476">
        <f t="shared" si="27"/>
        <v>0</v>
      </c>
      <c r="AW54" s="484">
        <f t="shared" si="28"/>
        <v>0</v>
      </c>
      <c r="AX54" s="474">
        <f t="shared" si="29"/>
        <v>0</v>
      </c>
      <c r="AY54" s="471">
        <f t="shared" si="30"/>
        <v>0</v>
      </c>
      <c r="AZ54" s="475">
        <f t="shared" si="31"/>
        <v>4.2500000000000003E-2</v>
      </c>
      <c r="BA54" s="471">
        <f t="shared" si="52"/>
        <v>0</v>
      </c>
      <c r="BB54" s="471">
        <f t="shared" si="32"/>
        <v>0</v>
      </c>
      <c r="BC54" s="476">
        <f t="shared" si="33"/>
        <v>0</v>
      </c>
      <c r="BD54" s="484">
        <f t="shared" si="34"/>
        <v>0</v>
      </c>
      <c r="BE54" s="474">
        <f t="shared" si="35"/>
        <v>0</v>
      </c>
      <c r="BF54" s="471">
        <f t="shared" si="36"/>
        <v>0</v>
      </c>
      <c r="BG54" s="475">
        <f t="shared" si="37"/>
        <v>0.05</v>
      </c>
      <c r="BH54" s="471">
        <f t="shared" si="53"/>
        <v>0</v>
      </c>
      <c r="BI54" s="471">
        <f t="shared" si="38"/>
        <v>0</v>
      </c>
      <c r="BJ54" s="473">
        <f t="shared" si="39"/>
        <v>0</v>
      </c>
      <c r="BK54" s="479">
        <f t="shared" ref="BK54:BL61" si="60">AC54+AJ54+AQ54+AX54+BE54</f>
        <v>0</v>
      </c>
      <c r="BL54" s="480">
        <f t="shared" si="60"/>
        <v>0</v>
      </c>
      <c r="BM54" s="480">
        <f t="shared" ref="BM54:BN61" si="61">BH54+BA54+AT54++AM54+AF54</f>
        <v>0</v>
      </c>
      <c r="BN54" s="480">
        <f t="shared" si="61"/>
        <v>0</v>
      </c>
      <c r="BO54" s="480">
        <f t="shared" si="42"/>
        <v>0</v>
      </c>
      <c r="BP54" s="480">
        <f t="shared" si="43"/>
        <v>0</v>
      </c>
      <c r="BQ54" s="480">
        <f t="shared" si="44"/>
        <v>0</v>
      </c>
      <c r="BR54" s="480">
        <f t="shared" si="45"/>
        <v>0</v>
      </c>
      <c r="BS54" s="480">
        <f t="shared" si="46"/>
        <v>0</v>
      </c>
      <c r="BT54" s="480">
        <f t="shared" si="47"/>
        <v>0</v>
      </c>
      <c r="BU54" s="480">
        <f t="shared" si="48"/>
        <v>0</v>
      </c>
      <c r="BV54" s="480">
        <f t="shared" si="49"/>
        <v>0</v>
      </c>
      <c r="BW54" s="41"/>
      <c r="BX54" s="39">
        <f t="shared" si="54"/>
        <v>0</v>
      </c>
      <c r="BY54" s="39">
        <f t="shared" si="55"/>
        <v>0</v>
      </c>
      <c r="BZ54" s="39">
        <f t="shared" si="56"/>
        <v>0</v>
      </c>
      <c r="CA54" s="40" t="s">
        <v>374</v>
      </c>
      <c r="CB54" s="40"/>
      <c r="CC54" s="40"/>
    </row>
    <row r="55" spans="1:81" ht="15" hidden="1">
      <c r="A55" s="453">
        <f t="shared" si="57"/>
        <v>46</v>
      </c>
      <c r="B55" s="454" t="s">
        <v>370</v>
      </c>
      <c r="C55" s="492" t="s">
        <v>423</v>
      </c>
      <c r="D55" s="456"/>
      <c r="E55" s="457" t="s">
        <v>372</v>
      </c>
      <c r="F55" s="458"/>
      <c r="G55" s="459">
        <v>5</v>
      </c>
      <c r="H55" s="460">
        <v>5</v>
      </c>
      <c r="I55" s="461" t="s">
        <v>373</v>
      </c>
      <c r="J55" s="462">
        <v>400000</v>
      </c>
      <c r="K55" s="463"/>
      <c r="L55" s="464">
        <v>0</v>
      </c>
      <c r="M55" s="466"/>
      <c r="N55" s="466"/>
      <c r="O55" s="466"/>
      <c r="P55" s="466"/>
      <c r="Q55" s="467">
        <f t="shared" si="6"/>
        <v>400000</v>
      </c>
      <c r="R55" s="483">
        <f t="shared" si="58"/>
        <v>412000</v>
      </c>
      <c r="S55" s="483">
        <f t="shared" si="58"/>
        <v>424360</v>
      </c>
      <c r="T55" s="483">
        <f t="shared" si="58"/>
        <v>437090.8</v>
      </c>
      <c r="U55" s="483">
        <f t="shared" si="58"/>
        <v>450203.52399999998</v>
      </c>
      <c r="V55" s="468">
        <f t="shared" si="59"/>
        <v>0</v>
      </c>
      <c r="W55" s="468">
        <f t="shared" si="59"/>
        <v>0</v>
      </c>
      <c r="X55" s="468">
        <f t="shared" si="59"/>
        <v>0</v>
      </c>
      <c r="Y55" s="468">
        <f t="shared" si="59"/>
        <v>0</v>
      </c>
      <c r="Z55" s="468">
        <f t="shared" si="59"/>
        <v>0</v>
      </c>
      <c r="AA55" s="469">
        <f t="shared" si="9"/>
        <v>0</v>
      </c>
      <c r="AB55" s="470">
        <f t="shared" si="10"/>
        <v>0</v>
      </c>
      <c r="AC55" s="471">
        <f t="shared" si="11"/>
        <v>0</v>
      </c>
      <c r="AD55" s="471">
        <f t="shared" si="12"/>
        <v>0</v>
      </c>
      <c r="AE55" s="472">
        <v>0.03</v>
      </c>
      <c r="AF55" s="471">
        <f t="shared" si="13"/>
        <v>0</v>
      </c>
      <c r="AG55" s="471">
        <f t="shared" si="14"/>
        <v>0</v>
      </c>
      <c r="AH55" s="473">
        <f t="shared" si="15"/>
        <v>0</v>
      </c>
      <c r="AI55" s="484">
        <f t="shared" si="16"/>
        <v>0</v>
      </c>
      <c r="AJ55" s="474">
        <f t="shared" si="17"/>
        <v>0</v>
      </c>
      <c r="AK55" s="471">
        <f t="shared" si="18"/>
        <v>0</v>
      </c>
      <c r="AL55" s="475">
        <f t="shared" si="19"/>
        <v>3.7499999999999999E-2</v>
      </c>
      <c r="AM55" s="471">
        <f t="shared" si="50"/>
        <v>0</v>
      </c>
      <c r="AN55" s="471">
        <f t="shared" si="20"/>
        <v>0</v>
      </c>
      <c r="AO55" s="476">
        <f t="shared" si="21"/>
        <v>0</v>
      </c>
      <c r="AP55" s="484">
        <f t="shared" si="22"/>
        <v>0</v>
      </c>
      <c r="AQ55" s="485">
        <f t="shared" si="23"/>
        <v>0</v>
      </c>
      <c r="AR55" s="471">
        <f t="shared" si="24"/>
        <v>0</v>
      </c>
      <c r="AS55" s="475">
        <f t="shared" si="25"/>
        <v>4.4999999999999998E-2</v>
      </c>
      <c r="AT55" s="471">
        <f t="shared" si="51"/>
        <v>0</v>
      </c>
      <c r="AU55" s="471">
        <f t="shared" si="26"/>
        <v>0</v>
      </c>
      <c r="AV55" s="476">
        <f t="shared" si="27"/>
        <v>0</v>
      </c>
      <c r="AW55" s="484">
        <f t="shared" si="28"/>
        <v>0</v>
      </c>
      <c r="AX55" s="474">
        <f t="shared" si="29"/>
        <v>0</v>
      </c>
      <c r="AY55" s="471">
        <f t="shared" si="30"/>
        <v>0</v>
      </c>
      <c r="AZ55" s="475">
        <f t="shared" si="31"/>
        <v>5.2499999999999998E-2</v>
      </c>
      <c r="BA55" s="471">
        <f t="shared" si="52"/>
        <v>0</v>
      </c>
      <c r="BB55" s="471">
        <f t="shared" si="32"/>
        <v>0</v>
      </c>
      <c r="BC55" s="476">
        <f t="shared" si="33"/>
        <v>0</v>
      </c>
      <c r="BD55" s="484">
        <f t="shared" si="34"/>
        <v>0</v>
      </c>
      <c r="BE55" s="474">
        <f t="shared" si="35"/>
        <v>0</v>
      </c>
      <c r="BF55" s="471">
        <f t="shared" si="36"/>
        <v>0</v>
      </c>
      <c r="BG55" s="475">
        <f t="shared" si="37"/>
        <v>0.06</v>
      </c>
      <c r="BH55" s="471">
        <f t="shared" si="53"/>
        <v>0</v>
      </c>
      <c r="BI55" s="471">
        <f t="shared" si="38"/>
        <v>0</v>
      </c>
      <c r="BJ55" s="473">
        <f t="shared" si="39"/>
        <v>0</v>
      </c>
      <c r="BK55" s="479">
        <f t="shared" si="60"/>
        <v>0</v>
      </c>
      <c r="BL55" s="480">
        <f t="shared" si="60"/>
        <v>0</v>
      </c>
      <c r="BM55" s="480">
        <f t="shared" si="61"/>
        <v>0</v>
      </c>
      <c r="BN55" s="480">
        <f t="shared" si="61"/>
        <v>0</v>
      </c>
      <c r="BO55" s="480">
        <f t="shared" si="42"/>
        <v>0</v>
      </c>
      <c r="BP55" s="480">
        <f t="shared" si="43"/>
        <v>0</v>
      </c>
      <c r="BQ55" s="480">
        <f t="shared" si="44"/>
        <v>0</v>
      </c>
      <c r="BR55" s="480">
        <f t="shared" si="45"/>
        <v>0</v>
      </c>
      <c r="BS55" s="480">
        <f t="shared" si="46"/>
        <v>0</v>
      </c>
      <c r="BT55" s="480">
        <f t="shared" si="47"/>
        <v>0</v>
      </c>
      <c r="BU55" s="480">
        <f t="shared" si="48"/>
        <v>0</v>
      </c>
      <c r="BV55" s="480">
        <f t="shared" si="49"/>
        <v>0</v>
      </c>
      <c r="BW55" s="41"/>
      <c r="BX55" s="39">
        <f t="shared" si="54"/>
        <v>0</v>
      </c>
      <c r="BY55" s="39">
        <f t="shared" si="55"/>
        <v>0</v>
      </c>
      <c r="BZ55" s="39">
        <f t="shared" si="56"/>
        <v>0</v>
      </c>
      <c r="CA55" s="40" t="s">
        <v>374</v>
      </c>
      <c r="CB55" s="40"/>
      <c r="CC55" s="40"/>
    </row>
    <row r="56" spans="1:81" ht="15" hidden="1">
      <c r="A56" s="453">
        <f t="shared" si="57"/>
        <v>47</v>
      </c>
      <c r="B56" s="454" t="s">
        <v>370</v>
      </c>
      <c r="C56" s="505" t="s">
        <v>424</v>
      </c>
      <c r="D56" s="456"/>
      <c r="E56" s="457" t="s">
        <v>372</v>
      </c>
      <c r="F56" s="458"/>
      <c r="G56" s="459">
        <v>5</v>
      </c>
      <c r="H56" s="460">
        <v>5</v>
      </c>
      <c r="I56" s="461" t="s">
        <v>373</v>
      </c>
      <c r="J56" s="462">
        <v>510000</v>
      </c>
      <c r="K56" s="463"/>
      <c r="L56" s="464">
        <v>0</v>
      </c>
      <c r="M56" s="466"/>
      <c r="N56" s="466"/>
      <c r="O56" s="466"/>
      <c r="P56" s="466"/>
      <c r="Q56" s="467">
        <f t="shared" si="6"/>
        <v>510000</v>
      </c>
      <c r="R56" s="483">
        <f t="shared" si="58"/>
        <v>525300</v>
      </c>
      <c r="S56" s="483">
        <f t="shared" si="58"/>
        <v>541059</v>
      </c>
      <c r="T56" s="483">
        <f t="shared" si="58"/>
        <v>557290.77</v>
      </c>
      <c r="U56" s="483">
        <f t="shared" si="58"/>
        <v>574009.49309999996</v>
      </c>
      <c r="V56" s="468">
        <f t="shared" si="59"/>
        <v>0</v>
      </c>
      <c r="W56" s="468">
        <f t="shared" si="59"/>
        <v>0</v>
      </c>
      <c r="X56" s="468">
        <f t="shared" si="59"/>
        <v>0</v>
      </c>
      <c r="Y56" s="468">
        <f t="shared" si="59"/>
        <v>0</v>
      </c>
      <c r="Z56" s="468">
        <f t="shared" si="59"/>
        <v>0</v>
      </c>
      <c r="AA56" s="469">
        <f t="shared" si="9"/>
        <v>0</v>
      </c>
      <c r="AB56" s="470">
        <f t="shared" si="10"/>
        <v>0</v>
      </c>
      <c r="AC56" s="471">
        <f t="shared" si="11"/>
        <v>0</v>
      </c>
      <c r="AD56" s="471">
        <f t="shared" si="12"/>
        <v>0</v>
      </c>
      <c r="AE56" s="472">
        <v>0.03</v>
      </c>
      <c r="AF56" s="471">
        <f t="shared" si="13"/>
        <v>0</v>
      </c>
      <c r="AG56" s="471">
        <f t="shared" si="14"/>
        <v>0</v>
      </c>
      <c r="AH56" s="473">
        <f t="shared" si="15"/>
        <v>0</v>
      </c>
      <c r="AI56" s="484">
        <f t="shared" si="16"/>
        <v>0</v>
      </c>
      <c r="AJ56" s="474">
        <f t="shared" si="17"/>
        <v>0</v>
      </c>
      <c r="AK56" s="471">
        <f t="shared" si="18"/>
        <v>0</v>
      </c>
      <c r="AL56" s="475">
        <f t="shared" si="19"/>
        <v>3.7499999999999999E-2</v>
      </c>
      <c r="AM56" s="471">
        <f t="shared" si="50"/>
        <v>0</v>
      </c>
      <c r="AN56" s="471">
        <f t="shared" si="20"/>
        <v>0</v>
      </c>
      <c r="AO56" s="476">
        <f t="shared" si="21"/>
        <v>0</v>
      </c>
      <c r="AP56" s="484">
        <f t="shared" si="22"/>
        <v>0</v>
      </c>
      <c r="AQ56" s="485">
        <f t="shared" si="23"/>
        <v>0</v>
      </c>
      <c r="AR56" s="471">
        <f t="shared" si="24"/>
        <v>0</v>
      </c>
      <c r="AS56" s="475">
        <f t="shared" si="25"/>
        <v>4.4999999999999998E-2</v>
      </c>
      <c r="AT56" s="471">
        <f t="shared" si="51"/>
        <v>0</v>
      </c>
      <c r="AU56" s="471">
        <f t="shared" si="26"/>
        <v>0</v>
      </c>
      <c r="AV56" s="476">
        <f t="shared" si="27"/>
        <v>0</v>
      </c>
      <c r="AW56" s="484">
        <f t="shared" si="28"/>
        <v>0</v>
      </c>
      <c r="AX56" s="474">
        <f t="shared" si="29"/>
        <v>0</v>
      </c>
      <c r="AY56" s="471">
        <f t="shared" si="30"/>
        <v>0</v>
      </c>
      <c r="AZ56" s="475">
        <f t="shared" si="31"/>
        <v>5.2499999999999998E-2</v>
      </c>
      <c r="BA56" s="471">
        <f t="shared" si="52"/>
        <v>0</v>
      </c>
      <c r="BB56" s="471">
        <f t="shared" si="32"/>
        <v>0</v>
      </c>
      <c r="BC56" s="476">
        <f t="shared" si="33"/>
        <v>0</v>
      </c>
      <c r="BD56" s="484">
        <f t="shared" si="34"/>
        <v>0</v>
      </c>
      <c r="BE56" s="474">
        <f t="shared" si="35"/>
        <v>0</v>
      </c>
      <c r="BF56" s="471">
        <f t="shared" si="36"/>
        <v>0</v>
      </c>
      <c r="BG56" s="475">
        <f t="shared" si="37"/>
        <v>0.06</v>
      </c>
      <c r="BH56" s="471">
        <f t="shared" si="53"/>
        <v>0</v>
      </c>
      <c r="BI56" s="471">
        <f t="shared" si="38"/>
        <v>0</v>
      </c>
      <c r="BJ56" s="473">
        <f t="shared" si="39"/>
        <v>0</v>
      </c>
      <c r="BK56" s="479">
        <f t="shared" si="60"/>
        <v>0</v>
      </c>
      <c r="BL56" s="480">
        <f t="shared" si="60"/>
        <v>0</v>
      </c>
      <c r="BM56" s="480">
        <f t="shared" si="61"/>
        <v>0</v>
      </c>
      <c r="BN56" s="480">
        <f t="shared" si="61"/>
        <v>0</v>
      </c>
      <c r="BO56" s="480">
        <f t="shared" si="42"/>
        <v>0</v>
      </c>
      <c r="BP56" s="480">
        <f t="shared" si="43"/>
        <v>0</v>
      </c>
      <c r="BQ56" s="480">
        <f t="shared" si="44"/>
        <v>0</v>
      </c>
      <c r="BR56" s="480">
        <f t="shared" si="45"/>
        <v>0</v>
      </c>
      <c r="BS56" s="480">
        <f t="shared" si="46"/>
        <v>0</v>
      </c>
      <c r="BT56" s="480">
        <f t="shared" si="47"/>
        <v>0</v>
      </c>
      <c r="BU56" s="480">
        <f t="shared" si="48"/>
        <v>0</v>
      </c>
      <c r="BV56" s="480">
        <f t="shared" si="49"/>
        <v>0</v>
      </c>
      <c r="BW56" s="41"/>
      <c r="BX56" s="39">
        <f t="shared" si="54"/>
        <v>0</v>
      </c>
      <c r="BY56" s="39">
        <f t="shared" si="55"/>
        <v>0</v>
      </c>
      <c r="BZ56" s="39">
        <f t="shared" si="56"/>
        <v>0</v>
      </c>
      <c r="CA56" s="40" t="s">
        <v>374</v>
      </c>
      <c r="CB56" s="40"/>
      <c r="CC56" s="40"/>
    </row>
    <row r="57" spans="1:81" ht="15" hidden="1">
      <c r="A57" s="453">
        <f t="shared" si="57"/>
        <v>48</v>
      </c>
      <c r="B57" s="454" t="s">
        <v>370</v>
      </c>
      <c r="C57" s="492" t="s">
        <v>425</v>
      </c>
      <c r="D57" s="456"/>
      <c r="E57" s="457" t="s">
        <v>372</v>
      </c>
      <c r="F57" s="458"/>
      <c r="G57" s="459">
        <v>5</v>
      </c>
      <c r="H57" s="460">
        <v>5</v>
      </c>
      <c r="I57" s="461" t="s">
        <v>373</v>
      </c>
      <c r="J57" s="462">
        <f>490000+125000</f>
        <v>615000</v>
      </c>
      <c r="K57" s="463"/>
      <c r="L57" s="464">
        <v>0</v>
      </c>
      <c r="M57" s="466"/>
      <c r="N57" s="466"/>
      <c r="O57" s="466"/>
      <c r="P57" s="466"/>
      <c r="Q57" s="467">
        <f t="shared" si="6"/>
        <v>615000</v>
      </c>
      <c r="R57" s="483">
        <f t="shared" si="58"/>
        <v>633450</v>
      </c>
      <c r="S57" s="483">
        <f t="shared" si="58"/>
        <v>652453.5</v>
      </c>
      <c r="T57" s="483">
        <f t="shared" si="58"/>
        <v>672027.10499999998</v>
      </c>
      <c r="U57" s="483">
        <f t="shared" si="58"/>
        <v>692187.91814999992</v>
      </c>
      <c r="V57" s="468">
        <f t="shared" si="59"/>
        <v>0</v>
      </c>
      <c r="W57" s="468">
        <f t="shared" si="59"/>
        <v>0</v>
      </c>
      <c r="X57" s="468">
        <f t="shared" si="59"/>
        <v>0</v>
      </c>
      <c r="Y57" s="468">
        <f t="shared" si="59"/>
        <v>0</v>
      </c>
      <c r="Z57" s="468">
        <f t="shared" si="59"/>
        <v>0</v>
      </c>
      <c r="AA57" s="469">
        <f t="shared" si="9"/>
        <v>0</v>
      </c>
      <c r="AB57" s="470">
        <f t="shared" si="10"/>
        <v>0</v>
      </c>
      <c r="AC57" s="471">
        <f t="shared" si="11"/>
        <v>0</v>
      </c>
      <c r="AD57" s="471">
        <f t="shared" si="12"/>
        <v>0</v>
      </c>
      <c r="AE57" s="472">
        <v>0.03</v>
      </c>
      <c r="AF57" s="471">
        <f t="shared" si="13"/>
        <v>0</v>
      </c>
      <c r="AG57" s="471">
        <f t="shared" si="14"/>
        <v>0</v>
      </c>
      <c r="AH57" s="473">
        <f t="shared" si="15"/>
        <v>0</v>
      </c>
      <c r="AI57" s="484">
        <f t="shared" si="16"/>
        <v>0</v>
      </c>
      <c r="AJ57" s="474">
        <f t="shared" si="17"/>
        <v>0</v>
      </c>
      <c r="AK57" s="471">
        <f t="shared" si="18"/>
        <v>0</v>
      </c>
      <c r="AL57" s="475">
        <f t="shared" si="19"/>
        <v>3.7499999999999999E-2</v>
      </c>
      <c r="AM57" s="471">
        <f t="shared" si="50"/>
        <v>0</v>
      </c>
      <c r="AN57" s="471">
        <f t="shared" si="20"/>
        <v>0</v>
      </c>
      <c r="AO57" s="476">
        <f t="shared" si="21"/>
        <v>0</v>
      </c>
      <c r="AP57" s="484">
        <f t="shared" si="22"/>
        <v>0</v>
      </c>
      <c r="AQ57" s="485">
        <f t="shared" si="23"/>
        <v>0</v>
      </c>
      <c r="AR57" s="471">
        <f t="shared" si="24"/>
        <v>0</v>
      </c>
      <c r="AS57" s="475">
        <f t="shared" si="25"/>
        <v>4.4999999999999998E-2</v>
      </c>
      <c r="AT57" s="471">
        <f t="shared" si="51"/>
        <v>0</v>
      </c>
      <c r="AU57" s="471">
        <f t="shared" si="26"/>
        <v>0</v>
      </c>
      <c r="AV57" s="476">
        <f t="shared" si="27"/>
        <v>0</v>
      </c>
      <c r="AW57" s="484">
        <f t="shared" si="28"/>
        <v>0</v>
      </c>
      <c r="AX57" s="474">
        <f t="shared" si="29"/>
        <v>0</v>
      </c>
      <c r="AY57" s="471">
        <f t="shared" si="30"/>
        <v>0</v>
      </c>
      <c r="AZ57" s="475">
        <f t="shared" si="31"/>
        <v>5.2499999999999998E-2</v>
      </c>
      <c r="BA57" s="471">
        <f t="shared" si="52"/>
        <v>0</v>
      </c>
      <c r="BB57" s="471">
        <f t="shared" si="32"/>
        <v>0</v>
      </c>
      <c r="BC57" s="476">
        <f t="shared" si="33"/>
        <v>0</v>
      </c>
      <c r="BD57" s="484">
        <f t="shared" si="34"/>
        <v>0</v>
      </c>
      <c r="BE57" s="474">
        <f t="shared" si="35"/>
        <v>0</v>
      </c>
      <c r="BF57" s="471">
        <f t="shared" si="36"/>
        <v>0</v>
      </c>
      <c r="BG57" s="475">
        <f t="shared" si="37"/>
        <v>0.06</v>
      </c>
      <c r="BH57" s="471">
        <f t="shared" si="53"/>
        <v>0</v>
      </c>
      <c r="BI57" s="471">
        <f t="shared" si="38"/>
        <v>0</v>
      </c>
      <c r="BJ57" s="473">
        <f t="shared" si="39"/>
        <v>0</v>
      </c>
      <c r="BK57" s="479">
        <f t="shared" si="60"/>
        <v>0</v>
      </c>
      <c r="BL57" s="480">
        <f t="shared" si="60"/>
        <v>0</v>
      </c>
      <c r="BM57" s="480">
        <f t="shared" si="61"/>
        <v>0</v>
      </c>
      <c r="BN57" s="480">
        <f t="shared" si="61"/>
        <v>0</v>
      </c>
      <c r="BO57" s="480">
        <f t="shared" si="42"/>
        <v>0</v>
      </c>
      <c r="BP57" s="480">
        <f t="shared" si="43"/>
        <v>0</v>
      </c>
      <c r="BQ57" s="480">
        <f t="shared" si="44"/>
        <v>0</v>
      </c>
      <c r="BR57" s="480">
        <f t="shared" si="45"/>
        <v>0</v>
      </c>
      <c r="BS57" s="480">
        <f t="shared" si="46"/>
        <v>0</v>
      </c>
      <c r="BT57" s="480">
        <f t="shared" si="47"/>
        <v>0</v>
      </c>
      <c r="BU57" s="480">
        <f t="shared" si="48"/>
        <v>0</v>
      </c>
      <c r="BV57" s="480">
        <f t="shared" si="49"/>
        <v>0</v>
      </c>
      <c r="BW57" s="41"/>
      <c r="BX57" s="39">
        <f t="shared" si="54"/>
        <v>0</v>
      </c>
      <c r="BY57" s="39">
        <f t="shared" si="55"/>
        <v>0</v>
      </c>
      <c r="BZ57" s="39">
        <f t="shared" si="56"/>
        <v>0</v>
      </c>
      <c r="CA57" s="40" t="s">
        <v>374</v>
      </c>
      <c r="CB57" s="40"/>
      <c r="CC57" s="40"/>
    </row>
    <row r="58" spans="1:81" ht="15" hidden="1">
      <c r="A58" s="453">
        <f t="shared" si="57"/>
        <v>49</v>
      </c>
      <c r="B58" s="454" t="s">
        <v>370</v>
      </c>
      <c r="C58" s="492" t="s">
        <v>426</v>
      </c>
      <c r="D58" s="456"/>
      <c r="E58" s="457" t="s">
        <v>372</v>
      </c>
      <c r="F58" s="458"/>
      <c r="G58" s="459">
        <v>5</v>
      </c>
      <c r="H58" s="460">
        <v>5</v>
      </c>
      <c r="I58" s="461" t="s">
        <v>373</v>
      </c>
      <c r="J58" s="462">
        <f>490000+150000</f>
        <v>640000</v>
      </c>
      <c r="K58" s="463"/>
      <c r="L58" s="464">
        <v>0</v>
      </c>
      <c r="M58" s="466"/>
      <c r="N58" s="466"/>
      <c r="O58" s="466"/>
      <c r="P58" s="466"/>
      <c r="Q58" s="467">
        <f t="shared" si="6"/>
        <v>640000</v>
      </c>
      <c r="R58" s="483">
        <f t="shared" si="58"/>
        <v>659200</v>
      </c>
      <c r="S58" s="483">
        <f t="shared" si="58"/>
        <v>678976</v>
      </c>
      <c r="T58" s="483">
        <f t="shared" si="58"/>
        <v>699345.28</v>
      </c>
      <c r="U58" s="483">
        <f t="shared" si="58"/>
        <v>720325.63840000005</v>
      </c>
      <c r="V58" s="468">
        <f t="shared" si="59"/>
        <v>0</v>
      </c>
      <c r="W58" s="468">
        <f t="shared" si="59"/>
        <v>0</v>
      </c>
      <c r="X58" s="468">
        <f t="shared" si="59"/>
        <v>0</v>
      </c>
      <c r="Y58" s="468">
        <f t="shared" si="59"/>
        <v>0</v>
      </c>
      <c r="Z58" s="468">
        <f t="shared" si="59"/>
        <v>0</v>
      </c>
      <c r="AA58" s="469">
        <f t="shared" si="9"/>
        <v>0</v>
      </c>
      <c r="AB58" s="470">
        <f t="shared" si="10"/>
        <v>0</v>
      </c>
      <c r="AC58" s="471">
        <f t="shared" si="11"/>
        <v>0</v>
      </c>
      <c r="AD58" s="471">
        <f t="shared" si="12"/>
        <v>0</v>
      </c>
      <c r="AE58" s="472">
        <v>0.03</v>
      </c>
      <c r="AF58" s="471">
        <f t="shared" si="13"/>
        <v>0</v>
      </c>
      <c r="AG58" s="471">
        <f t="shared" si="14"/>
        <v>0</v>
      </c>
      <c r="AH58" s="473">
        <f t="shared" si="15"/>
        <v>0</v>
      </c>
      <c r="AI58" s="484">
        <f t="shared" si="16"/>
        <v>0</v>
      </c>
      <c r="AJ58" s="474">
        <f t="shared" si="17"/>
        <v>0</v>
      </c>
      <c r="AK58" s="471">
        <f t="shared" si="18"/>
        <v>0</v>
      </c>
      <c r="AL58" s="475">
        <f t="shared" si="19"/>
        <v>3.7499999999999999E-2</v>
      </c>
      <c r="AM58" s="471">
        <f t="shared" si="50"/>
        <v>0</v>
      </c>
      <c r="AN58" s="471">
        <f t="shared" si="20"/>
        <v>0</v>
      </c>
      <c r="AO58" s="476">
        <f t="shared" si="21"/>
        <v>0</v>
      </c>
      <c r="AP58" s="484">
        <f t="shared" si="22"/>
        <v>0</v>
      </c>
      <c r="AQ58" s="485">
        <f t="shared" si="23"/>
        <v>0</v>
      </c>
      <c r="AR58" s="471">
        <f t="shared" si="24"/>
        <v>0</v>
      </c>
      <c r="AS58" s="475">
        <f t="shared" si="25"/>
        <v>4.4999999999999998E-2</v>
      </c>
      <c r="AT58" s="471">
        <f t="shared" si="51"/>
        <v>0</v>
      </c>
      <c r="AU58" s="471">
        <f t="shared" si="26"/>
        <v>0</v>
      </c>
      <c r="AV58" s="476">
        <f t="shared" si="27"/>
        <v>0</v>
      </c>
      <c r="AW58" s="484">
        <f t="shared" si="28"/>
        <v>0</v>
      </c>
      <c r="AX58" s="474">
        <f t="shared" si="29"/>
        <v>0</v>
      </c>
      <c r="AY58" s="471">
        <f t="shared" si="30"/>
        <v>0</v>
      </c>
      <c r="AZ58" s="475">
        <f t="shared" si="31"/>
        <v>5.2499999999999998E-2</v>
      </c>
      <c r="BA58" s="471">
        <f t="shared" si="52"/>
        <v>0</v>
      </c>
      <c r="BB58" s="471">
        <f t="shared" si="32"/>
        <v>0</v>
      </c>
      <c r="BC58" s="476">
        <f t="shared" si="33"/>
        <v>0</v>
      </c>
      <c r="BD58" s="484">
        <f t="shared" si="34"/>
        <v>0</v>
      </c>
      <c r="BE58" s="474">
        <f t="shared" si="35"/>
        <v>0</v>
      </c>
      <c r="BF58" s="471">
        <f t="shared" si="36"/>
        <v>0</v>
      </c>
      <c r="BG58" s="475">
        <f t="shared" si="37"/>
        <v>0.06</v>
      </c>
      <c r="BH58" s="471">
        <f t="shared" si="53"/>
        <v>0</v>
      </c>
      <c r="BI58" s="471">
        <f t="shared" si="38"/>
        <v>0</v>
      </c>
      <c r="BJ58" s="473">
        <f t="shared" si="39"/>
        <v>0</v>
      </c>
      <c r="BK58" s="479">
        <f t="shared" si="60"/>
        <v>0</v>
      </c>
      <c r="BL58" s="480">
        <f t="shared" si="60"/>
        <v>0</v>
      </c>
      <c r="BM58" s="480">
        <f t="shared" si="61"/>
        <v>0</v>
      </c>
      <c r="BN58" s="480">
        <f t="shared" si="61"/>
        <v>0</v>
      </c>
      <c r="BO58" s="480">
        <f t="shared" si="42"/>
        <v>0</v>
      </c>
      <c r="BP58" s="480">
        <f t="shared" si="43"/>
        <v>0</v>
      </c>
      <c r="BQ58" s="480">
        <f t="shared" si="44"/>
        <v>0</v>
      </c>
      <c r="BR58" s="480">
        <f t="shared" si="45"/>
        <v>0</v>
      </c>
      <c r="BS58" s="480">
        <f t="shared" si="46"/>
        <v>0</v>
      </c>
      <c r="BT58" s="480">
        <f t="shared" si="47"/>
        <v>0</v>
      </c>
      <c r="BU58" s="480">
        <f t="shared" si="48"/>
        <v>0</v>
      </c>
      <c r="BV58" s="480">
        <f t="shared" si="49"/>
        <v>0</v>
      </c>
      <c r="BW58" s="41"/>
      <c r="BX58" s="39">
        <f t="shared" si="54"/>
        <v>0</v>
      </c>
      <c r="BY58" s="39">
        <f t="shared" si="55"/>
        <v>0</v>
      </c>
      <c r="BZ58" s="39">
        <f t="shared" si="56"/>
        <v>0</v>
      </c>
      <c r="CA58" s="40" t="s">
        <v>374</v>
      </c>
      <c r="CB58" s="40"/>
      <c r="CC58" s="40"/>
    </row>
    <row r="59" spans="1:81" ht="15" hidden="1">
      <c r="A59" s="453">
        <f t="shared" si="57"/>
        <v>50</v>
      </c>
      <c r="B59" s="454" t="s">
        <v>370</v>
      </c>
      <c r="C59" s="492" t="s">
        <v>427</v>
      </c>
      <c r="D59" s="456"/>
      <c r="E59" s="457" t="s">
        <v>372</v>
      </c>
      <c r="F59" s="458"/>
      <c r="G59" s="459">
        <v>5</v>
      </c>
      <c r="H59" s="460">
        <v>5</v>
      </c>
      <c r="I59" s="461" t="s">
        <v>373</v>
      </c>
      <c r="J59" s="462">
        <f>560000+150000</f>
        <v>710000</v>
      </c>
      <c r="K59" s="463"/>
      <c r="L59" s="464">
        <v>0</v>
      </c>
      <c r="M59" s="466"/>
      <c r="N59" s="466"/>
      <c r="O59" s="466"/>
      <c r="P59" s="466"/>
      <c r="Q59" s="467">
        <f t="shared" si="6"/>
        <v>710000</v>
      </c>
      <c r="R59" s="483">
        <f t="shared" si="58"/>
        <v>731300</v>
      </c>
      <c r="S59" s="483">
        <f t="shared" si="58"/>
        <v>753239</v>
      </c>
      <c r="T59" s="483">
        <f t="shared" si="58"/>
        <v>775836.17</v>
      </c>
      <c r="U59" s="483">
        <f t="shared" si="58"/>
        <v>799111.25510000007</v>
      </c>
      <c r="V59" s="468">
        <f t="shared" si="59"/>
        <v>0</v>
      </c>
      <c r="W59" s="468">
        <f t="shared" si="59"/>
        <v>0</v>
      </c>
      <c r="X59" s="468">
        <f t="shared" si="59"/>
        <v>0</v>
      </c>
      <c r="Y59" s="468">
        <f t="shared" si="59"/>
        <v>0</v>
      </c>
      <c r="Z59" s="468">
        <f t="shared" si="59"/>
        <v>0</v>
      </c>
      <c r="AA59" s="469">
        <f t="shared" si="9"/>
        <v>0</v>
      </c>
      <c r="AB59" s="470">
        <f t="shared" si="10"/>
        <v>0</v>
      </c>
      <c r="AC59" s="471">
        <f t="shared" si="11"/>
        <v>0</v>
      </c>
      <c r="AD59" s="471">
        <f t="shared" si="12"/>
        <v>0</v>
      </c>
      <c r="AE59" s="472">
        <v>0.03</v>
      </c>
      <c r="AF59" s="471">
        <f t="shared" si="13"/>
        <v>0</v>
      </c>
      <c r="AG59" s="471">
        <f t="shared" si="14"/>
        <v>0</v>
      </c>
      <c r="AH59" s="473">
        <f t="shared" si="15"/>
        <v>0</v>
      </c>
      <c r="AI59" s="484">
        <f t="shared" si="16"/>
        <v>0</v>
      </c>
      <c r="AJ59" s="474">
        <f t="shared" si="17"/>
        <v>0</v>
      </c>
      <c r="AK59" s="471">
        <f t="shared" si="18"/>
        <v>0</v>
      </c>
      <c r="AL59" s="475">
        <f t="shared" si="19"/>
        <v>3.7499999999999999E-2</v>
      </c>
      <c r="AM59" s="471">
        <f t="shared" si="50"/>
        <v>0</v>
      </c>
      <c r="AN59" s="471">
        <f t="shared" si="20"/>
        <v>0</v>
      </c>
      <c r="AO59" s="476">
        <f t="shared" si="21"/>
        <v>0</v>
      </c>
      <c r="AP59" s="484">
        <f t="shared" si="22"/>
        <v>0</v>
      </c>
      <c r="AQ59" s="485">
        <f t="shared" si="23"/>
        <v>0</v>
      </c>
      <c r="AR59" s="471">
        <f t="shared" si="24"/>
        <v>0</v>
      </c>
      <c r="AS59" s="475">
        <f t="shared" si="25"/>
        <v>4.4999999999999998E-2</v>
      </c>
      <c r="AT59" s="471">
        <f t="shared" si="51"/>
        <v>0</v>
      </c>
      <c r="AU59" s="471">
        <f t="shared" si="26"/>
        <v>0</v>
      </c>
      <c r="AV59" s="476">
        <f t="shared" si="27"/>
        <v>0</v>
      </c>
      <c r="AW59" s="484">
        <f t="shared" si="28"/>
        <v>0</v>
      </c>
      <c r="AX59" s="474">
        <f t="shared" si="29"/>
        <v>0</v>
      </c>
      <c r="AY59" s="471">
        <f t="shared" si="30"/>
        <v>0</v>
      </c>
      <c r="AZ59" s="475">
        <f t="shared" si="31"/>
        <v>5.2499999999999998E-2</v>
      </c>
      <c r="BA59" s="471">
        <f t="shared" si="52"/>
        <v>0</v>
      </c>
      <c r="BB59" s="471">
        <f t="shared" si="32"/>
        <v>0</v>
      </c>
      <c r="BC59" s="476">
        <f t="shared" si="33"/>
        <v>0</v>
      </c>
      <c r="BD59" s="484">
        <f t="shared" si="34"/>
        <v>0</v>
      </c>
      <c r="BE59" s="474">
        <f t="shared" si="35"/>
        <v>0</v>
      </c>
      <c r="BF59" s="471">
        <f t="shared" si="36"/>
        <v>0</v>
      </c>
      <c r="BG59" s="475">
        <f t="shared" si="37"/>
        <v>0.06</v>
      </c>
      <c r="BH59" s="471">
        <f t="shared" si="53"/>
        <v>0</v>
      </c>
      <c r="BI59" s="471">
        <f t="shared" si="38"/>
        <v>0</v>
      </c>
      <c r="BJ59" s="473">
        <f t="shared" si="39"/>
        <v>0</v>
      </c>
      <c r="BK59" s="479">
        <f t="shared" si="60"/>
        <v>0</v>
      </c>
      <c r="BL59" s="480">
        <f t="shared" si="60"/>
        <v>0</v>
      </c>
      <c r="BM59" s="480">
        <f t="shared" si="61"/>
        <v>0</v>
      </c>
      <c r="BN59" s="480">
        <f t="shared" si="61"/>
        <v>0</v>
      </c>
      <c r="BO59" s="480">
        <f t="shared" si="42"/>
        <v>0</v>
      </c>
      <c r="BP59" s="480">
        <f t="shared" si="43"/>
        <v>0</v>
      </c>
      <c r="BQ59" s="480">
        <f t="shared" si="44"/>
        <v>0</v>
      </c>
      <c r="BR59" s="480">
        <f t="shared" si="45"/>
        <v>0</v>
      </c>
      <c r="BS59" s="480">
        <f t="shared" si="46"/>
        <v>0</v>
      </c>
      <c r="BT59" s="480">
        <f t="shared" si="47"/>
        <v>0</v>
      </c>
      <c r="BU59" s="480">
        <f t="shared" si="48"/>
        <v>0</v>
      </c>
      <c r="BV59" s="480">
        <f t="shared" si="49"/>
        <v>0</v>
      </c>
      <c r="BW59" s="41"/>
      <c r="BX59" s="39">
        <f t="shared" si="54"/>
        <v>0</v>
      </c>
      <c r="BY59" s="39">
        <f t="shared" si="55"/>
        <v>0</v>
      </c>
      <c r="BZ59" s="39">
        <f t="shared" si="56"/>
        <v>0</v>
      </c>
      <c r="CA59" s="40" t="s">
        <v>374</v>
      </c>
      <c r="CB59" s="40"/>
      <c r="CC59" s="40"/>
    </row>
    <row r="60" spans="1:81" ht="15" hidden="1">
      <c r="A60" s="453">
        <f t="shared" si="57"/>
        <v>51</v>
      </c>
      <c r="B60" s="454" t="s">
        <v>370</v>
      </c>
      <c r="C60" s="492" t="s">
        <v>428</v>
      </c>
      <c r="D60" s="456"/>
      <c r="E60" s="457" t="s">
        <v>372</v>
      </c>
      <c r="F60" s="458"/>
      <c r="G60" s="459">
        <v>5</v>
      </c>
      <c r="H60" s="460">
        <v>5</v>
      </c>
      <c r="I60" s="461" t="s">
        <v>373</v>
      </c>
      <c r="J60" s="462">
        <v>1350000</v>
      </c>
      <c r="K60" s="463"/>
      <c r="L60" s="464">
        <v>0</v>
      </c>
      <c r="M60" s="466"/>
      <c r="N60" s="466"/>
      <c r="O60" s="466"/>
      <c r="P60" s="466"/>
      <c r="Q60" s="467">
        <f t="shared" si="6"/>
        <v>1350000</v>
      </c>
      <c r="R60" s="483">
        <f>Q60*R$3+Q60</f>
        <v>1390500</v>
      </c>
      <c r="S60" s="483">
        <f>R60*S$3+R60</f>
        <v>1432215</v>
      </c>
      <c r="T60" s="483">
        <f>S60*T$3+S60</f>
        <v>1475181.45</v>
      </c>
      <c r="U60" s="483">
        <f>T60*U$3+T60</f>
        <v>1519436.8935</v>
      </c>
      <c r="V60" s="468">
        <f>Q60*L60</f>
        <v>0</v>
      </c>
      <c r="W60" s="468">
        <f>R60*M60</f>
        <v>0</v>
      </c>
      <c r="X60" s="468">
        <f>S60*N60</f>
        <v>0</v>
      </c>
      <c r="Y60" s="468">
        <f>T60*O60</f>
        <v>0</v>
      </c>
      <c r="Z60" s="468">
        <f>U60*P60</f>
        <v>0</v>
      </c>
      <c r="AA60" s="469">
        <f t="shared" si="9"/>
        <v>0</v>
      </c>
      <c r="AB60" s="470">
        <f t="shared" si="10"/>
        <v>0</v>
      </c>
      <c r="AC60" s="471">
        <f t="shared" si="11"/>
        <v>0</v>
      </c>
      <c r="AD60" s="471">
        <f t="shared" si="12"/>
        <v>0</v>
      </c>
      <c r="AE60" s="472">
        <v>0.03</v>
      </c>
      <c r="AF60" s="471">
        <f t="shared" si="13"/>
        <v>0</v>
      </c>
      <c r="AG60" s="471">
        <f t="shared" si="14"/>
        <v>0</v>
      </c>
      <c r="AH60" s="473">
        <f t="shared" si="15"/>
        <v>0</v>
      </c>
      <c r="AI60" s="484">
        <f t="shared" si="16"/>
        <v>0</v>
      </c>
      <c r="AJ60" s="474">
        <f t="shared" si="17"/>
        <v>0</v>
      </c>
      <c r="AK60" s="471">
        <f t="shared" si="18"/>
        <v>0</v>
      </c>
      <c r="AL60" s="475">
        <f t="shared" si="19"/>
        <v>3.7499999999999999E-2</v>
      </c>
      <c r="AM60" s="471">
        <f t="shared" si="50"/>
        <v>0</v>
      </c>
      <c r="AN60" s="471">
        <f t="shared" si="20"/>
        <v>0</v>
      </c>
      <c r="AO60" s="476">
        <f t="shared" si="21"/>
        <v>0</v>
      </c>
      <c r="AP60" s="484">
        <f t="shared" si="22"/>
        <v>0</v>
      </c>
      <c r="AQ60" s="485">
        <f t="shared" si="23"/>
        <v>0</v>
      </c>
      <c r="AR60" s="471">
        <f t="shared" si="24"/>
        <v>0</v>
      </c>
      <c r="AS60" s="475">
        <f t="shared" si="25"/>
        <v>4.4999999999999998E-2</v>
      </c>
      <c r="AT60" s="471">
        <f t="shared" si="51"/>
        <v>0</v>
      </c>
      <c r="AU60" s="471">
        <f t="shared" si="26"/>
        <v>0</v>
      </c>
      <c r="AV60" s="476">
        <f t="shared" si="27"/>
        <v>0</v>
      </c>
      <c r="AW60" s="484">
        <f t="shared" si="28"/>
        <v>0</v>
      </c>
      <c r="AX60" s="474">
        <f t="shared" si="29"/>
        <v>0</v>
      </c>
      <c r="AY60" s="471">
        <f t="shared" si="30"/>
        <v>0</v>
      </c>
      <c r="AZ60" s="475">
        <f t="shared" si="31"/>
        <v>5.2499999999999998E-2</v>
      </c>
      <c r="BA60" s="471">
        <f t="shared" si="52"/>
        <v>0</v>
      </c>
      <c r="BB60" s="471">
        <f t="shared" si="32"/>
        <v>0</v>
      </c>
      <c r="BC60" s="476">
        <f t="shared" si="33"/>
        <v>0</v>
      </c>
      <c r="BD60" s="484">
        <f t="shared" si="34"/>
        <v>0</v>
      </c>
      <c r="BE60" s="474">
        <f t="shared" si="35"/>
        <v>0</v>
      </c>
      <c r="BF60" s="471">
        <f t="shared" si="36"/>
        <v>0</v>
      </c>
      <c r="BG60" s="475">
        <f t="shared" si="37"/>
        <v>0.06</v>
      </c>
      <c r="BH60" s="471">
        <f t="shared" si="53"/>
        <v>0</v>
      </c>
      <c r="BI60" s="471">
        <f t="shared" si="38"/>
        <v>0</v>
      </c>
      <c r="BJ60" s="473">
        <f t="shared" si="39"/>
        <v>0</v>
      </c>
      <c r="BK60" s="479">
        <f>AC60+AJ60+AQ60+AX60+BE60</f>
        <v>0</v>
      </c>
      <c r="BL60" s="480">
        <f>AD60+AK60+AR60+AY60+BF60</f>
        <v>0</v>
      </c>
      <c r="BM60" s="480">
        <f>BH60+BA60+AT60++AM60+AF60</f>
        <v>0</v>
      </c>
      <c r="BN60" s="480">
        <f>BI60+BB60+AU60++AN60+AG60</f>
        <v>0</v>
      </c>
      <c r="BO60" s="480">
        <f t="shared" si="42"/>
        <v>0</v>
      </c>
      <c r="BP60" s="480">
        <f t="shared" si="43"/>
        <v>0</v>
      </c>
      <c r="BQ60" s="480">
        <f t="shared" si="44"/>
        <v>0</v>
      </c>
      <c r="BR60" s="480">
        <f t="shared" si="45"/>
        <v>0</v>
      </c>
      <c r="BS60" s="480">
        <f t="shared" si="46"/>
        <v>0</v>
      </c>
      <c r="BT60" s="480">
        <f t="shared" si="47"/>
        <v>0</v>
      </c>
      <c r="BU60" s="480">
        <f t="shared" si="48"/>
        <v>0</v>
      </c>
      <c r="BV60" s="480">
        <f t="shared" si="49"/>
        <v>0</v>
      </c>
      <c r="BW60" s="41"/>
      <c r="BX60" s="39">
        <f t="shared" si="54"/>
        <v>0</v>
      </c>
      <c r="BY60" s="39">
        <f t="shared" si="55"/>
        <v>0</v>
      </c>
      <c r="BZ60" s="39">
        <f t="shared" si="56"/>
        <v>0</v>
      </c>
      <c r="CA60" s="40" t="s">
        <v>374</v>
      </c>
      <c r="CB60" s="40"/>
      <c r="CC60" s="40"/>
    </row>
    <row r="61" spans="1:81" ht="15">
      <c r="A61" s="453">
        <f t="shared" si="57"/>
        <v>52</v>
      </c>
      <c r="B61" s="454" t="s">
        <v>370</v>
      </c>
      <c r="C61" s="492" t="s">
        <v>429</v>
      </c>
      <c r="D61" s="456"/>
      <c r="E61" s="457" t="s">
        <v>381</v>
      </c>
      <c r="F61" s="458"/>
      <c r="G61" s="459">
        <v>5</v>
      </c>
      <c r="H61" s="460">
        <v>5</v>
      </c>
      <c r="I61" s="461" t="s">
        <v>373</v>
      </c>
      <c r="J61" s="462">
        <v>5500</v>
      </c>
      <c r="K61" s="463"/>
      <c r="L61" s="464">
        <v>2</v>
      </c>
      <c r="M61" s="465"/>
      <c r="N61" s="465"/>
      <c r="O61" s="465"/>
      <c r="P61" s="465"/>
      <c r="Q61" s="467">
        <f t="shared" si="6"/>
        <v>5500</v>
      </c>
      <c r="R61" s="483">
        <f t="shared" si="58"/>
        <v>5665</v>
      </c>
      <c r="S61" s="483">
        <f t="shared" si="58"/>
        <v>5834.95</v>
      </c>
      <c r="T61" s="483">
        <f t="shared" si="58"/>
        <v>6009.9984999999997</v>
      </c>
      <c r="U61" s="483">
        <f t="shared" si="58"/>
        <v>6190.2984550000001</v>
      </c>
      <c r="V61" s="468">
        <f t="shared" si="59"/>
        <v>11000</v>
      </c>
      <c r="W61" s="468">
        <f t="shared" si="59"/>
        <v>0</v>
      </c>
      <c r="X61" s="468">
        <f t="shared" si="59"/>
        <v>0</v>
      </c>
      <c r="Y61" s="468">
        <f t="shared" si="59"/>
        <v>0</v>
      </c>
      <c r="Z61" s="468">
        <f t="shared" si="59"/>
        <v>0</v>
      </c>
      <c r="AA61" s="469">
        <f t="shared" si="9"/>
        <v>11000</v>
      </c>
      <c r="AB61" s="470">
        <f t="shared" si="10"/>
        <v>3227.7809247332375</v>
      </c>
      <c r="AC61" s="471">
        <f t="shared" si="11"/>
        <v>2200</v>
      </c>
      <c r="AD61" s="471">
        <f t="shared" si="12"/>
        <v>1027.7809247332375</v>
      </c>
      <c r="AE61" s="472">
        <v>0.03</v>
      </c>
      <c r="AF61" s="471">
        <f t="shared" si="13"/>
        <v>330</v>
      </c>
      <c r="AG61" s="471">
        <f t="shared" si="14"/>
        <v>27.5</v>
      </c>
      <c r="AH61" s="473">
        <f t="shared" si="15"/>
        <v>8800</v>
      </c>
      <c r="AI61" s="484">
        <f t="shared" si="16"/>
        <v>3022.2247397865899</v>
      </c>
      <c r="AJ61" s="474">
        <f t="shared" si="17"/>
        <v>2200</v>
      </c>
      <c r="AK61" s="471">
        <f t="shared" si="18"/>
        <v>822.22473978659002</v>
      </c>
      <c r="AL61" s="475">
        <f t="shared" si="19"/>
        <v>3.7499999999999999E-2</v>
      </c>
      <c r="AM61" s="471">
        <f t="shared" si="50"/>
        <v>412.5</v>
      </c>
      <c r="AN61" s="471">
        <f t="shared" si="20"/>
        <v>22.44</v>
      </c>
      <c r="AO61" s="476">
        <f t="shared" si="21"/>
        <v>6600</v>
      </c>
      <c r="AP61" s="484">
        <f t="shared" si="22"/>
        <v>2816.6685548399428</v>
      </c>
      <c r="AQ61" s="485">
        <f t="shared" si="23"/>
        <v>2200</v>
      </c>
      <c r="AR61" s="471">
        <f t="shared" si="24"/>
        <v>616.66855483994254</v>
      </c>
      <c r="AS61" s="475">
        <f t="shared" si="25"/>
        <v>4.4999999999999998E-2</v>
      </c>
      <c r="AT61" s="471">
        <f t="shared" si="51"/>
        <v>495</v>
      </c>
      <c r="AU61" s="471">
        <f t="shared" si="26"/>
        <v>17.166600000000003</v>
      </c>
      <c r="AV61" s="476">
        <f t="shared" si="27"/>
        <v>4400</v>
      </c>
      <c r="AW61" s="484">
        <f t="shared" si="28"/>
        <v>2611.1123698932952</v>
      </c>
      <c r="AX61" s="474">
        <f t="shared" si="29"/>
        <v>2200</v>
      </c>
      <c r="AY61" s="471">
        <f t="shared" si="30"/>
        <v>411.11236989329501</v>
      </c>
      <c r="AZ61" s="475">
        <f t="shared" si="31"/>
        <v>5.2499999999999998E-2</v>
      </c>
      <c r="BA61" s="471">
        <f t="shared" si="52"/>
        <v>577.5</v>
      </c>
      <c r="BB61" s="471">
        <f t="shared" si="32"/>
        <v>11.673288000000001</v>
      </c>
      <c r="BC61" s="476">
        <f t="shared" si="33"/>
        <v>2200</v>
      </c>
      <c r="BD61" s="484">
        <f t="shared" si="34"/>
        <v>2405.5561849466476</v>
      </c>
      <c r="BE61" s="474">
        <f t="shared" si="35"/>
        <v>2200</v>
      </c>
      <c r="BF61" s="471">
        <f t="shared" si="36"/>
        <v>205.55618494664751</v>
      </c>
      <c r="BG61" s="475">
        <f t="shared" si="37"/>
        <v>0.06</v>
      </c>
      <c r="BH61" s="471">
        <f t="shared" si="53"/>
        <v>660</v>
      </c>
      <c r="BI61" s="471">
        <f t="shared" si="38"/>
        <v>5.9533768800000004</v>
      </c>
      <c r="BJ61" s="473">
        <f t="shared" si="39"/>
        <v>0</v>
      </c>
      <c r="BK61" s="479">
        <f t="shared" si="60"/>
        <v>11000</v>
      </c>
      <c r="BL61" s="480">
        <f t="shared" si="60"/>
        <v>3083.3427741997129</v>
      </c>
      <c r="BM61" s="480">
        <f t="shared" si="61"/>
        <v>2475</v>
      </c>
      <c r="BN61" s="480">
        <f t="shared" si="61"/>
        <v>84.733264880000007</v>
      </c>
      <c r="BO61" s="480">
        <f t="shared" si="42"/>
        <v>14083.342774199713</v>
      </c>
      <c r="BP61" s="480">
        <f t="shared" si="43"/>
        <v>16643.076039079715</v>
      </c>
      <c r="BQ61" s="480">
        <f t="shared" si="44"/>
        <v>14083.342774199715</v>
      </c>
      <c r="BR61" s="480">
        <f t="shared" si="45"/>
        <v>0</v>
      </c>
      <c r="BS61" s="480">
        <f t="shared" si="46"/>
        <v>0</v>
      </c>
      <c r="BT61" s="480">
        <f t="shared" si="47"/>
        <v>0</v>
      </c>
      <c r="BU61" s="480">
        <f t="shared" si="48"/>
        <v>0</v>
      </c>
      <c r="BV61" s="480">
        <f t="shared" si="49"/>
        <v>0</v>
      </c>
      <c r="BW61" s="41"/>
      <c r="BX61" s="39">
        <f t="shared" si="54"/>
        <v>298.77341039443644</v>
      </c>
      <c r="BY61" s="39">
        <f t="shared" si="55"/>
        <v>288.09706164888252</v>
      </c>
      <c r="BZ61" s="39">
        <f t="shared" si="56"/>
        <v>277.40292956999525</v>
      </c>
      <c r="CA61" s="40" t="s">
        <v>374</v>
      </c>
      <c r="CB61" s="40"/>
      <c r="CC61" s="40"/>
    </row>
    <row r="62" spans="1:81" ht="15" hidden="1">
      <c r="A62" s="453">
        <f t="shared" si="57"/>
        <v>53</v>
      </c>
      <c r="B62" s="500" t="s">
        <v>198</v>
      </c>
      <c r="C62" s="492" t="s">
        <v>430</v>
      </c>
      <c r="D62" s="456"/>
      <c r="E62" s="457" t="s">
        <v>381</v>
      </c>
      <c r="F62" s="458"/>
      <c r="G62" s="459">
        <v>3</v>
      </c>
      <c r="H62" s="460">
        <v>3</v>
      </c>
      <c r="I62" s="461" t="s">
        <v>373</v>
      </c>
      <c r="J62" s="462">
        <v>15000</v>
      </c>
      <c r="K62" s="463"/>
      <c r="L62" s="506">
        <v>0</v>
      </c>
      <c r="M62" s="506"/>
      <c r="N62" s="506"/>
      <c r="O62" s="466"/>
      <c r="P62" s="466"/>
      <c r="Q62" s="467">
        <f t="shared" si="6"/>
        <v>15000</v>
      </c>
      <c r="R62" s="483">
        <f t="shared" si="58"/>
        <v>15450</v>
      </c>
      <c r="S62" s="483">
        <f t="shared" si="58"/>
        <v>15913.5</v>
      </c>
      <c r="T62" s="483">
        <f t="shared" si="58"/>
        <v>16390.904999999999</v>
      </c>
      <c r="U62" s="483">
        <f t="shared" si="58"/>
        <v>16882.632149999998</v>
      </c>
      <c r="V62" s="468">
        <f t="shared" si="59"/>
        <v>0</v>
      </c>
      <c r="W62" s="468">
        <f t="shared" si="59"/>
        <v>0</v>
      </c>
      <c r="X62" s="468">
        <f t="shared" si="59"/>
        <v>0</v>
      </c>
      <c r="Y62" s="468">
        <f t="shared" si="59"/>
        <v>0</v>
      </c>
      <c r="Z62" s="468">
        <f t="shared" si="59"/>
        <v>0</v>
      </c>
      <c r="AA62" s="469">
        <f t="shared" si="9"/>
        <v>0</v>
      </c>
      <c r="AB62" s="470">
        <f t="shared" si="10"/>
        <v>0</v>
      </c>
      <c r="AC62" s="471">
        <f t="shared" si="11"/>
        <v>0</v>
      </c>
      <c r="AD62" s="471">
        <f t="shared" si="12"/>
        <v>0</v>
      </c>
      <c r="AE62" s="472">
        <v>0.05</v>
      </c>
      <c r="AF62" s="471">
        <f t="shared" si="13"/>
        <v>0</v>
      </c>
      <c r="AG62" s="471">
        <f t="shared" si="14"/>
        <v>0</v>
      </c>
      <c r="AH62" s="473">
        <f t="shared" si="15"/>
        <v>0</v>
      </c>
      <c r="AI62" s="484">
        <f t="shared" si="16"/>
        <v>0</v>
      </c>
      <c r="AJ62" s="474">
        <f t="shared" si="17"/>
        <v>0</v>
      </c>
      <c r="AK62" s="471">
        <f t="shared" si="18"/>
        <v>0</v>
      </c>
      <c r="AL62" s="475">
        <f t="shared" si="19"/>
        <v>5.7500000000000002E-2</v>
      </c>
      <c r="AM62" s="471">
        <f t="shared" si="50"/>
        <v>0</v>
      </c>
      <c r="AN62" s="471">
        <f t="shared" si="20"/>
        <v>0</v>
      </c>
      <c r="AO62" s="476">
        <f t="shared" si="21"/>
        <v>0</v>
      </c>
      <c r="AP62" s="484">
        <f t="shared" si="22"/>
        <v>0</v>
      </c>
      <c r="AQ62" s="485">
        <f t="shared" si="23"/>
        <v>0</v>
      </c>
      <c r="AR62" s="471">
        <f t="shared" si="24"/>
        <v>0</v>
      </c>
      <c r="AS62" s="475">
        <f t="shared" si="25"/>
        <v>6.5000000000000002E-2</v>
      </c>
      <c r="AT62" s="471">
        <f t="shared" si="51"/>
        <v>0</v>
      </c>
      <c r="AU62" s="471">
        <f t="shared" si="26"/>
        <v>0</v>
      </c>
      <c r="AV62" s="476">
        <f t="shared" si="27"/>
        <v>0</v>
      </c>
      <c r="AW62" s="484">
        <f t="shared" si="28"/>
        <v>0</v>
      </c>
      <c r="AX62" s="474">
        <f t="shared" si="29"/>
        <v>0</v>
      </c>
      <c r="AY62" s="471">
        <f t="shared" si="30"/>
        <v>0</v>
      </c>
      <c r="AZ62" s="475">
        <f t="shared" si="31"/>
        <v>7.2500000000000009E-2</v>
      </c>
      <c r="BA62" s="471">
        <f t="shared" si="52"/>
        <v>0</v>
      </c>
      <c r="BB62" s="471">
        <f t="shared" si="32"/>
        <v>0</v>
      </c>
      <c r="BC62" s="476">
        <f t="shared" si="33"/>
        <v>0</v>
      </c>
      <c r="BD62" s="484">
        <f t="shared" si="34"/>
        <v>0</v>
      </c>
      <c r="BE62" s="474">
        <f t="shared" si="35"/>
        <v>0</v>
      </c>
      <c r="BF62" s="471">
        <f t="shared" si="36"/>
        <v>0</v>
      </c>
      <c r="BG62" s="475">
        <f t="shared" si="37"/>
        <v>8.0000000000000016E-2</v>
      </c>
      <c r="BH62" s="471">
        <f t="shared" si="53"/>
        <v>0</v>
      </c>
      <c r="BI62" s="471">
        <f t="shared" si="38"/>
        <v>0</v>
      </c>
      <c r="BJ62" s="473">
        <f t="shared" si="39"/>
        <v>0</v>
      </c>
      <c r="BK62" s="479">
        <f>AC62+AJ62+AQ62+AX62+BE62</f>
        <v>0</v>
      </c>
      <c r="BL62" s="480">
        <f>AD62+AK62+AR62+AY62+BF62</f>
        <v>0</v>
      </c>
      <c r="BM62" s="480">
        <f>BH62+BA62+AT62++AM62+AF62</f>
        <v>0</v>
      </c>
      <c r="BN62" s="480">
        <f>BI62+BB62+AU62++AN62+AG62</f>
        <v>0</v>
      </c>
      <c r="BO62" s="480">
        <f t="shared" si="42"/>
        <v>0</v>
      </c>
      <c r="BP62" s="480">
        <f t="shared" si="43"/>
        <v>0</v>
      </c>
      <c r="BQ62" s="480">
        <f t="shared" si="44"/>
        <v>0</v>
      </c>
      <c r="BR62" s="480">
        <f t="shared" si="45"/>
        <v>0</v>
      </c>
      <c r="BS62" s="480">
        <f t="shared" si="46"/>
        <v>0</v>
      </c>
      <c r="BT62" s="480">
        <f t="shared" si="47"/>
        <v>0</v>
      </c>
      <c r="BU62" s="480">
        <f t="shared" si="48"/>
        <v>0</v>
      </c>
      <c r="BV62" s="480">
        <f t="shared" si="49"/>
        <v>0</v>
      </c>
      <c r="BW62" s="41"/>
      <c r="BX62" s="39">
        <f t="shared" si="54"/>
        <v>0</v>
      </c>
      <c r="BY62" s="39">
        <f t="shared" si="55"/>
        <v>0</v>
      </c>
      <c r="BZ62" s="39">
        <f t="shared" si="56"/>
        <v>0</v>
      </c>
      <c r="CA62" s="40" t="s">
        <v>374</v>
      </c>
      <c r="CB62" s="40"/>
      <c r="CC62" s="40"/>
    </row>
    <row r="63" spans="1:81" ht="15" hidden="1">
      <c r="A63" s="453">
        <f t="shared" si="57"/>
        <v>54</v>
      </c>
      <c r="B63" s="500" t="s">
        <v>198</v>
      </c>
      <c r="C63" s="492" t="s">
        <v>431</v>
      </c>
      <c r="D63" s="456"/>
      <c r="E63" s="457" t="s">
        <v>381</v>
      </c>
      <c r="F63" s="458"/>
      <c r="G63" s="459">
        <v>5</v>
      </c>
      <c r="H63" s="460">
        <v>5</v>
      </c>
      <c r="I63" s="461" t="s">
        <v>373</v>
      </c>
      <c r="J63" s="462">
        <v>18000</v>
      </c>
      <c r="K63" s="463"/>
      <c r="L63" s="464">
        <v>0</v>
      </c>
      <c r="M63" s="466"/>
      <c r="N63" s="466"/>
      <c r="O63" s="466"/>
      <c r="P63" s="466"/>
      <c r="Q63" s="467">
        <f t="shared" si="6"/>
        <v>18000</v>
      </c>
      <c r="R63" s="483">
        <f t="shared" si="58"/>
        <v>18540</v>
      </c>
      <c r="S63" s="483">
        <f t="shared" si="58"/>
        <v>19096.2</v>
      </c>
      <c r="T63" s="483">
        <f t="shared" si="58"/>
        <v>19669.085999999999</v>
      </c>
      <c r="U63" s="483">
        <f t="shared" si="58"/>
        <v>20259.158579999999</v>
      </c>
      <c r="V63" s="468">
        <f t="shared" si="59"/>
        <v>0</v>
      </c>
      <c r="W63" s="468">
        <f t="shared" si="59"/>
        <v>0</v>
      </c>
      <c r="X63" s="468">
        <f t="shared" si="59"/>
        <v>0</v>
      </c>
      <c r="Y63" s="468">
        <f t="shared" si="59"/>
        <v>0</v>
      </c>
      <c r="Z63" s="468">
        <f t="shared" si="59"/>
        <v>0</v>
      </c>
      <c r="AA63" s="469">
        <f t="shared" si="9"/>
        <v>0</v>
      </c>
      <c r="AB63" s="470">
        <f t="shared" si="10"/>
        <v>0</v>
      </c>
      <c r="AC63" s="471">
        <f t="shared" si="11"/>
        <v>0</v>
      </c>
      <c r="AD63" s="471">
        <f t="shared" si="12"/>
        <v>0</v>
      </c>
      <c r="AE63" s="472">
        <v>0.02</v>
      </c>
      <c r="AF63" s="471">
        <f t="shared" si="13"/>
        <v>0</v>
      </c>
      <c r="AG63" s="471">
        <f t="shared" si="14"/>
        <v>0</v>
      </c>
      <c r="AH63" s="473">
        <f t="shared" si="15"/>
        <v>0</v>
      </c>
      <c r="AI63" s="484">
        <f t="shared" si="16"/>
        <v>0</v>
      </c>
      <c r="AJ63" s="474">
        <f t="shared" si="17"/>
        <v>0</v>
      </c>
      <c r="AK63" s="471">
        <f t="shared" si="18"/>
        <v>0</v>
      </c>
      <c r="AL63" s="475">
        <f t="shared" si="19"/>
        <v>2.75E-2</v>
      </c>
      <c r="AM63" s="471">
        <f t="shared" si="50"/>
        <v>0</v>
      </c>
      <c r="AN63" s="471">
        <f t="shared" si="20"/>
        <v>0</v>
      </c>
      <c r="AO63" s="476">
        <f t="shared" si="21"/>
        <v>0</v>
      </c>
      <c r="AP63" s="484">
        <f t="shared" si="22"/>
        <v>0</v>
      </c>
      <c r="AQ63" s="485">
        <f t="shared" si="23"/>
        <v>0</v>
      </c>
      <c r="AR63" s="471">
        <f t="shared" si="24"/>
        <v>0</v>
      </c>
      <c r="AS63" s="475">
        <f t="shared" si="25"/>
        <v>3.5000000000000003E-2</v>
      </c>
      <c r="AT63" s="471">
        <f t="shared" si="51"/>
        <v>0</v>
      </c>
      <c r="AU63" s="471">
        <f t="shared" si="26"/>
        <v>0</v>
      </c>
      <c r="AV63" s="476">
        <f t="shared" si="27"/>
        <v>0</v>
      </c>
      <c r="AW63" s="484">
        <f t="shared" si="28"/>
        <v>0</v>
      </c>
      <c r="AX63" s="474">
        <f t="shared" si="29"/>
        <v>0</v>
      </c>
      <c r="AY63" s="471">
        <f t="shared" si="30"/>
        <v>0</v>
      </c>
      <c r="AZ63" s="475">
        <f t="shared" si="31"/>
        <v>4.2500000000000003E-2</v>
      </c>
      <c r="BA63" s="471">
        <f t="shared" si="52"/>
        <v>0</v>
      </c>
      <c r="BB63" s="471">
        <f t="shared" si="32"/>
        <v>0</v>
      </c>
      <c r="BC63" s="476">
        <f t="shared" si="33"/>
        <v>0</v>
      </c>
      <c r="BD63" s="484">
        <f t="shared" si="34"/>
        <v>0</v>
      </c>
      <c r="BE63" s="474">
        <f t="shared" si="35"/>
        <v>0</v>
      </c>
      <c r="BF63" s="471">
        <f t="shared" si="36"/>
        <v>0</v>
      </c>
      <c r="BG63" s="475">
        <f t="shared" si="37"/>
        <v>0.05</v>
      </c>
      <c r="BH63" s="471">
        <f t="shared" si="53"/>
        <v>0</v>
      </c>
      <c r="BI63" s="471">
        <f t="shared" si="38"/>
        <v>0</v>
      </c>
      <c r="BJ63" s="473">
        <f t="shared" si="39"/>
        <v>0</v>
      </c>
      <c r="BK63" s="479">
        <f>AC63+AJ63+AQ63+AX63+BE63</f>
        <v>0</v>
      </c>
      <c r="BL63" s="480">
        <f>AD63+AK63+AR63+AY63+BF63</f>
        <v>0</v>
      </c>
      <c r="BM63" s="480">
        <f>BH63+BA63+AT63++AM63+AF63</f>
        <v>0</v>
      </c>
      <c r="BN63" s="480">
        <f>BI63+BB63+AU63++AN63+AG63</f>
        <v>0</v>
      </c>
      <c r="BO63" s="480">
        <f t="shared" si="42"/>
        <v>0</v>
      </c>
      <c r="BP63" s="480">
        <f t="shared" si="43"/>
        <v>0</v>
      </c>
      <c r="BQ63" s="480">
        <f t="shared" si="44"/>
        <v>0</v>
      </c>
      <c r="BR63" s="480">
        <f t="shared" si="45"/>
        <v>0</v>
      </c>
      <c r="BS63" s="480">
        <f t="shared" si="46"/>
        <v>0</v>
      </c>
      <c r="BT63" s="480">
        <f t="shared" si="47"/>
        <v>0</v>
      </c>
      <c r="BU63" s="480">
        <f t="shared" si="48"/>
        <v>0</v>
      </c>
      <c r="BV63" s="480">
        <f t="shared" si="49"/>
        <v>0</v>
      </c>
      <c r="BW63" s="41"/>
      <c r="BX63" s="39">
        <f t="shared" si="54"/>
        <v>0</v>
      </c>
      <c r="BY63" s="39">
        <f t="shared" si="55"/>
        <v>0</v>
      </c>
      <c r="BZ63" s="39">
        <f t="shared" si="56"/>
        <v>0</v>
      </c>
      <c r="CA63" s="40" t="s">
        <v>374</v>
      </c>
      <c r="CB63" s="40"/>
      <c r="CC63" s="40"/>
    </row>
    <row r="64" spans="1:81" ht="15">
      <c r="A64" s="453">
        <f t="shared" si="57"/>
        <v>55</v>
      </c>
      <c r="B64" s="454" t="s">
        <v>370</v>
      </c>
      <c r="C64" s="492" t="s">
        <v>432</v>
      </c>
      <c r="D64" s="456"/>
      <c r="E64" s="457" t="s">
        <v>372</v>
      </c>
      <c r="F64" s="458"/>
      <c r="G64" s="459">
        <v>5</v>
      </c>
      <c r="H64" s="460">
        <v>5</v>
      </c>
      <c r="I64" s="461" t="s">
        <v>373</v>
      </c>
      <c r="J64" s="462">
        <v>350000</v>
      </c>
      <c r="K64" s="463"/>
      <c r="L64" s="464">
        <v>0</v>
      </c>
      <c r="M64" s="466"/>
      <c r="N64" s="466"/>
      <c r="O64" s="466"/>
      <c r="P64" s="466"/>
      <c r="Q64" s="467">
        <f t="shared" si="6"/>
        <v>350000</v>
      </c>
      <c r="R64" s="483">
        <f t="shared" si="58"/>
        <v>360500</v>
      </c>
      <c r="S64" s="483">
        <f t="shared" si="58"/>
        <v>371315</v>
      </c>
      <c r="T64" s="483">
        <f t="shared" si="58"/>
        <v>382454.45</v>
      </c>
      <c r="U64" s="483">
        <f t="shared" si="58"/>
        <v>393928.08350000001</v>
      </c>
      <c r="V64" s="468">
        <f t="shared" si="59"/>
        <v>0</v>
      </c>
      <c r="W64" s="468">
        <f t="shared" si="59"/>
        <v>0</v>
      </c>
      <c r="X64" s="468">
        <f t="shared" si="59"/>
        <v>0</v>
      </c>
      <c r="Y64" s="468">
        <f t="shared" si="59"/>
        <v>0</v>
      </c>
      <c r="Z64" s="468">
        <f t="shared" si="59"/>
        <v>0</v>
      </c>
      <c r="AA64" s="469">
        <f t="shared" ref="AA64:AA85" si="62">SUM(V64:Z64)</f>
        <v>0</v>
      </c>
      <c r="AB64" s="470">
        <f t="shared" si="10"/>
        <v>0</v>
      </c>
      <c r="AC64" s="471">
        <f t="shared" si="11"/>
        <v>0</v>
      </c>
      <c r="AD64" s="471">
        <f t="shared" si="12"/>
        <v>0</v>
      </c>
      <c r="AE64" s="472">
        <v>0.02</v>
      </c>
      <c r="AF64" s="471">
        <f t="shared" si="13"/>
        <v>0</v>
      </c>
      <c r="AG64" s="471">
        <f t="shared" si="14"/>
        <v>0</v>
      </c>
      <c r="AH64" s="473">
        <f t="shared" si="15"/>
        <v>0</v>
      </c>
      <c r="AI64" s="484">
        <f t="shared" si="16"/>
        <v>0</v>
      </c>
      <c r="AJ64" s="474">
        <f t="shared" si="17"/>
        <v>0</v>
      </c>
      <c r="AK64" s="471">
        <f t="shared" si="18"/>
        <v>0</v>
      </c>
      <c r="AL64" s="475">
        <f t="shared" si="19"/>
        <v>2.75E-2</v>
      </c>
      <c r="AM64" s="471">
        <f t="shared" si="50"/>
        <v>0</v>
      </c>
      <c r="AN64" s="471">
        <f t="shared" si="20"/>
        <v>0</v>
      </c>
      <c r="AO64" s="476">
        <f t="shared" ref="AO64:AO85" si="63">SUM(AH64+W64)-AJ64+IF(G64=2,L64*R64)</f>
        <v>0</v>
      </c>
      <c r="AP64" s="484">
        <f t="shared" ref="AP64:AP85" si="64">SUM(AQ64:AR64)</f>
        <v>0</v>
      </c>
      <c r="AQ64" s="485">
        <f t="shared" ref="AQ64:AQ86" si="65">SUM(X64/G64)+AJ64</f>
        <v>0</v>
      </c>
      <c r="AR64" s="471">
        <f t="shared" si="24"/>
        <v>0</v>
      </c>
      <c r="AS64" s="475">
        <f t="shared" si="25"/>
        <v>3.5000000000000003E-2</v>
      </c>
      <c r="AT64" s="471">
        <f t="shared" si="51"/>
        <v>0</v>
      </c>
      <c r="AU64" s="471">
        <f t="shared" si="26"/>
        <v>0</v>
      </c>
      <c r="AV64" s="476">
        <f t="shared" si="27"/>
        <v>0</v>
      </c>
      <c r="AW64" s="484">
        <f t="shared" ref="AW64:AW85" si="66">SUM(AX64:AY64)</f>
        <v>0</v>
      </c>
      <c r="AX64" s="474">
        <f t="shared" si="29"/>
        <v>0</v>
      </c>
      <c r="AY64" s="471">
        <f t="shared" si="30"/>
        <v>0</v>
      </c>
      <c r="AZ64" s="475">
        <f t="shared" si="31"/>
        <v>4.2500000000000003E-2</v>
      </c>
      <c r="BA64" s="471">
        <f t="shared" si="52"/>
        <v>0</v>
      </c>
      <c r="BB64" s="471">
        <f t="shared" si="32"/>
        <v>0</v>
      </c>
      <c r="BC64" s="476">
        <f t="shared" si="33"/>
        <v>0</v>
      </c>
      <c r="BD64" s="484">
        <f t="shared" si="34"/>
        <v>0</v>
      </c>
      <c r="BE64" s="474">
        <f t="shared" si="35"/>
        <v>0</v>
      </c>
      <c r="BF64" s="471">
        <f t="shared" si="36"/>
        <v>0</v>
      </c>
      <c r="BG64" s="475">
        <f t="shared" si="37"/>
        <v>0.05</v>
      </c>
      <c r="BH64" s="471">
        <f t="shared" si="53"/>
        <v>0</v>
      </c>
      <c r="BI64" s="471">
        <f t="shared" si="38"/>
        <v>0</v>
      </c>
      <c r="BJ64" s="473">
        <f t="shared" si="39"/>
        <v>0</v>
      </c>
      <c r="BK64" s="479">
        <f t="shared" ref="BK64:BL79" si="67">AC64+AJ64+AQ64+AX64+BE64</f>
        <v>0</v>
      </c>
      <c r="BL64" s="480">
        <f t="shared" si="67"/>
        <v>0</v>
      </c>
      <c r="BM64" s="480">
        <f t="shared" ref="BM64:BN79" si="68">BH64+BA64+AT64++AM64+AF64</f>
        <v>0</v>
      </c>
      <c r="BN64" s="480">
        <f t="shared" si="68"/>
        <v>0</v>
      </c>
      <c r="BO64" s="480">
        <f t="shared" si="42"/>
        <v>0</v>
      </c>
      <c r="BP64" s="480">
        <f t="shared" si="43"/>
        <v>0</v>
      </c>
      <c r="BQ64" s="480">
        <f t="shared" si="44"/>
        <v>0</v>
      </c>
      <c r="BR64" s="480">
        <f t="shared" si="45"/>
        <v>0</v>
      </c>
      <c r="BS64" s="480">
        <f t="shared" si="46"/>
        <v>0</v>
      </c>
      <c r="BT64" s="480">
        <f t="shared" si="47"/>
        <v>0</v>
      </c>
      <c r="BU64" s="480">
        <f t="shared" si="48"/>
        <v>0</v>
      </c>
      <c r="BV64" s="480">
        <f t="shared" si="49"/>
        <v>0</v>
      </c>
      <c r="BW64" s="41"/>
      <c r="BX64" s="39">
        <f t="shared" si="54"/>
        <v>0</v>
      </c>
      <c r="BY64" s="39">
        <f t="shared" si="55"/>
        <v>0</v>
      </c>
      <c r="BZ64" s="39">
        <f t="shared" si="56"/>
        <v>0</v>
      </c>
      <c r="CA64" s="40" t="s">
        <v>374</v>
      </c>
      <c r="CB64" s="40"/>
      <c r="CC64" s="40"/>
    </row>
    <row r="65" spans="1:81" ht="15">
      <c r="A65" s="453">
        <f t="shared" si="57"/>
        <v>56</v>
      </c>
      <c r="B65" s="454" t="s">
        <v>370</v>
      </c>
      <c r="C65" s="492" t="s">
        <v>433</v>
      </c>
      <c r="D65" s="456"/>
      <c r="E65" s="457" t="s">
        <v>381</v>
      </c>
      <c r="F65" s="458"/>
      <c r="G65" s="459">
        <v>5</v>
      </c>
      <c r="H65" s="460">
        <v>5</v>
      </c>
      <c r="I65" s="461" t="s">
        <v>394</v>
      </c>
      <c r="J65" s="462">
        <v>1400</v>
      </c>
      <c r="K65" s="463"/>
      <c r="L65" s="497">
        <v>2100</v>
      </c>
      <c r="M65" s="466"/>
      <c r="N65" s="466"/>
      <c r="O65" s="466"/>
      <c r="P65" s="466"/>
      <c r="Q65" s="467">
        <f t="shared" si="6"/>
        <v>1400</v>
      </c>
      <c r="R65" s="483">
        <f t="shared" si="58"/>
        <v>1442</v>
      </c>
      <c r="S65" s="483">
        <f t="shared" si="58"/>
        <v>1485.26</v>
      </c>
      <c r="T65" s="483">
        <f t="shared" si="58"/>
        <v>1529.8178</v>
      </c>
      <c r="U65" s="483">
        <f t="shared" si="58"/>
        <v>1575.7123340000001</v>
      </c>
      <c r="V65" s="468">
        <f t="shared" si="59"/>
        <v>2940000</v>
      </c>
      <c r="W65" s="468">
        <f t="shared" si="59"/>
        <v>0</v>
      </c>
      <c r="X65" s="468">
        <f t="shared" si="59"/>
        <v>0</v>
      </c>
      <c r="Y65" s="468">
        <f t="shared" si="59"/>
        <v>0</v>
      </c>
      <c r="Z65" s="468">
        <f t="shared" si="59"/>
        <v>0</v>
      </c>
      <c r="AA65" s="469">
        <f t="shared" si="62"/>
        <v>2940000</v>
      </c>
      <c r="AB65" s="470">
        <f t="shared" si="10"/>
        <v>862697.81079233799</v>
      </c>
      <c r="AC65" s="471">
        <f t="shared" si="11"/>
        <v>588000</v>
      </c>
      <c r="AD65" s="471">
        <f t="shared" si="12"/>
        <v>274697.81079233799</v>
      </c>
      <c r="AE65" s="472">
        <v>0.03</v>
      </c>
      <c r="AF65" s="471">
        <f t="shared" si="13"/>
        <v>88200</v>
      </c>
      <c r="AG65" s="471">
        <f t="shared" si="14"/>
        <v>7350</v>
      </c>
      <c r="AH65" s="473">
        <f t="shared" si="15"/>
        <v>2352000</v>
      </c>
      <c r="AI65" s="484">
        <f t="shared" si="16"/>
        <v>807758.24863387039</v>
      </c>
      <c r="AJ65" s="474">
        <f t="shared" si="17"/>
        <v>588000</v>
      </c>
      <c r="AK65" s="471">
        <f t="shared" si="18"/>
        <v>219758.24863387039</v>
      </c>
      <c r="AL65" s="475">
        <f t="shared" si="19"/>
        <v>3.7499999999999999E-2</v>
      </c>
      <c r="AM65" s="471">
        <f t="shared" si="50"/>
        <v>110250</v>
      </c>
      <c r="AN65" s="471">
        <f t="shared" si="20"/>
        <v>5997.6</v>
      </c>
      <c r="AO65" s="476">
        <f t="shared" si="63"/>
        <v>1764000</v>
      </c>
      <c r="AP65" s="484">
        <f t="shared" si="64"/>
        <v>752818.68647540279</v>
      </c>
      <c r="AQ65" s="485">
        <f t="shared" si="65"/>
        <v>588000</v>
      </c>
      <c r="AR65" s="471">
        <f t="shared" si="24"/>
        <v>164818.68647540282</v>
      </c>
      <c r="AS65" s="475">
        <f t="shared" si="25"/>
        <v>4.4999999999999998E-2</v>
      </c>
      <c r="AT65" s="471">
        <f t="shared" si="51"/>
        <v>132300</v>
      </c>
      <c r="AU65" s="471">
        <f t="shared" si="26"/>
        <v>4588.1640000000007</v>
      </c>
      <c r="AV65" s="476">
        <f t="shared" si="27"/>
        <v>1176000</v>
      </c>
      <c r="AW65" s="484">
        <f t="shared" si="66"/>
        <v>697879.12431693519</v>
      </c>
      <c r="AX65" s="474">
        <f t="shared" si="29"/>
        <v>588000</v>
      </c>
      <c r="AY65" s="471">
        <f t="shared" si="30"/>
        <v>109879.12431693519</v>
      </c>
      <c r="AZ65" s="475">
        <f t="shared" si="31"/>
        <v>5.2499999999999998E-2</v>
      </c>
      <c r="BA65" s="471">
        <f t="shared" si="52"/>
        <v>154350</v>
      </c>
      <c r="BB65" s="471">
        <f t="shared" si="32"/>
        <v>3119.9515200000005</v>
      </c>
      <c r="BC65" s="476">
        <f t="shared" si="33"/>
        <v>588000</v>
      </c>
      <c r="BD65" s="484">
        <f t="shared" si="34"/>
        <v>642939.5621584676</v>
      </c>
      <c r="BE65" s="474">
        <f t="shared" si="35"/>
        <v>588000</v>
      </c>
      <c r="BF65" s="471">
        <f t="shared" si="36"/>
        <v>54939.562158467597</v>
      </c>
      <c r="BG65" s="475">
        <f t="shared" si="37"/>
        <v>0.06</v>
      </c>
      <c r="BH65" s="471">
        <f t="shared" si="53"/>
        <v>176400</v>
      </c>
      <c r="BI65" s="471">
        <f t="shared" si="38"/>
        <v>1591.1752752</v>
      </c>
      <c r="BJ65" s="473">
        <f t="shared" si="39"/>
        <v>0</v>
      </c>
      <c r="BK65" s="479">
        <f t="shared" si="67"/>
        <v>2940000</v>
      </c>
      <c r="BL65" s="480">
        <f t="shared" si="67"/>
        <v>824093.43237701396</v>
      </c>
      <c r="BM65" s="480">
        <f t="shared" si="68"/>
        <v>661500</v>
      </c>
      <c r="BN65" s="480">
        <f t="shared" si="68"/>
        <v>22646.890795200001</v>
      </c>
      <c r="BO65" s="480">
        <f t="shared" si="42"/>
        <v>3764093.4323770138</v>
      </c>
      <c r="BP65" s="480">
        <f t="shared" si="43"/>
        <v>4448240.3231722135</v>
      </c>
      <c r="BQ65" s="480">
        <f t="shared" si="44"/>
        <v>3764093.4323770138</v>
      </c>
      <c r="BR65" s="480">
        <f t="shared" si="45"/>
        <v>0</v>
      </c>
      <c r="BS65" s="480">
        <f t="shared" si="46"/>
        <v>0</v>
      </c>
      <c r="BT65" s="480">
        <f t="shared" si="47"/>
        <v>0</v>
      </c>
      <c r="BU65" s="480">
        <f t="shared" si="48"/>
        <v>0</v>
      </c>
      <c r="BV65" s="480">
        <f t="shared" si="49"/>
        <v>0</v>
      </c>
      <c r="BW65" s="41"/>
      <c r="BX65" s="39">
        <f t="shared" si="54"/>
        <v>79853.984232694827</v>
      </c>
      <c r="BY65" s="39">
        <f t="shared" si="55"/>
        <v>77000.487386155859</v>
      </c>
      <c r="BZ65" s="39">
        <f t="shared" si="56"/>
        <v>74142.237539616894</v>
      </c>
      <c r="CA65" s="40" t="s">
        <v>374</v>
      </c>
      <c r="CB65" s="40"/>
      <c r="CC65" s="40"/>
    </row>
    <row r="66" spans="1:81" ht="15">
      <c r="A66" s="453">
        <f t="shared" si="57"/>
        <v>57</v>
      </c>
      <c r="B66" s="500" t="s">
        <v>370</v>
      </c>
      <c r="C66" s="492" t="s">
        <v>434</v>
      </c>
      <c r="D66" s="456"/>
      <c r="E66" s="457" t="s">
        <v>381</v>
      </c>
      <c r="F66" s="458"/>
      <c r="G66" s="459">
        <v>5</v>
      </c>
      <c r="H66" s="460">
        <v>5</v>
      </c>
      <c r="I66" s="461" t="s">
        <v>394</v>
      </c>
      <c r="J66" s="462">
        <v>500</v>
      </c>
      <c r="K66" s="463"/>
      <c r="L66" s="497">
        <v>0</v>
      </c>
      <c r="M66" s="466"/>
      <c r="N66" s="466"/>
      <c r="O66" s="466"/>
      <c r="P66" s="466"/>
      <c r="Q66" s="467">
        <f t="shared" si="6"/>
        <v>500</v>
      </c>
      <c r="R66" s="483">
        <f>Q66*R$3+Q66</f>
        <v>515</v>
      </c>
      <c r="S66" s="483">
        <f>R66*S$3+R66</f>
        <v>530.45000000000005</v>
      </c>
      <c r="T66" s="483">
        <f>S66*T$3+S66</f>
        <v>546.36350000000004</v>
      </c>
      <c r="U66" s="483">
        <f>T66*U$3+T66</f>
        <v>562.75440500000002</v>
      </c>
      <c r="V66" s="468">
        <f>Q66*L66</f>
        <v>0</v>
      </c>
      <c r="W66" s="468">
        <f>R66*M66</f>
        <v>0</v>
      </c>
      <c r="X66" s="468">
        <f>S66*N66</f>
        <v>0</v>
      </c>
      <c r="Y66" s="468">
        <f>T66*O66</f>
        <v>0</v>
      </c>
      <c r="Z66" s="468">
        <f>U66*P66</f>
        <v>0</v>
      </c>
      <c r="AA66" s="469">
        <f t="shared" ref="AA66:AA71" si="69">SUM(V66:Z66)</f>
        <v>0</v>
      </c>
      <c r="AB66" s="470">
        <f t="shared" si="10"/>
        <v>0</v>
      </c>
      <c r="AC66" s="471">
        <f t="shared" si="11"/>
        <v>0</v>
      </c>
      <c r="AD66" s="471">
        <f t="shared" si="12"/>
        <v>0</v>
      </c>
      <c r="AE66" s="472">
        <v>0.03</v>
      </c>
      <c r="AF66" s="471">
        <f t="shared" si="13"/>
        <v>0</v>
      </c>
      <c r="AG66" s="471">
        <f t="shared" si="14"/>
        <v>0</v>
      </c>
      <c r="AH66" s="473">
        <f t="shared" si="15"/>
        <v>0</v>
      </c>
      <c r="AI66" s="484">
        <f t="shared" si="16"/>
        <v>0</v>
      </c>
      <c r="AJ66" s="474">
        <f t="shared" si="17"/>
        <v>0</v>
      </c>
      <c r="AK66" s="471">
        <f t="shared" si="18"/>
        <v>0</v>
      </c>
      <c r="AL66" s="475">
        <f t="shared" si="19"/>
        <v>3.7499999999999999E-2</v>
      </c>
      <c r="AM66" s="471">
        <f t="shared" si="50"/>
        <v>0</v>
      </c>
      <c r="AN66" s="471">
        <f t="shared" si="20"/>
        <v>0</v>
      </c>
      <c r="AO66" s="476">
        <f t="shared" si="63"/>
        <v>0</v>
      </c>
      <c r="AP66" s="484">
        <f t="shared" si="64"/>
        <v>0</v>
      </c>
      <c r="AQ66" s="485">
        <f t="shared" si="65"/>
        <v>0</v>
      </c>
      <c r="AR66" s="471">
        <f t="shared" si="24"/>
        <v>0</v>
      </c>
      <c r="AS66" s="475">
        <f t="shared" si="25"/>
        <v>4.4999999999999998E-2</v>
      </c>
      <c r="AT66" s="471">
        <f t="shared" si="51"/>
        <v>0</v>
      </c>
      <c r="AU66" s="471">
        <f t="shared" si="26"/>
        <v>0</v>
      </c>
      <c r="AV66" s="476">
        <f t="shared" si="27"/>
        <v>0</v>
      </c>
      <c r="AW66" s="484">
        <f t="shared" si="66"/>
        <v>0</v>
      </c>
      <c r="AX66" s="474">
        <f t="shared" si="29"/>
        <v>0</v>
      </c>
      <c r="AY66" s="471">
        <f t="shared" si="30"/>
        <v>0</v>
      </c>
      <c r="AZ66" s="475">
        <f t="shared" si="31"/>
        <v>5.2499999999999998E-2</v>
      </c>
      <c r="BA66" s="471">
        <f t="shared" si="52"/>
        <v>0</v>
      </c>
      <c r="BB66" s="471">
        <f t="shared" si="32"/>
        <v>0</v>
      </c>
      <c r="BC66" s="476">
        <f t="shared" si="33"/>
        <v>0</v>
      </c>
      <c r="BD66" s="484">
        <f t="shared" si="34"/>
        <v>0</v>
      </c>
      <c r="BE66" s="474">
        <f t="shared" si="35"/>
        <v>0</v>
      </c>
      <c r="BF66" s="471">
        <f t="shared" si="36"/>
        <v>0</v>
      </c>
      <c r="BG66" s="475">
        <f t="shared" si="37"/>
        <v>0.06</v>
      </c>
      <c r="BH66" s="471">
        <f t="shared" si="53"/>
        <v>0</v>
      </c>
      <c r="BI66" s="471">
        <f t="shared" si="38"/>
        <v>0</v>
      </c>
      <c r="BJ66" s="473">
        <f t="shared" si="39"/>
        <v>0</v>
      </c>
      <c r="BK66" s="479">
        <f>AC66+AJ66+AQ66+AX66+BE66</f>
        <v>0</v>
      </c>
      <c r="BL66" s="480">
        <f>AD66+AK66+AR66+AY66+BF66</f>
        <v>0</v>
      </c>
      <c r="BM66" s="480">
        <f>BH66+BA66+AT66++AM66+AF66</f>
        <v>0</v>
      </c>
      <c r="BN66" s="480">
        <f>BI66+BB66+AU66++AN66+AG66</f>
        <v>0</v>
      </c>
      <c r="BO66" s="480">
        <f t="shared" ref="BO66:BO71" si="70">SUM(BK66:BL66)</f>
        <v>0</v>
      </c>
      <c r="BP66" s="480">
        <f t="shared" si="43"/>
        <v>0</v>
      </c>
      <c r="BQ66" s="480">
        <f t="shared" si="44"/>
        <v>0</v>
      </c>
      <c r="BR66" s="480">
        <f t="shared" si="45"/>
        <v>0</v>
      </c>
      <c r="BS66" s="480">
        <f t="shared" si="46"/>
        <v>0</v>
      </c>
      <c r="BT66" s="480">
        <f t="shared" si="47"/>
        <v>0</v>
      </c>
      <c r="BU66" s="480">
        <f t="shared" si="48"/>
        <v>0</v>
      </c>
      <c r="BV66" s="480">
        <f t="shared" si="49"/>
        <v>0</v>
      </c>
      <c r="BW66" s="41"/>
      <c r="BX66" s="39">
        <f t="shared" si="54"/>
        <v>0</v>
      </c>
      <c r="BY66" s="39">
        <f t="shared" si="55"/>
        <v>0</v>
      </c>
      <c r="BZ66" s="39">
        <f t="shared" si="56"/>
        <v>0</v>
      </c>
      <c r="CA66" s="40" t="s">
        <v>374</v>
      </c>
      <c r="CB66" s="40"/>
      <c r="CC66" s="40"/>
    </row>
    <row r="67" spans="1:81" ht="15" hidden="1">
      <c r="A67" s="453">
        <f t="shared" si="57"/>
        <v>58</v>
      </c>
      <c r="B67" s="454" t="s">
        <v>370</v>
      </c>
      <c r="C67" s="492" t="s">
        <v>435</v>
      </c>
      <c r="D67" s="456"/>
      <c r="E67" s="457" t="s">
        <v>381</v>
      </c>
      <c r="F67" s="458"/>
      <c r="G67" s="459">
        <v>5</v>
      </c>
      <c r="H67" s="460">
        <v>5</v>
      </c>
      <c r="I67" s="461" t="s">
        <v>394</v>
      </c>
      <c r="J67" s="462">
        <v>800</v>
      </c>
      <c r="K67" s="463"/>
      <c r="L67" s="497">
        <v>0</v>
      </c>
      <c r="M67" s="466"/>
      <c r="N67" s="466"/>
      <c r="O67" s="466"/>
      <c r="P67" s="466"/>
      <c r="Q67" s="467">
        <f t="shared" si="6"/>
        <v>800</v>
      </c>
      <c r="R67" s="483">
        <f t="shared" si="58"/>
        <v>824</v>
      </c>
      <c r="S67" s="483">
        <f t="shared" si="58"/>
        <v>848.72</v>
      </c>
      <c r="T67" s="483">
        <f t="shared" si="58"/>
        <v>874.1816</v>
      </c>
      <c r="U67" s="483">
        <f t="shared" si="58"/>
        <v>900.40704800000003</v>
      </c>
      <c r="V67" s="468">
        <f t="shared" si="59"/>
        <v>0</v>
      </c>
      <c r="W67" s="468">
        <f t="shared" si="59"/>
        <v>0</v>
      </c>
      <c r="X67" s="468">
        <f t="shared" si="59"/>
        <v>0</v>
      </c>
      <c r="Y67" s="468">
        <f t="shared" si="59"/>
        <v>0</v>
      </c>
      <c r="Z67" s="468">
        <f t="shared" si="59"/>
        <v>0</v>
      </c>
      <c r="AA67" s="469">
        <f t="shared" si="69"/>
        <v>0</v>
      </c>
      <c r="AB67" s="470">
        <f t="shared" si="10"/>
        <v>0</v>
      </c>
      <c r="AC67" s="471">
        <f t="shared" si="11"/>
        <v>0</v>
      </c>
      <c r="AD67" s="471">
        <f t="shared" si="12"/>
        <v>0</v>
      </c>
      <c r="AE67" s="472">
        <v>0.03</v>
      </c>
      <c r="AF67" s="471">
        <f t="shared" si="13"/>
        <v>0</v>
      </c>
      <c r="AG67" s="471">
        <f t="shared" si="14"/>
        <v>0</v>
      </c>
      <c r="AH67" s="473">
        <f t="shared" si="15"/>
        <v>0</v>
      </c>
      <c r="AI67" s="484">
        <f t="shared" si="16"/>
        <v>0</v>
      </c>
      <c r="AJ67" s="474">
        <f t="shared" si="17"/>
        <v>0</v>
      </c>
      <c r="AK67" s="471">
        <f t="shared" si="18"/>
        <v>0</v>
      </c>
      <c r="AL67" s="475">
        <f t="shared" si="19"/>
        <v>3.7499999999999999E-2</v>
      </c>
      <c r="AM67" s="471">
        <f t="shared" si="50"/>
        <v>0</v>
      </c>
      <c r="AN67" s="471">
        <f t="shared" si="20"/>
        <v>0</v>
      </c>
      <c r="AO67" s="476">
        <f t="shared" si="63"/>
        <v>0</v>
      </c>
      <c r="AP67" s="484">
        <f t="shared" si="64"/>
        <v>0</v>
      </c>
      <c r="AQ67" s="485">
        <f t="shared" si="65"/>
        <v>0</v>
      </c>
      <c r="AR67" s="471">
        <f t="shared" si="24"/>
        <v>0</v>
      </c>
      <c r="AS67" s="475">
        <f t="shared" si="25"/>
        <v>4.4999999999999998E-2</v>
      </c>
      <c r="AT67" s="471">
        <f t="shared" si="51"/>
        <v>0</v>
      </c>
      <c r="AU67" s="471">
        <f t="shared" si="26"/>
        <v>0</v>
      </c>
      <c r="AV67" s="476">
        <f t="shared" si="27"/>
        <v>0</v>
      </c>
      <c r="AW67" s="484">
        <f t="shared" si="66"/>
        <v>0</v>
      </c>
      <c r="AX67" s="474">
        <f t="shared" si="29"/>
        <v>0</v>
      </c>
      <c r="AY67" s="471">
        <f t="shared" si="30"/>
        <v>0</v>
      </c>
      <c r="AZ67" s="475">
        <f t="shared" si="31"/>
        <v>5.2499999999999998E-2</v>
      </c>
      <c r="BA67" s="471">
        <f t="shared" si="52"/>
        <v>0</v>
      </c>
      <c r="BB67" s="471">
        <f t="shared" si="32"/>
        <v>0</v>
      </c>
      <c r="BC67" s="476">
        <f t="shared" si="33"/>
        <v>0</v>
      </c>
      <c r="BD67" s="484">
        <f t="shared" si="34"/>
        <v>0</v>
      </c>
      <c r="BE67" s="474">
        <f t="shared" si="35"/>
        <v>0</v>
      </c>
      <c r="BF67" s="471">
        <f t="shared" si="36"/>
        <v>0</v>
      </c>
      <c r="BG67" s="475">
        <f t="shared" si="37"/>
        <v>0.06</v>
      </c>
      <c r="BH67" s="471">
        <f t="shared" si="53"/>
        <v>0</v>
      </c>
      <c r="BI67" s="471">
        <f t="shared" si="38"/>
        <v>0</v>
      </c>
      <c r="BJ67" s="473">
        <f t="shared" si="39"/>
        <v>0</v>
      </c>
      <c r="BK67" s="479">
        <f t="shared" si="67"/>
        <v>0</v>
      </c>
      <c r="BL67" s="480">
        <f t="shared" si="67"/>
        <v>0</v>
      </c>
      <c r="BM67" s="480">
        <f t="shared" si="68"/>
        <v>0</v>
      </c>
      <c r="BN67" s="480">
        <f t="shared" si="68"/>
        <v>0</v>
      </c>
      <c r="BO67" s="480">
        <f t="shared" si="70"/>
        <v>0</v>
      </c>
      <c r="BP67" s="480">
        <f t="shared" si="43"/>
        <v>0</v>
      </c>
      <c r="BQ67" s="480">
        <f t="shared" si="44"/>
        <v>0</v>
      </c>
      <c r="BR67" s="480">
        <f t="shared" si="45"/>
        <v>0</v>
      </c>
      <c r="BS67" s="480">
        <f t="shared" si="46"/>
        <v>0</v>
      </c>
      <c r="BT67" s="480">
        <f t="shared" si="47"/>
        <v>0</v>
      </c>
      <c r="BU67" s="480">
        <f t="shared" si="48"/>
        <v>0</v>
      </c>
      <c r="BV67" s="480">
        <f t="shared" si="49"/>
        <v>0</v>
      </c>
      <c r="BW67" s="41"/>
      <c r="BX67" s="39">
        <f t="shared" si="54"/>
        <v>0</v>
      </c>
      <c r="BY67" s="39">
        <f t="shared" si="55"/>
        <v>0</v>
      </c>
      <c r="BZ67" s="39">
        <f t="shared" si="56"/>
        <v>0</v>
      </c>
      <c r="CA67" s="40" t="s">
        <v>374</v>
      </c>
      <c r="CB67" s="40"/>
      <c r="CC67" s="40"/>
    </row>
    <row r="68" spans="1:81" ht="15">
      <c r="A68" s="453">
        <f t="shared" si="57"/>
        <v>59</v>
      </c>
      <c r="B68" s="500" t="s">
        <v>436</v>
      </c>
      <c r="C68" s="492" t="s">
        <v>437</v>
      </c>
      <c r="D68" s="456"/>
      <c r="E68" s="457" t="s">
        <v>381</v>
      </c>
      <c r="F68" s="458"/>
      <c r="G68" s="459">
        <v>5</v>
      </c>
      <c r="H68" s="460">
        <v>5</v>
      </c>
      <c r="I68" s="461" t="s">
        <v>394</v>
      </c>
      <c r="J68" s="462">
        <v>40000</v>
      </c>
      <c r="K68" s="463"/>
      <c r="L68" s="464">
        <v>0</v>
      </c>
      <c r="M68" s="466"/>
      <c r="N68" s="466"/>
      <c r="O68" s="466"/>
      <c r="P68" s="466"/>
      <c r="Q68" s="467">
        <f t="shared" si="6"/>
        <v>40000</v>
      </c>
      <c r="R68" s="483">
        <f t="shared" si="58"/>
        <v>41200</v>
      </c>
      <c r="S68" s="483">
        <f t="shared" si="58"/>
        <v>42436</v>
      </c>
      <c r="T68" s="483">
        <f t="shared" si="58"/>
        <v>43709.08</v>
      </c>
      <c r="U68" s="483">
        <f t="shared" si="58"/>
        <v>45020.352400000003</v>
      </c>
      <c r="V68" s="468">
        <f t="shared" si="59"/>
        <v>0</v>
      </c>
      <c r="W68" s="468">
        <f t="shared" si="59"/>
        <v>0</v>
      </c>
      <c r="X68" s="468">
        <f t="shared" si="59"/>
        <v>0</v>
      </c>
      <c r="Y68" s="468">
        <f t="shared" si="59"/>
        <v>0</v>
      </c>
      <c r="Z68" s="468">
        <f t="shared" si="59"/>
        <v>0</v>
      </c>
      <c r="AA68" s="469">
        <f t="shared" si="69"/>
        <v>0</v>
      </c>
      <c r="AB68" s="470">
        <f t="shared" si="10"/>
        <v>0</v>
      </c>
      <c r="AC68" s="471">
        <f t="shared" si="11"/>
        <v>0</v>
      </c>
      <c r="AD68" s="471">
        <f t="shared" si="12"/>
        <v>0</v>
      </c>
      <c r="AE68" s="472">
        <v>0.03</v>
      </c>
      <c r="AF68" s="471">
        <f t="shared" si="13"/>
        <v>0</v>
      </c>
      <c r="AG68" s="471">
        <f t="shared" si="14"/>
        <v>0</v>
      </c>
      <c r="AH68" s="473">
        <f t="shared" si="15"/>
        <v>0</v>
      </c>
      <c r="AI68" s="484">
        <f t="shared" si="16"/>
        <v>0</v>
      </c>
      <c r="AJ68" s="474">
        <f t="shared" si="17"/>
        <v>0</v>
      </c>
      <c r="AK68" s="471">
        <f t="shared" si="18"/>
        <v>0</v>
      </c>
      <c r="AL68" s="475">
        <f t="shared" si="19"/>
        <v>3.7499999999999999E-2</v>
      </c>
      <c r="AM68" s="471">
        <f t="shared" si="50"/>
        <v>0</v>
      </c>
      <c r="AN68" s="471">
        <f t="shared" si="20"/>
        <v>0</v>
      </c>
      <c r="AO68" s="476">
        <f t="shared" si="63"/>
        <v>0</v>
      </c>
      <c r="AP68" s="484">
        <f t="shared" si="64"/>
        <v>0</v>
      </c>
      <c r="AQ68" s="485">
        <f t="shared" si="65"/>
        <v>0</v>
      </c>
      <c r="AR68" s="471">
        <f t="shared" si="24"/>
        <v>0</v>
      </c>
      <c r="AS68" s="475">
        <f t="shared" si="25"/>
        <v>4.4999999999999998E-2</v>
      </c>
      <c r="AT68" s="471">
        <f t="shared" si="51"/>
        <v>0</v>
      </c>
      <c r="AU68" s="471">
        <f t="shared" si="26"/>
        <v>0</v>
      </c>
      <c r="AV68" s="476">
        <f t="shared" si="27"/>
        <v>0</v>
      </c>
      <c r="AW68" s="484">
        <f t="shared" si="66"/>
        <v>0</v>
      </c>
      <c r="AX68" s="474">
        <f t="shared" si="29"/>
        <v>0</v>
      </c>
      <c r="AY68" s="471">
        <f t="shared" si="30"/>
        <v>0</v>
      </c>
      <c r="AZ68" s="475">
        <f t="shared" si="31"/>
        <v>5.2499999999999998E-2</v>
      </c>
      <c r="BA68" s="471">
        <f t="shared" si="52"/>
        <v>0</v>
      </c>
      <c r="BB68" s="471">
        <f t="shared" si="32"/>
        <v>0</v>
      </c>
      <c r="BC68" s="476">
        <f t="shared" si="33"/>
        <v>0</v>
      </c>
      <c r="BD68" s="484">
        <f t="shared" si="34"/>
        <v>0</v>
      </c>
      <c r="BE68" s="474">
        <f t="shared" si="35"/>
        <v>0</v>
      </c>
      <c r="BF68" s="471">
        <f t="shared" si="36"/>
        <v>0</v>
      </c>
      <c r="BG68" s="475">
        <f t="shared" si="37"/>
        <v>0.06</v>
      </c>
      <c r="BH68" s="471">
        <f t="shared" si="53"/>
        <v>0</v>
      </c>
      <c r="BI68" s="471">
        <f t="shared" si="38"/>
        <v>0</v>
      </c>
      <c r="BJ68" s="473">
        <f t="shared" si="39"/>
        <v>0</v>
      </c>
      <c r="BK68" s="479">
        <f t="shared" si="67"/>
        <v>0</v>
      </c>
      <c r="BL68" s="480">
        <f t="shared" si="67"/>
        <v>0</v>
      </c>
      <c r="BM68" s="480">
        <f t="shared" si="68"/>
        <v>0</v>
      </c>
      <c r="BN68" s="480">
        <f t="shared" si="68"/>
        <v>0</v>
      </c>
      <c r="BO68" s="480">
        <f t="shared" si="70"/>
        <v>0</v>
      </c>
      <c r="BP68" s="480">
        <f t="shared" si="43"/>
        <v>0</v>
      </c>
      <c r="BQ68" s="480">
        <f t="shared" si="44"/>
        <v>0</v>
      </c>
      <c r="BR68" s="480">
        <f t="shared" si="45"/>
        <v>0</v>
      </c>
      <c r="BS68" s="480">
        <f t="shared" si="46"/>
        <v>0</v>
      </c>
      <c r="BT68" s="480">
        <f t="shared" si="47"/>
        <v>0</v>
      </c>
      <c r="BU68" s="480">
        <f t="shared" si="48"/>
        <v>0</v>
      </c>
      <c r="BV68" s="480">
        <f t="shared" si="49"/>
        <v>0</v>
      </c>
      <c r="BW68" s="41"/>
      <c r="BX68" s="39">
        <f t="shared" si="54"/>
        <v>0</v>
      </c>
      <c r="BY68" s="39">
        <f t="shared" si="55"/>
        <v>0</v>
      </c>
      <c r="BZ68" s="39">
        <f t="shared" si="56"/>
        <v>0</v>
      </c>
      <c r="CA68" s="40" t="s">
        <v>374</v>
      </c>
      <c r="CB68" s="40"/>
      <c r="CC68" s="40"/>
    </row>
    <row r="69" spans="1:81" ht="15">
      <c r="A69" s="453">
        <f t="shared" si="57"/>
        <v>60</v>
      </c>
      <c r="B69" s="454" t="s">
        <v>370</v>
      </c>
      <c r="C69" s="492" t="s">
        <v>438</v>
      </c>
      <c r="D69" s="456"/>
      <c r="E69" s="457" t="s">
        <v>381</v>
      </c>
      <c r="F69" s="458"/>
      <c r="G69" s="459">
        <v>5</v>
      </c>
      <c r="H69" s="460">
        <v>5</v>
      </c>
      <c r="I69" s="461" t="s">
        <v>373</v>
      </c>
      <c r="J69" s="462">
        <v>12000</v>
      </c>
      <c r="K69" s="463"/>
      <c r="L69" s="464">
        <v>0</v>
      </c>
      <c r="M69" s="466"/>
      <c r="N69" s="466"/>
      <c r="O69" s="466"/>
      <c r="P69" s="466"/>
      <c r="Q69" s="467">
        <f t="shared" si="6"/>
        <v>12000</v>
      </c>
      <c r="R69" s="483">
        <f t="shared" si="58"/>
        <v>12360</v>
      </c>
      <c r="S69" s="483">
        <f t="shared" si="58"/>
        <v>12730.8</v>
      </c>
      <c r="T69" s="483">
        <f t="shared" si="58"/>
        <v>13112.723999999998</v>
      </c>
      <c r="U69" s="483">
        <f t="shared" si="58"/>
        <v>13506.105719999998</v>
      </c>
      <c r="V69" s="468">
        <f t="shared" si="59"/>
        <v>0</v>
      </c>
      <c r="W69" s="468">
        <f t="shared" si="59"/>
        <v>0</v>
      </c>
      <c r="X69" s="468">
        <f t="shared" si="59"/>
        <v>0</v>
      </c>
      <c r="Y69" s="468">
        <f t="shared" si="59"/>
        <v>0</v>
      </c>
      <c r="Z69" s="468">
        <f t="shared" si="59"/>
        <v>0</v>
      </c>
      <c r="AA69" s="469">
        <f t="shared" si="69"/>
        <v>0</v>
      </c>
      <c r="AB69" s="470">
        <f t="shared" si="10"/>
        <v>0</v>
      </c>
      <c r="AC69" s="471">
        <f t="shared" si="11"/>
        <v>0</v>
      </c>
      <c r="AD69" s="471">
        <f t="shared" si="12"/>
        <v>0</v>
      </c>
      <c r="AE69" s="472">
        <v>0.03</v>
      </c>
      <c r="AF69" s="471">
        <f t="shared" si="13"/>
        <v>0</v>
      </c>
      <c r="AG69" s="471">
        <f t="shared" si="14"/>
        <v>0</v>
      </c>
      <c r="AH69" s="473">
        <f t="shared" si="15"/>
        <v>0</v>
      </c>
      <c r="AI69" s="484">
        <f t="shared" si="16"/>
        <v>0</v>
      </c>
      <c r="AJ69" s="474">
        <f t="shared" si="17"/>
        <v>0</v>
      </c>
      <c r="AK69" s="471">
        <f t="shared" si="18"/>
        <v>0</v>
      </c>
      <c r="AL69" s="475">
        <f t="shared" si="19"/>
        <v>3.7499999999999999E-2</v>
      </c>
      <c r="AM69" s="471">
        <f t="shared" si="50"/>
        <v>0</v>
      </c>
      <c r="AN69" s="471">
        <f t="shared" si="20"/>
        <v>0</v>
      </c>
      <c r="AO69" s="476">
        <f t="shared" si="63"/>
        <v>0</v>
      </c>
      <c r="AP69" s="484">
        <f t="shared" si="64"/>
        <v>0</v>
      </c>
      <c r="AQ69" s="485">
        <f t="shared" si="65"/>
        <v>0</v>
      </c>
      <c r="AR69" s="471">
        <f t="shared" si="24"/>
        <v>0</v>
      </c>
      <c r="AS69" s="475">
        <f t="shared" si="25"/>
        <v>4.4999999999999998E-2</v>
      </c>
      <c r="AT69" s="471">
        <f t="shared" si="51"/>
        <v>0</v>
      </c>
      <c r="AU69" s="471">
        <f t="shared" si="26"/>
        <v>0</v>
      </c>
      <c r="AV69" s="476">
        <f t="shared" si="27"/>
        <v>0</v>
      </c>
      <c r="AW69" s="484">
        <f t="shared" si="66"/>
        <v>0</v>
      </c>
      <c r="AX69" s="474">
        <f t="shared" si="29"/>
        <v>0</v>
      </c>
      <c r="AY69" s="471">
        <f t="shared" si="30"/>
        <v>0</v>
      </c>
      <c r="AZ69" s="475">
        <f t="shared" si="31"/>
        <v>5.2499999999999998E-2</v>
      </c>
      <c r="BA69" s="471">
        <f t="shared" si="52"/>
        <v>0</v>
      </c>
      <c r="BB69" s="471">
        <f t="shared" si="32"/>
        <v>0</v>
      </c>
      <c r="BC69" s="476">
        <f t="shared" si="33"/>
        <v>0</v>
      </c>
      <c r="BD69" s="484">
        <f t="shared" si="34"/>
        <v>0</v>
      </c>
      <c r="BE69" s="474">
        <f t="shared" si="35"/>
        <v>0</v>
      </c>
      <c r="BF69" s="471">
        <f t="shared" si="36"/>
        <v>0</v>
      </c>
      <c r="BG69" s="475">
        <f t="shared" si="37"/>
        <v>0.06</v>
      </c>
      <c r="BH69" s="471">
        <f t="shared" si="53"/>
        <v>0</v>
      </c>
      <c r="BI69" s="471">
        <f t="shared" si="38"/>
        <v>0</v>
      </c>
      <c r="BJ69" s="473">
        <f t="shared" si="39"/>
        <v>0</v>
      </c>
      <c r="BK69" s="479">
        <f t="shared" si="67"/>
        <v>0</v>
      </c>
      <c r="BL69" s="480">
        <f t="shared" si="67"/>
        <v>0</v>
      </c>
      <c r="BM69" s="480">
        <f t="shared" si="68"/>
        <v>0</v>
      </c>
      <c r="BN69" s="480">
        <f t="shared" si="68"/>
        <v>0</v>
      </c>
      <c r="BO69" s="480">
        <f t="shared" si="70"/>
        <v>0</v>
      </c>
      <c r="BP69" s="480">
        <f t="shared" si="43"/>
        <v>0</v>
      </c>
      <c r="BQ69" s="480">
        <f t="shared" si="44"/>
        <v>0</v>
      </c>
      <c r="BR69" s="480">
        <f t="shared" si="45"/>
        <v>0</v>
      </c>
      <c r="BS69" s="480">
        <f t="shared" si="46"/>
        <v>0</v>
      </c>
      <c r="BT69" s="480">
        <f t="shared" si="47"/>
        <v>0</v>
      </c>
      <c r="BU69" s="480">
        <f t="shared" si="48"/>
        <v>0</v>
      </c>
      <c r="BV69" s="480">
        <f t="shared" si="49"/>
        <v>0</v>
      </c>
      <c r="BW69" s="41"/>
      <c r="BX69" s="39">
        <f t="shared" si="54"/>
        <v>0</v>
      </c>
      <c r="BY69" s="39">
        <f t="shared" si="55"/>
        <v>0</v>
      </c>
      <c r="BZ69" s="39">
        <f t="shared" si="56"/>
        <v>0</v>
      </c>
      <c r="CA69" s="40" t="s">
        <v>374</v>
      </c>
      <c r="CB69" s="40"/>
      <c r="CC69" s="40"/>
    </row>
    <row r="70" spans="1:81" ht="15" hidden="1">
      <c r="A70" s="453">
        <f t="shared" si="57"/>
        <v>61</v>
      </c>
      <c r="B70" s="454" t="s">
        <v>370</v>
      </c>
      <c r="C70" s="492" t="s">
        <v>439</v>
      </c>
      <c r="D70" s="456"/>
      <c r="E70" s="457" t="s">
        <v>381</v>
      </c>
      <c r="F70" s="458"/>
      <c r="G70" s="459">
        <v>5</v>
      </c>
      <c r="H70" s="460">
        <v>5</v>
      </c>
      <c r="I70" s="461" t="s">
        <v>394</v>
      </c>
      <c r="J70" s="462">
        <v>500</v>
      </c>
      <c r="K70" s="463"/>
      <c r="L70" s="464">
        <v>0</v>
      </c>
      <c r="M70" s="466"/>
      <c r="N70" s="466"/>
      <c r="O70" s="466"/>
      <c r="P70" s="466"/>
      <c r="Q70" s="467">
        <f t="shared" si="6"/>
        <v>500</v>
      </c>
      <c r="R70" s="483">
        <f t="shared" ref="R70:U85" si="71">Q70*R$3+Q70</f>
        <v>515</v>
      </c>
      <c r="S70" s="483">
        <f t="shared" si="71"/>
        <v>530.45000000000005</v>
      </c>
      <c r="T70" s="483">
        <f t="shared" si="71"/>
        <v>546.36350000000004</v>
      </c>
      <c r="U70" s="483">
        <f t="shared" si="71"/>
        <v>562.75440500000002</v>
      </c>
      <c r="V70" s="468">
        <f t="shared" ref="V70:Z85" si="72">Q70*L70</f>
        <v>0</v>
      </c>
      <c r="W70" s="468">
        <f t="shared" si="72"/>
        <v>0</v>
      </c>
      <c r="X70" s="468">
        <f t="shared" si="72"/>
        <v>0</v>
      </c>
      <c r="Y70" s="468">
        <f t="shared" si="72"/>
        <v>0</v>
      </c>
      <c r="Z70" s="468">
        <f t="shared" si="72"/>
        <v>0</v>
      </c>
      <c r="AA70" s="469">
        <f t="shared" si="69"/>
        <v>0</v>
      </c>
      <c r="AB70" s="470">
        <f t="shared" si="10"/>
        <v>0</v>
      </c>
      <c r="AC70" s="471">
        <f t="shared" si="11"/>
        <v>0</v>
      </c>
      <c r="AD70" s="471">
        <f t="shared" si="12"/>
        <v>0</v>
      </c>
      <c r="AE70" s="472">
        <v>0.03</v>
      </c>
      <c r="AF70" s="471">
        <f t="shared" si="13"/>
        <v>0</v>
      </c>
      <c r="AG70" s="471">
        <f t="shared" si="14"/>
        <v>0</v>
      </c>
      <c r="AH70" s="473">
        <f t="shared" si="15"/>
        <v>0</v>
      </c>
      <c r="AI70" s="484">
        <f t="shared" si="16"/>
        <v>0</v>
      </c>
      <c r="AJ70" s="474">
        <f t="shared" si="17"/>
        <v>0</v>
      </c>
      <c r="AK70" s="471">
        <f t="shared" si="18"/>
        <v>0</v>
      </c>
      <c r="AL70" s="475">
        <f t="shared" si="19"/>
        <v>3.7499999999999999E-2</v>
      </c>
      <c r="AM70" s="471">
        <f t="shared" si="50"/>
        <v>0</v>
      </c>
      <c r="AN70" s="471">
        <f t="shared" si="20"/>
        <v>0</v>
      </c>
      <c r="AO70" s="476">
        <f t="shared" si="63"/>
        <v>0</v>
      </c>
      <c r="AP70" s="484">
        <f t="shared" si="64"/>
        <v>0</v>
      </c>
      <c r="AQ70" s="485">
        <f t="shared" si="65"/>
        <v>0</v>
      </c>
      <c r="AR70" s="471">
        <f t="shared" si="24"/>
        <v>0</v>
      </c>
      <c r="AS70" s="475">
        <f t="shared" si="25"/>
        <v>4.4999999999999998E-2</v>
      </c>
      <c r="AT70" s="471">
        <f t="shared" si="51"/>
        <v>0</v>
      </c>
      <c r="AU70" s="471">
        <f t="shared" si="26"/>
        <v>0</v>
      </c>
      <c r="AV70" s="476">
        <f t="shared" si="27"/>
        <v>0</v>
      </c>
      <c r="AW70" s="484">
        <f t="shared" si="66"/>
        <v>0</v>
      </c>
      <c r="AX70" s="474">
        <f t="shared" si="29"/>
        <v>0</v>
      </c>
      <c r="AY70" s="471">
        <f t="shared" si="30"/>
        <v>0</v>
      </c>
      <c r="AZ70" s="475">
        <f t="shared" si="31"/>
        <v>5.2499999999999998E-2</v>
      </c>
      <c r="BA70" s="471">
        <f t="shared" si="52"/>
        <v>0</v>
      </c>
      <c r="BB70" s="471">
        <f t="shared" si="32"/>
        <v>0</v>
      </c>
      <c r="BC70" s="476">
        <f t="shared" si="33"/>
        <v>0</v>
      </c>
      <c r="BD70" s="484">
        <f t="shared" si="34"/>
        <v>0</v>
      </c>
      <c r="BE70" s="474">
        <f t="shared" si="35"/>
        <v>0</v>
      </c>
      <c r="BF70" s="471">
        <f t="shared" si="36"/>
        <v>0</v>
      </c>
      <c r="BG70" s="475">
        <f t="shared" si="37"/>
        <v>0.06</v>
      </c>
      <c r="BH70" s="471">
        <f t="shared" si="53"/>
        <v>0</v>
      </c>
      <c r="BI70" s="471">
        <f t="shared" si="38"/>
        <v>0</v>
      </c>
      <c r="BJ70" s="473">
        <f t="shared" si="39"/>
        <v>0</v>
      </c>
      <c r="BK70" s="479">
        <f t="shared" si="67"/>
        <v>0</v>
      </c>
      <c r="BL70" s="480">
        <f t="shared" si="67"/>
        <v>0</v>
      </c>
      <c r="BM70" s="480">
        <f t="shared" si="68"/>
        <v>0</v>
      </c>
      <c r="BN70" s="480">
        <f t="shared" si="68"/>
        <v>0</v>
      </c>
      <c r="BO70" s="480">
        <f t="shared" si="70"/>
        <v>0</v>
      </c>
      <c r="BP70" s="480">
        <f t="shared" si="43"/>
        <v>0</v>
      </c>
      <c r="BQ70" s="480">
        <f t="shared" si="44"/>
        <v>0</v>
      </c>
      <c r="BR70" s="480">
        <f t="shared" si="45"/>
        <v>0</v>
      </c>
      <c r="BS70" s="480">
        <f t="shared" si="46"/>
        <v>0</v>
      </c>
      <c r="BT70" s="480">
        <f t="shared" si="47"/>
        <v>0</v>
      </c>
      <c r="BU70" s="480">
        <f t="shared" si="48"/>
        <v>0</v>
      </c>
      <c r="BV70" s="480">
        <f t="shared" si="49"/>
        <v>0</v>
      </c>
      <c r="BW70" s="41"/>
      <c r="BX70" s="39">
        <f t="shared" si="54"/>
        <v>0</v>
      </c>
      <c r="BY70" s="39">
        <f t="shared" si="55"/>
        <v>0</v>
      </c>
      <c r="BZ70" s="39">
        <f t="shared" si="56"/>
        <v>0</v>
      </c>
      <c r="CA70" s="40" t="s">
        <v>374</v>
      </c>
      <c r="CB70" s="40"/>
      <c r="CC70" s="40"/>
    </row>
    <row r="71" spans="1:81" ht="15" hidden="1">
      <c r="A71" s="453">
        <f t="shared" si="57"/>
        <v>62</v>
      </c>
      <c r="B71" s="454" t="s">
        <v>370</v>
      </c>
      <c r="C71" s="492" t="s">
        <v>440</v>
      </c>
      <c r="D71" s="456"/>
      <c r="E71" s="457" t="s">
        <v>381</v>
      </c>
      <c r="F71" s="458"/>
      <c r="G71" s="459">
        <v>5</v>
      </c>
      <c r="H71" s="460">
        <v>5</v>
      </c>
      <c r="I71" s="461" t="s">
        <v>394</v>
      </c>
      <c r="J71" s="462">
        <v>400</v>
      </c>
      <c r="K71" s="463"/>
      <c r="L71" s="464">
        <v>0</v>
      </c>
      <c r="M71" s="466"/>
      <c r="N71" s="466"/>
      <c r="O71" s="466"/>
      <c r="P71" s="466"/>
      <c r="Q71" s="467">
        <f t="shared" si="6"/>
        <v>400</v>
      </c>
      <c r="R71" s="483">
        <f t="shared" si="71"/>
        <v>412</v>
      </c>
      <c r="S71" s="483">
        <f t="shared" si="71"/>
        <v>424.36</v>
      </c>
      <c r="T71" s="483">
        <f t="shared" si="71"/>
        <v>437.0908</v>
      </c>
      <c r="U71" s="483">
        <f t="shared" si="71"/>
        <v>450.20352400000002</v>
      </c>
      <c r="V71" s="468">
        <f t="shared" si="72"/>
        <v>0</v>
      </c>
      <c r="W71" s="468">
        <f t="shared" si="72"/>
        <v>0</v>
      </c>
      <c r="X71" s="468">
        <f t="shared" si="72"/>
        <v>0</v>
      </c>
      <c r="Y71" s="468">
        <f t="shared" si="72"/>
        <v>0</v>
      </c>
      <c r="Z71" s="468">
        <f t="shared" si="72"/>
        <v>0</v>
      </c>
      <c r="AA71" s="469">
        <f t="shared" si="69"/>
        <v>0</v>
      </c>
      <c r="AB71" s="470">
        <f t="shared" si="10"/>
        <v>0</v>
      </c>
      <c r="AC71" s="471">
        <f t="shared" si="11"/>
        <v>0</v>
      </c>
      <c r="AD71" s="471">
        <f t="shared" si="12"/>
        <v>0</v>
      </c>
      <c r="AE71" s="472">
        <v>0.03</v>
      </c>
      <c r="AF71" s="471">
        <f t="shared" si="13"/>
        <v>0</v>
      </c>
      <c r="AG71" s="471">
        <f t="shared" si="14"/>
        <v>0</v>
      </c>
      <c r="AH71" s="473">
        <f t="shared" si="15"/>
        <v>0</v>
      </c>
      <c r="AI71" s="484">
        <f t="shared" si="16"/>
        <v>0</v>
      </c>
      <c r="AJ71" s="474">
        <f t="shared" si="17"/>
        <v>0</v>
      </c>
      <c r="AK71" s="471">
        <f t="shared" si="18"/>
        <v>0</v>
      </c>
      <c r="AL71" s="475">
        <f t="shared" si="19"/>
        <v>3.7499999999999999E-2</v>
      </c>
      <c r="AM71" s="471">
        <f t="shared" si="50"/>
        <v>0</v>
      </c>
      <c r="AN71" s="471">
        <f t="shared" si="20"/>
        <v>0</v>
      </c>
      <c r="AO71" s="476">
        <f t="shared" si="63"/>
        <v>0</v>
      </c>
      <c r="AP71" s="484">
        <f t="shared" si="64"/>
        <v>0</v>
      </c>
      <c r="AQ71" s="485">
        <f t="shared" si="65"/>
        <v>0</v>
      </c>
      <c r="AR71" s="471">
        <f t="shared" si="24"/>
        <v>0</v>
      </c>
      <c r="AS71" s="475">
        <f t="shared" si="25"/>
        <v>4.4999999999999998E-2</v>
      </c>
      <c r="AT71" s="471">
        <f t="shared" si="51"/>
        <v>0</v>
      </c>
      <c r="AU71" s="471">
        <f t="shared" si="26"/>
        <v>0</v>
      </c>
      <c r="AV71" s="476">
        <f t="shared" si="27"/>
        <v>0</v>
      </c>
      <c r="AW71" s="484">
        <f t="shared" si="66"/>
        <v>0</v>
      </c>
      <c r="AX71" s="474">
        <f t="shared" si="29"/>
        <v>0</v>
      </c>
      <c r="AY71" s="471">
        <f t="shared" si="30"/>
        <v>0</v>
      </c>
      <c r="AZ71" s="475">
        <f t="shared" si="31"/>
        <v>5.2499999999999998E-2</v>
      </c>
      <c r="BA71" s="471">
        <f t="shared" si="52"/>
        <v>0</v>
      </c>
      <c r="BB71" s="471">
        <f t="shared" si="32"/>
        <v>0</v>
      </c>
      <c r="BC71" s="476">
        <f t="shared" si="33"/>
        <v>0</v>
      </c>
      <c r="BD71" s="484">
        <f t="shared" si="34"/>
        <v>0</v>
      </c>
      <c r="BE71" s="474">
        <f t="shared" si="35"/>
        <v>0</v>
      </c>
      <c r="BF71" s="471">
        <f t="shared" si="36"/>
        <v>0</v>
      </c>
      <c r="BG71" s="475">
        <f t="shared" si="37"/>
        <v>0.06</v>
      </c>
      <c r="BH71" s="471">
        <f t="shared" si="53"/>
        <v>0</v>
      </c>
      <c r="BI71" s="471">
        <f t="shared" si="38"/>
        <v>0</v>
      </c>
      <c r="BJ71" s="473">
        <f t="shared" si="39"/>
        <v>0</v>
      </c>
      <c r="BK71" s="479">
        <f t="shared" si="67"/>
        <v>0</v>
      </c>
      <c r="BL71" s="480">
        <f t="shared" si="67"/>
        <v>0</v>
      </c>
      <c r="BM71" s="480">
        <f t="shared" si="68"/>
        <v>0</v>
      </c>
      <c r="BN71" s="480">
        <f t="shared" si="68"/>
        <v>0</v>
      </c>
      <c r="BO71" s="480">
        <f t="shared" si="70"/>
        <v>0</v>
      </c>
      <c r="BP71" s="480">
        <f t="shared" si="43"/>
        <v>0</v>
      </c>
      <c r="BQ71" s="480">
        <f t="shared" si="44"/>
        <v>0</v>
      </c>
      <c r="BR71" s="480">
        <f t="shared" si="45"/>
        <v>0</v>
      </c>
      <c r="BS71" s="480">
        <f t="shared" si="46"/>
        <v>0</v>
      </c>
      <c r="BT71" s="480">
        <f t="shared" si="47"/>
        <v>0</v>
      </c>
      <c r="BU71" s="480">
        <f t="shared" si="48"/>
        <v>0</v>
      </c>
      <c r="BV71" s="480">
        <f t="shared" si="49"/>
        <v>0</v>
      </c>
      <c r="BW71" s="41"/>
      <c r="BX71" s="39">
        <f t="shared" si="54"/>
        <v>0</v>
      </c>
      <c r="BY71" s="39">
        <f t="shared" si="55"/>
        <v>0</v>
      </c>
      <c r="BZ71" s="39">
        <f t="shared" si="56"/>
        <v>0</v>
      </c>
      <c r="CA71" s="40" t="s">
        <v>374</v>
      </c>
      <c r="CB71" s="40"/>
      <c r="CC71" s="40"/>
    </row>
    <row r="72" spans="1:81" ht="15">
      <c r="A72" s="453">
        <f t="shared" si="57"/>
        <v>63</v>
      </c>
      <c r="B72" s="454" t="s">
        <v>382</v>
      </c>
      <c r="C72" s="492" t="s">
        <v>441</v>
      </c>
      <c r="D72" s="456"/>
      <c r="E72" s="457" t="s">
        <v>381</v>
      </c>
      <c r="F72" s="458"/>
      <c r="G72" s="459">
        <v>5</v>
      </c>
      <c r="H72" s="460">
        <v>5</v>
      </c>
      <c r="I72" s="461" t="s">
        <v>394</v>
      </c>
      <c r="J72" s="462">
        <v>10</v>
      </c>
      <c r="K72" s="463"/>
      <c r="L72" s="497">
        <v>0</v>
      </c>
      <c r="M72" s="466"/>
      <c r="N72" s="466"/>
      <c r="O72" s="466"/>
      <c r="P72" s="466"/>
      <c r="Q72" s="467">
        <f t="shared" si="6"/>
        <v>10</v>
      </c>
      <c r="R72" s="483">
        <f t="shared" si="71"/>
        <v>10.3</v>
      </c>
      <c r="S72" s="483">
        <f t="shared" si="71"/>
        <v>10.609</v>
      </c>
      <c r="T72" s="483">
        <f t="shared" si="71"/>
        <v>10.92727</v>
      </c>
      <c r="U72" s="483">
        <f t="shared" si="71"/>
        <v>11.2550881</v>
      </c>
      <c r="V72" s="468">
        <f t="shared" si="72"/>
        <v>0</v>
      </c>
      <c r="W72" s="468">
        <f t="shared" si="72"/>
        <v>0</v>
      </c>
      <c r="X72" s="468">
        <f t="shared" si="72"/>
        <v>0</v>
      </c>
      <c r="Y72" s="468">
        <f t="shared" si="72"/>
        <v>0</v>
      </c>
      <c r="Z72" s="468">
        <f t="shared" si="72"/>
        <v>0</v>
      </c>
      <c r="AA72" s="469">
        <f t="shared" si="62"/>
        <v>0</v>
      </c>
      <c r="AB72" s="470">
        <f t="shared" si="10"/>
        <v>0</v>
      </c>
      <c r="AC72" s="471">
        <f t="shared" si="11"/>
        <v>0</v>
      </c>
      <c r="AD72" s="471">
        <f t="shared" si="12"/>
        <v>0</v>
      </c>
      <c r="AE72" s="472">
        <v>0.05</v>
      </c>
      <c r="AF72" s="471">
        <f t="shared" si="13"/>
        <v>0</v>
      </c>
      <c r="AG72" s="471">
        <f t="shared" si="14"/>
        <v>0</v>
      </c>
      <c r="AH72" s="473">
        <f t="shared" si="15"/>
        <v>0</v>
      </c>
      <c r="AI72" s="484">
        <f t="shared" si="16"/>
        <v>0</v>
      </c>
      <c r="AJ72" s="474">
        <f t="shared" si="17"/>
        <v>0</v>
      </c>
      <c r="AK72" s="471">
        <f t="shared" si="18"/>
        <v>0</v>
      </c>
      <c r="AL72" s="475">
        <f t="shared" si="19"/>
        <v>5.7500000000000002E-2</v>
      </c>
      <c r="AM72" s="471">
        <f t="shared" si="50"/>
        <v>0</v>
      </c>
      <c r="AN72" s="471">
        <f t="shared" si="20"/>
        <v>0</v>
      </c>
      <c r="AO72" s="476">
        <f t="shared" si="63"/>
        <v>0</v>
      </c>
      <c r="AP72" s="484">
        <f t="shared" si="64"/>
        <v>0</v>
      </c>
      <c r="AQ72" s="485">
        <f t="shared" si="65"/>
        <v>0</v>
      </c>
      <c r="AR72" s="471">
        <f t="shared" si="24"/>
        <v>0</v>
      </c>
      <c r="AS72" s="475">
        <f t="shared" si="25"/>
        <v>6.5000000000000002E-2</v>
      </c>
      <c r="AT72" s="471">
        <f t="shared" si="51"/>
        <v>0</v>
      </c>
      <c r="AU72" s="471">
        <f t="shared" si="26"/>
        <v>0</v>
      </c>
      <c r="AV72" s="476">
        <f t="shared" si="27"/>
        <v>0</v>
      </c>
      <c r="AW72" s="484">
        <f t="shared" si="66"/>
        <v>0</v>
      </c>
      <c r="AX72" s="474">
        <f t="shared" si="29"/>
        <v>0</v>
      </c>
      <c r="AY72" s="471">
        <f t="shared" si="30"/>
        <v>0</v>
      </c>
      <c r="AZ72" s="475">
        <f t="shared" si="31"/>
        <v>7.2500000000000009E-2</v>
      </c>
      <c r="BA72" s="471">
        <f t="shared" si="52"/>
        <v>0</v>
      </c>
      <c r="BB72" s="471">
        <f t="shared" si="32"/>
        <v>0</v>
      </c>
      <c r="BC72" s="476">
        <f t="shared" si="33"/>
        <v>0</v>
      </c>
      <c r="BD72" s="484">
        <f t="shared" si="34"/>
        <v>0</v>
      </c>
      <c r="BE72" s="474">
        <f t="shared" si="35"/>
        <v>0</v>
      </c>
      <c r="BF72" s="471">
        <f t="shared" si="36"/>
        <v>0</v>
      </c>
      <c r="BG72" s="475">
        <f t="shared" si="37"/>
        <v>8.0000000000000016E-2</v>
      </c>
      <c r="BH72" s="471">
        <f t="shared" si="53"/>
        <v>0</v>
      </c>
      <c r="BI72" s="471">
        <f t="shared" si="38"/>
        <v>0</v>
      </c>
      <c r="BJ72" s="473">
        <f t="shared" si="39"/>
        <v>0</v>
      </c>
      <c r="BK72" s="479">
        <f t="shared" si="67"/>
        <v>0</v>
      </c>
      <c r="BL72" s="480">
        <f t="shared" si="67"/>
        <v>0</v>
      </c>
      <c r="BM72" s="480">
        <f t="shared" si="68"/>
        <v>0</v>
      </c>
      <c r="BN72" s="480">
        <f t="shared" si="68"/>
        <v>0</v>
      </c>
      <c r="BO72" s="480">
        <f t="shared" si="42"/>
        <v>0</v>
      </c>
      <c r="BP72" s="480">
        <f t="shared" si="43"/>
        <v>0</v>
      </c>
      <c r="BQ72" s="480">
        <f t="shared" si="44"/>
        <v>0</v>
      </c>
      <c r="BR72" s="480">
        <f t="shared" si="45"/>
        <v>0</v>
      </c>
      <c r="BS72" s="480">
        <f t="shared" si="46"/>
        <v>0</v>
      </c>
      <c r="BT72" s="480">
        <f t="shared" si="47"/>
        <v>0</v>
      </c>
      <c r="BU72" s="480">
        <f t="shared" si="48"/>
        <v>0</v>
      </c>
      <c r="BV72" s="480">
        <f t="shared" si="49"/>
        <v>0</v>
      </c>
      <c r="BW72" s="41"/>
      <c r="BX72" s="39">
        <f t="shared" si="54"/>
        <v>0</v>
      </c>
      <c r="BY72" s="39">
        <f t="shared" si="55"/>
        <v>0</v>
      </c>
      <c r="BZ72" s="39">
        <f t="shared" si="56"/>
        <v>0</v>
      </c>
      <c r="CA72" s="40" t="s">
        <v>374</v>
      </c>
      <c r="CB72" s="40"/>
      <c r="CC72" s="40"/>
    </row>
    <row r="73" spans="1:81" ht="15">
      <c r="A73" s="453">
        <f t="shared" si="57"/>
        <v>64</v>
      </c>
      <c r="B73" s="500" t="s">
        <v>436</v>
      </c>
      <c r="C73" s="492" t="s">
        <v>442</v>
      </c>
      <c r="D73" s="456"/>
      <c r="E73" s="457" t="s">
        <v>381</v>
      </c>
      <c r="F73" s="458"/>
      <c r="G73" s="459">
        <v>5</v>
      </c>
      <c r="H73" s="460">
        <v>5</v>
      </c>
      <c r="I73" s="461" t="s">
        <v>373</v>
      </c>
      <c r="J73" s="462">
        <v>20000</v>
      </c>
      <c r="K73" s="463"/>
      <c r="L73" s="464">
        <v>0</v>
      </c>
      <c r="M73" s="465"/>
      <c r="N73" s="465"/>
      <c r="O73" s="465"/>
      <c r="P73" s="465"/>
      <c r="Q73" s="467">
        <f t="shared" si="6"/>
        <v>20000</v>
      </c>
      <c r="R73" s="483">
        <f t="shared" si="71"/>
        <v>20600</v>
      </c>
      <c r="S73" s="483">
        <f t="shared" si="71"/>
        <v>21218</v>
      </c>
      <c r="T73" s="483">
        <f t="shared" si="71"/>
        <v>21854.54</v>
      </c>
      <c r="U73" s="483">
        <f t="shared" si="71"/>
        <v>22510.176200000002</v>
      </c>
      <c r="V73" s="468">
        <f t="shared" si="72"/>
        <v>0</v>
      </c>
      <c r="W73" s="468">
        <f t="shared" si="72"/>
        <v>0</v>
      </c>
      <c r="X73" s="468">
        <f t="shared" si="72"/>
        <v>0</v>
      </c>
      <c r="Y73" s="468">
        <f t="shared" si="72"/>
        <v>0</v>
      </c>
      <c r="Z73" s="468">
        <f t="shared" si="72"/>
        <v>0</v>
      </c>
      <c r="AA73" s="469">
        <f t="shared" si="62"/>
        <v>0</v>
      </c>
      <c r="AB73" s="470">
        <f t="shared" si="10"/>
        <v>0</v>
      </c>
      <c r="AC73" s="471">
        <f t="shared" si="11"/>
        <v>0</v>
      </c>
      <c r="AD73" s="471">
        <f t="shared" si="12"/>
        <v>0</v>
      </c>
      <c r="AE73" s="472">
        <v>0.05</v>
      </c>
      <c r="AF73" s="471">
        <f t="shared" si="13"/>
        <v>0</v>
      </c>
      <c r="AG73" s="471">
        <f t="shared" si="14"/>
        <v>0</v>
      </c>
      <c r="AH73" s="473">
        <f t="shared" si="15"/>
        <v>0</v>
      </c>
      <c r="AI73" s="484">
        <f t="shared" si="16"/>
        <v>0</v>
      </c>
      <c r="AJ73" s="474">
        <f t="shared" si="17"/>
        <v>0</v>
      </c>
      <c r="AK73" s="471">
        <f t="shared" si="18"/>
        <v>0</v>
      </c>
      <c r="AL73" s="475">
        <f t="shared" si="19"/>
        <v>5.7500000000000002E-2</v>
      </c>
      <c r="AM73" s="471">
        <f t="shared" si="50"/>
        <v>0</v>
      </c>
      <c r="AN73" s="471">
        <f t="shared" si="20"/>
        <v>0</v>
      </c>
      <c r="AO73" s="476">
        <f t="shared" si="63"/>
        <v>0</v>
      </c>
      <c r="AP73" s="484">
        <f t="shared" si="64"/>
        <v>0</v>
      </c>
      <c r="AQ73" s="485">
        <f t="shared" si="65"/>
        <v>0</v>
      </c>
      <c r="AR73" s="471">
        <f t="shared" si="24"/>
        <v>0</v>
      </c>
      <c r="AS73" s="475">
        <f t="shared" si="25"/>
        <v>6.5000000000000002E-2</v>
      </c>
      <c r="AT73" s="471">
        <f t="shared" si="51"/>
        <v>0</v>
      </c>
      <c r="AU73" s="471">
        <f t="shared" si="26"/>
        <v>0</v>
      </c>
      <c r="AV73" s="476">
        <f t="shared" si="27"/>
        <v>0</v>
      </c>
      <c r="AW73" s="484">
        <f t="shared" si="66"/>
        <v>0</v>
      </c>
      <c r="AX73" s="474">
        <f t="shared" si="29"/>
        <v>0</v>
      </c>
      <c r="AY73" s="471">
        <f t="shared" si="30"/>
        <v>0</v>
      </c>
      <c r="AZ73" s="475">
        <f t="shared" si="31"/>
        <v>7.2500000000000009E-2</v>
      </c>
      <c r="BA73" s="471">
        <f t="shared" si="52"/>
        <v>0</v>
      </c>
      <c r="BB73" s="471">
        <f t="shared" si="32"/>
        <v>0</v>
      </c>
      <c r="BC73" s="476">
        <f t="shared" si="33"/>
        <v>0</v>
      </c>
      <c r="BD73" s="484">
        <f t="shared" si="34"/>
        <v>0</v>
      </c>
      <c r="BE73" s="474">
        <f t="shared" si="35"/>
        <v>0</v>
      </c>
      <c r="BF73" s="471">
        <f t="shared" si="36"/>
        <v>0</v>
      </c>
      <c r="BG73" s="475">
        <f t="shared" si="37"/>
        <v>8.0000000000000016E-2</v>
      </c>
      <c r="BH73" s="471">
        <f t="shared" si="53"/>
        <v>0</v>
      </c>
      <c r="BI73" s="471">
        <f t="shared" si="38"/>
        <v>0</v>
      </c>
      <c r="BJ73" s="473">
        <f t="shared" si="39"/>
        <v>0</v>
      </c>
      <c r="BK73" s="479">
        <f t="shared" si="67"/>
        <v>0</v>
      </c>
      <c r="BL73" s="480">
        <f t="shared" si="67"/>
        <v>0</v>
      </c>
      <c r="BM73" s="480">
        <f t="shared" si="68"/>
        <v>0</v>
      </c>
      <c r="BN73" s="480">
        <f t="shared" si="68"/>
        <v>0</v>
      </c>
      <c r="BO73" s="480">
        <f t="shared" si="42"/>
        <v>0</v>
      </c>
      <c r="BP73" s="480">
        <f t="shared" si="43"/>
        <v>0</v>
      </c>
      <c r="BQ73" s="480">
        <f t="shared" si="44"/>
        <v>0</v>
      </c>
      <c r="BR73" s="480">
        <f t="shared" si="45"/>
        <v>0</v>
      </c>
      <c r="BS73" s="480">
        <f t="shared" si="46"/>
        <v>0</v>
      </c>
      <c r="BT73" s="480">
        <f t="shared" si="47"/>
        <v>0</v>
      </c>
      <c r="BU73" s="480">
        <f t="shared" si="48"/>
        <v>0</v>
      </c>
      <c r="BV73" s="480">
        <f t="shared" si="49"/>
        <v>0</v>
      </c>
      <c r="BW73" s="41"/>
      <c r="BX73" s="39">
        <f t="shared" si="54"/>
        <v>0</v>
      </c>
      <c r="BY73" s="39">
        <f t="shared" si="55"/>
        <v>0</v>
      </c>
      <c r="BZ73" s="39">
        <f t="shared" si="56"/>
        <v>0</v>
      </c>
      <c r="CA73" s="40" t="s">
        <v>374</v>
      </c>
      <c r="CB73" s="40"/>
      <c r="CC73" s="40"/>
    </row>
    <row r="74" spans="1:81" ht="15" hidden="1">
      <c r="A74" s="453">
        <f t="shared" si="57"/>
        <v>65</v>
      </c>
      <c r="B74" s="500" t="s">
        <v>436</v>
      </c>
      <c r="C74" s="492" t="s">
        <v>443</v>
      </c>
      <c r="D74" s="456"/>
      <c r="E74" s="457" t="s">
        <v>381</v>
      </c>
      <c r="F74" s="458"/>
      <c r="G74" s="459">
        <v>5</v>
      </c>
      <c r="H74" s="460">
        <v>5</v>
      </c>
      <c r="I74" s="461" t="s">
        <v>373</v>
      </c>
      <c r="J74" s="462">
        <v>12000</v>
      </c>
      <c r="K74" s="463"/>
      <c r="L74" s="464">
        <v>0</v>
      </c>
      <c r="M74" s="466"/>
      <c r="N74" s="466"/>
      <c r="O74" s="466"/>
      <c r="P74" s="466"/>
      <c r="Q74" s="467">
        <f t="shared" si="6"/>
        <v>12000</v>
      </c>
      <c r="R74" s="483">
        <f t="shared" si="71"/>
        <v>12360</v>
      </c>
      <c r="S74" s="483">
        <f t="shared" si="71"/>
        <v>12730.8</v>
      </c>
      <c r="T74" s="483">
        <f t="shared" si="71"/>
        <v>13112.723999999998</v>
      </c>
      <c r="U74" s="483">
        <f t="shared" si="71"/>
        <v>13506.105719999998</v>
      </c>
      <c r="V74" s="468">
        <f t="shared" si="72"/>
        <v>0</v>
      </c>
      <c r="W74" s="468">
        <f t="shared" si="72"/>
        <v>0</v>
      </c>
      <c r="X74" s="468">
        <f t="shared" si="72"/>
        <v>0</v>
      </c>
      <c r="Y74" s="468">
        <f t="shared" si="72"/>
        <v>0</v>
      </c>
      <c r="Z74" s="468">
        <f t="shared" si="72"/>
        <v>0</v>
      </c>
      <c r="AA74" s="469">
        <f t="shared" si="62"/>
        <v>0</v>
      </c>
      <c r="AB74" s="470">
        <f t="shared" ref="AB74:AB92" si="73">SUM(AC74:AD74)</f>
        <v>0</v>
      </c>
      <c r="AC74" s="471">
        <f t="shared" ref="AC74:AC92" si="74">V74/$G74</f>
        <v>0</v>
      </c>
      <c r="AD74" s="471">
        <f t="shared" ref="AD74:AD92" si="75">-IPMT(AB$3/12,$AD$3,$H74*12,V74,0)*12</f>
        <v>0</v>
      </c>
      <c r="AE74" s="472">
        <v>0.05</v>
      </c>
      <c r="AF74" s="471">
        <f t="shared" si="13"/>
        <v>0</v>
      </c>
      <c r="AG74" s="471">
        <f t="shared" ref="AG74:AG92" si="76">V74*AG$3</f>
        <v>0</v>
      </c>
      <c r="AH74" s="473">
        <f t="shared" ref="AH74:AH92" si="77">V74-AC74+W74</f>
        <v>0</v>
      </c>
      <c r="AI74" s="484">
        <f t="shared" ref="AI74:AI92" si="78">SUM(AJ74:AK74)</f>
        <v>0</v>
      </c>
      <c r="AJ74" s="474">
        <f t="shared" si="17"/>
        <v>0</v>
      </c>
      <c r="AK74" s="471">
        <f t="shared" ref="AK74:AK92" si="79">-IPMT(AI$3/12,$AK$3,$H74*12,AH74,0)*12</f>
        <v>0</v>
      </c>
      <c r="AL74" s="475">
        <f t="shared" ref="AL74:AL92" si="80">IF(AE74=0,0,AE74+AL$3)</f>
        <v>5.7500000000000002E-2</v>
      </c>
      <c r="AM74" s="471">
        <f t="shared" si="50"/>
        <v>0</v>
      </c>
      <c r="AN74" s="471">
        <f t="shared" ref="AN74:AN92" si="81">AH74*AN$3</f>
        <v>0</v>
      </c>
      <c r="AO74" s="476">
        <f t="shared" si="63"/>
        <v>0</v>
      </c>
      <c r="AP74" s="484">
        <f t="shared" si="64"/>
        <v>0</v>
      </c>
      <c r="AQ74" s="485">
        <f t="shared" si="65"/>
        <v>0</v>
      </c>
      <c r="AR74" s="471">
        <f t="shared" ref="AR74:AR92" si="82">-IPMT(AP$3/12,$AR$3,$G74*12,AO74,0)*12</f>
        <v>0</v>
      </c>
      <c r="AS74" s="475">
        <f t="shared" ref="AS74:AS92" si="83">IF(AL74=0,0,AL74+AS$3)</f>
        <v>6.5000000000000002E-2</v>
      </c>
      <c r="AT74" s="471">
        <f t="shared" si="51"/>
        <v>0</v>
      </c>
      <c r="AU74" s="471">
        <f t="shared" ref="AU74:AU92" si="84">AO74*AU$3</f>
        <v>0</v>
      </c>
      <c r="AV74" s="476">
        <f t="shared" si="27"/>
        <v>0</v>
      </c>
      <c r="AW74" s="484">
        <f t="shared" si="66"/>
        <v>0</v>
      </c>
      <c r="AX74" s="474">
        <f t="shared" ref="AX74:AX92" si="85">IF(G74=3,AV74/3,SUM(Y74/G74)+AQ74)</f>
        <v>0</v>
      </c>
      <c r="AY74" s="471">
        <f t="shared" ref="AY74:AY92" si="86">-IPMT(AW$3/12,$AY$3,$G74*12,AV74,0)*12</f>
        <v>0</v>
      </c>
      <c r="AZ74" s="475">
        <f t="shared" si="31"/>
        <v>7.2500000000000009E-2</v>
      </c>
      <c r="BA74" s="471">
        <f t="shared" si="52"/>
        <v>0</v>
      </c>
      <c r="BB74" s="471">
        <f t="shared" ref="BB74:BB92" si="87">AV74*BB$3</f>
        <v>0</v>
      </c>
      <c r="BC74" s="476">
        <f t="shared" ref="BC74:BC92" si="88">AV74-AX74+Z74++IF(G74=4,V74)</f>
        <v>0</v>
      </c>
      <c r="BD74" s="484">
        <f t="shared" ref="BD74:BD92" si="89">SUM(BE74:BF74)</f>
        <v>0</v>
      </c>
      <c r="BE74" s="474">
        <f t="shared" ref="BE74:BE92" si="90">SUM(Z74/G74)+AX74</f>
        <v>0</v>
      </c>
      <c r="BF74" s="471">
        <f t="shared" ref="BF74:BF92" si="91">-IPMT(BD$3/12,$BF$3,$G74*12,BC74,0)*12</f>
        <v>0</v>
      </c>
      <c r="BG74" s="475">
        <f t="shared" ref="BG74:BG92" si="92">IF(AZ74=0,0,AZ74+BG$3)</f>
        <v>8.0000000000000016E-2</v>
      </c>
      <c r="BH74" s="471">
        <f t="shared" si="53"/>
        <v>0</v>
      </c>
      <c r="BI74" s="471">
        <f t="shared" ref="BI74:BI92" si="93">BC74*BI$3</f>
        <v>0</v>
      </c>
      <c r="BJ74" s="473">
        <f t="shared" ref="BJ74:BJ92" si="94">BC74-BE74</f>
        <v>0</v>
      </c>
      <c r="BK74" s="479">
        <f t="shared" si="67"/>
        <v>0</v>
      </c>
      <c r="BL74" s="480">
        <f t="shared" si="67"/>
        <v>0</v>
      </c>
      <c r="BM74" s="480">
        <f t="shared" si="68"/>
        <v>0</v>
      </c>
      <c r="BN74" s="480">
        <f t="shared" si="68"/>
        <v>0</v>
      </c>
      <c r="BO74" s="480">
        <f t="shared" ref="BO74:BO92" si="95">SUM(BK74:BL74)</f>
        <v>0</v>
      </c>
      <c r="BP74" s="480">
        <f t="shared" ref="BP74:BP92" si="96">BM74+BN74+BO74</f>
        <v>0</v>
      </c>
      <c r="BQ74" s="480">
        <f t="shared" ref="BQ74:BQ92" si="97">AB74+AI74+AP74+AW74+BD74</f>
        <v>0</v>
      </c>
      <c r="BR74" s="480">
        <f t="shared" ref="BR74:BR92" si="98">BQ74-BO74</f>
        <v>0</v>
      </c>
      <c r="BS74" s="480">
        <f t="shared" ref="BS74:BS92" si="99">AA74-BK74</f>
        <v>0</v>
      </c>
      <c r="BT74" s="480">
        <f t="shared" ref="BT74:BT92" si="100">BJ74-BS74</f>
        <v>0</v>
      </c>
      <c r="BU74" s="480">
        <f t="shared" ref="BU74:BU92" si="101">BT74+BS74</f>
        <v>0</v>
      </c>
      <c r="BV74" s="480">
        <f t="shared" ref="BV74:BV92" si="102">BJ74-BU74</f>
        <v>0</v>
      </c>
      <c r="BW74" s="41"/>
      <c r="BX74" s="39">
        <f t="shared" si="54"/>
        <v>0</v>
      </c>
      <c r="BY74" s="39">
        <f t="shared" si="55"/>
        <v>0</v>
      </c>
      <c r="BZ74" s="39">
        <f t="shared" si="56"/>
        <v>0</v>
      </c>
      <c r="CA74" s="40" t="s">
        <v>374</v>
      </c>
      <c r="CB74" s="40"/>
      <c r="CC74" s="40"/>
    </row>
    <row r="75" spans="1:81" ht="15" hidden="1">
      <c r="A75" s="453">
        <f t="shared" si="57"/>
        <v>66</v>
      </c>
      <c r="B75" s="500" t="s">
        <v>436</v>
      </c>
      <c r="C75" s="492" t="s">
        <v>444</v>
      </c>
      <c r="D75" s="456"/>
      <c r="E75" s="457" t="s">
        <v>381</v>
      </c>
      <c r="F75" s="458"/>
      <c r="G75" s="459">
        <v>5</v>
      </c>
      <c r="H75" s="460">
        <v>5</v>
      </c>
      <c r="I75" s="461" t="s">
        <v>373</v>
      </c>
      <c r="J75" s="462">
        <v>40000</v>
      </c>
      <c r="K75" s="463"/>
      <c r="L75" s="464">
        <v>0</v>
      </c>
      <c r="M75" s="466"/>
      <c r="N75" s="466"/>
      <c r="O75" s="466"/>
      <c r="P75" s="466"/>
      <c r="Q75" s="467">
        <f t="shared" si="6"/>
        <v>40000</v>
      </c>
      <c r="R75" s="483">
        <f t="shared" si="71"/>
        <v>41200</v>
      </c>
      <c r="S75" s="483">
        <f t="shared" si="71"/>
        <v>42436</v>
      </c>
      <c r="T75" s="483">
        <f t="shared" si="71"/>
        <v>43709.08</v>
      </c>
      <c r="U75" s="483">
        <f t="shared" si="71"/>
        <v>45020.352400000003</v>
      </c>
      <c r="V75" s="468">
        <f t="shared" si="72"/>
        <v>0</v>
      </c>
      <c r="W75" s="468">
        <f t="shared" si="72"/>
        <v>0</v>
      </c>
      <c r="X75" s="468">
        <f t="shared" si="72"/>
        <v>0</v>
      </c>
      <c r="Y75" s="468">
        <f t="shared" si="72"/>
        <v>0</v>
      </c>
      <c r="Z75" s="468">
        <f t="shared" si="72"/>
        <v>0</v>
      </c>
      <c r="AA75" s="469">
        <f t="shared" si="62"/>
        <v>0</v>
      </c>
      <c r="AB75" s="470">
        <f t="shared" si="73"/>
        <v>0</v>
      </c>
      <c r="AC75" s="471">
        <f t="shared" si="74"/>
        <v>0</v>
      </c>
      <c r="AD75" s="471">
        <f t="shared" si="75"/>
        <v>0</v>
      </c>
      <c r="AE75" s="472">
        <v>0.05</v>
      </c>
      <c r="AF75" s="471">
        <f t="shared" si="13"/>
        <v>0</v>
      </c>
      <c r="AG75" s="471">
        <f t="shared" si="76"/>
        <v>0</v>
      </c>
      <c r="AH75" s="473">
        <f t="shared" si="77"/>
        <v>0</v>
      </c>
      <c r="AI75" s="484">
        <f t="shared" si="78"/>
        <v>0</v>
      </c>
      <c r="AJ75" s="474">
        <f t="shared" si="17"/>
        <v>0</v>
      </c>
      <c r="AK75" s="471">
        <f t="shared" si="79"/>
        <v>0</v>
      </c>
      <c r="AL75" s="475">
        <f t="shared" si="80"/>
        <v>5.7500000000000002E-2</v>
      </c>
      <c r="AM75" s="471">
        <f t="shared" si="50"/>
        <v>0</v>
      </c>
      <c r="AN75" s="471">
        <f t="shared" si="81"/>
        <v>0</v>
      </c>
      <c r="AO75" s="476">
        <f t="shared" si="63"/>
        <v>0</v>
      </c>
      <c r="AP75" s="484">
        <f t="shared" si="64"/>
        <v>0</v>
      </c>
      <c r="AQ75" s="485">
        <f t="shared" si="65"/>
        <v>0</v>
      </c>
      <c r="AR75" s="471">
        <f t="shared" si="82"/>
        <v>0</v>
      </c>
      <c r="AS75" s="475">
        <f t="shared" si="83"/>
        <v>6.5000000000000002E-2</v>
      </c>
      <c r="AT75" s="471">
        <f t="shared" si="51"/>
        <v>0</v>
      </c>
      <c r="AU75" s="471">
        <f t="shared" si="84"/>
        <v>0</v>
      </c>
      <c r="AV75" s="476">
        <f t="shared" si="27"/>
        <v>0</v>
      </c>
      <c r="AW75" s="484">
        <f t="shared" si="66"/>
        <v>0</v>
      </c>
      <c r="AX75" s="474">
        <f t="shared" si="85"/>
        <v>0</v>
      </c>
      <c r="AY75" s="471">
        <f t="shared" si="86"/>
        <v>0</v>
      </c>
      <c r="AZ75" s="475">
        <f t="shared" si="31"/>
        <v>7.2500000000000009E-2</v>
      </c>
      <c r="BA75" s="471">
        <f t="shared" si="52"/>
        <v>0</v>
      </c>
      <c r="BB75" s="471">
        <f t="shared" si="87"/>
        <v>0</v>
      </c>
      <c r="BC75" s="476">
        <f t="shared" si="88"/>
        <v>0</v>
      </c>
      <c r="BD75" s="484">
        <f t="shared" si="89"/>
        <v>0</v>
      </c>
      <c r="BE75" s="474">
        <f t="shared" si="90"/>
        <v>0</v>
      </c>
      <c r="BF75" s="471">
        <f t="shared" si="91"/>
        <v>0</v>
      </c>
      <c r="BG75" s="475">
        <f t="shared" si="92"/>
        <v>8.0000000000000016E-2</v>
      </c>
      <c r="BH75" s="471">
        <f t="shared" si="53"/>
        <v>0</v>
      </c>
      <c r="BI75" s="471">
        <f t="shared" si="93"/>
        <v>0</v>
      </c>
      <c r="BJ75" s="473">
        <f t="shared" si="94"/>
        <v>0</v>
      </c>
      <c r="BK75" s="479">
        <f t="shared" si="67"/>
        <v>0</v>
      </c>
      <c r="BL75" s="480">
        <f t="shared" si="67"/>
        <v>0</v>
      </c>
      <c r="BM75" s="480">
        <f t="shared" si="68"/>
        <v>0</v>
      </c>
      <c r="BN75" s="480">
        <f t="shared" si="68"/>
        <v>0</v>
      </c>
      <c r="BO75" s="480">
        <f t="shared" si="95"/>
        <v>0</v>
      </c>
      <c r="BP75" s="480">
        <f t="shared" si="96"/>
        <v>0</v>
      </c>
      <c r="BQ75" s="480">
        <f t="shared" si="97"/>
        <v>0</v>
      </c>
      <c r="BR75" s="480">
        <f t="shared" si="98"/>
        <v>0</v>
      </c>
      <c r="BS75" s="480">
        <f t="shared" si="99"/>
        <v>0</v>
      </c>
      <c r="BT75" s="480">
        <f t="shared" si="100"/>
        <v>0</v>
      </c>
      <c r="BU75" s="480">
        <f t="shared" si="101"/>
        <v>0</v>
      </c>
      <c r="BV75" s="480">
        <f t="shared" si="102"/>
        <v>0</v>
      </c>
      <c r="BW75" s="41"/>
      <c r="BX75" s="39">
        <f t="shared" si="54"/>
        <v>0</v>
      </c>
      <c r="BY75" s="39">
        <f t="shared" si="55"/>
        <v>0</v>
      </c>
      <c r="BZ75" s="39">
        <f t="shared" si="56"/>
        <v>0</v>
      </c>
      <c r="CA75" s="40" t="s">
        <v>374</v>
      </c>
      <c r="CB75" s="40"/>
      <c r="CC75" s="40"/>
    </row>
    <row r="76" spans="1:81" ht="15" hidden="1">
      <c r="A76" s="453">
        <f t="shared" ref="A76:A92" si="103">A75+1</f>
        <v>67</v>
      </c>
      <c r="B76" s="500" t="s">
        <v>436</v>
      </c>
      <c r="C76" s="492" t="s">
        <v>445</v>
      </c>
      <c r="D76" s="456"/>
      <c r="E76" s="457" t="s">
        <v>381</v>
      </c>
      <c r="F76" s="458"/>
      <c r="G76" s="459">
        <v>5</v>
      </c>
      <c r="H76" s="460">
        <v>5</v>
      </c>
      <c r="I76" s="461" t="s">
        <v>373</v>
      </c>
      <c r="J76" s="462">
        <v>4500000</v>
      </c>
      <c r="K76" s="463"/>
      <c r="L76" s="464">
        <v>0</v>
      </c>
      <c r="M76" s="466"/>
      <c r="N76" s="466"/>
      <c r="O76" s="466"/>
      <c r="P76" s="466"/>
      <c r="Q76" s="467">
        <f t="shared" si="6"/>
        <v>4500000</v>
      </c>
      <c r="R76" s="483">
        <f t="shared" si="71"/>
        <v>4635000</v>
      </c>
      <c r="S76" s="483">
        <f t="shared" si="71"/>
        <v>4774050</v>
      </c>
      <c r="T76" s="483">
        <f t="shared" si="71"/>
        <v>4917271.5</v>
      </c>
      <c r="U76" s="483">
        <f t="shared" si="71"/>
        <v>5064789.6449999996</v>
      </c>
      <c r="V76" s="468">
        <f t="shared" si="72"/>
        <v>0</v>
      </c>
      <c r="W76" s="468">
        <f t="shared" si="72"/>
        <v>0</v>
      </c>
      <c r="X76" s="468">
        <f t="shared" si="72"/>
        <v>0</v>
      </c>
      <c r="Y76" s="468">
        <f t="shared" si="72"/>
        <v>0</v>
      </c>
      <c r="Z76" s="468">
        <f t="shared" si="72"/>
        <v>0</v>
      </c>
      <c r="AA76" s="469">
        <f t="shared" ref="AA76" si="104">SUM(V76:Z76)</f>
        <v>0</v>
      </c>
      <c r="AB76" s="470">
        <f t="shared" si="73"/>
        <v>0</v>
      </c>
      <c r="AC76" s="471">
        <f t="shared" si="74"/>
        <v>0</v>
      </c>
      <c r="AD76" s="471">
        <f t="shared" si="75"/>
        <v>0</v>
      </c>
      <c r="AE76" s="472">
        <v>0.05</v>
      </c>
      <c r="AF76" s="471">
        <f t="shared" si="13"/>
        <v>0</v>
      </c>
      <c r="AG76" s="471">
        <f t="shared" si="76"/>
        <v>0</v>
      </c>
      <c r="AH76" s="473">
        <f t="shared" si="77"/>
        <v>0</v>
      </c>
      <c r="AI76" s="484">
        <f t="shared" si="78"/>
        <v>0</v>
      </c>
      <c r="AJ76" s="474">
        <f t="shared" si="17"/>
        <v>0</v>
      </c>
      <c r="AK76" s="471">
        <f t="shared" si="79"/>
        <v>0</v>
      </c>
      <c r="AL76" s="475">
        <f t="shared" si="80"/>
        <v>5.7500000000000002E-2</v>
      </c>
      <c r="AM76" s="471">
        <f t="shared" si="50"/>
        <v>0</v>
      </c>
      <c r="AN76" s="471">
        <f t="shared" si="81"/>
        <v>0</v>
      </c>
      <c r="AO76" s="476">
        <f t="shared" ref="AO76" si="105">SUM(AH76+W76)-AJ76+IF(G76=2,L76*R76)</f>
        <v>0</v>
      </c>
      <c r="AP76" s="484">
        <f t="shared" ref="AP76" si="106">SUM(AQ76:AR76)</f>
        <v>0</v>
      </c>
      <c r="AQ76" s="485">
        <f t="shared" ref="AQ76" si="107">SUM(X76/G76)+AJ76</f>
        <v>0</v>
      </c>
      <c r="AR76" s="471">
        <f t="shared" si="82"/>
        <v>0</v>
      </c>
      <c r="AS76" s="475">
        <f t="shared" si="83"/>
        <v>6.5000000000000002E-2</v>
      </c>
      <c r="AT76" s="471">
        <f t="shared" si="51"/>
        <v>0</v>
      </c>
      <c r="AU76" s="471">
        <f t="shared" si="84"/>
        <v>0</v>
      </c>
      <c r="AV76" s="476">
        <f t="shared" si="27"/>
        <v>0</v>
      </c>
      <c r="AW76" s="484">
        <f t="shared" ref="AW76" si="108">SUM(AX76:AY76)</f>
        <v>0</v>
      </c>
      <c r="AX76" s="474">
        <f t="shared" si="85"/>
        <v>0</v>
      </c>
      <c r="AY76" s="471">
        <f t="shared" si="86"/>
        <v>0</v>
      </c>
      <c r="AZ76" s="475">
        <f t="shared" si="31"/>
        <v>7.2500000000000009E-2</v>
      </c>
      <c r="BA76" s="471">
        <f t="shared" si="52"/>
        <v>0</v>
      </c>
      <c r="BB76" s="471">
        <f t="shared" si="87"/>
        <v>0</v>
      </c>
      <c r="BC76" s="476">
        <f t="shared" si="88"/>
        <v>0</v>
      </c>
      <c r="BD76" s="484">
        <f t="shared" si="89"/>
        <v>0</v>
      </c>
      <c r="BE76" s="474">
        <f t="shared" si="90"/>
        <v>0</v>
      </c>
      <c r="BF76" s="471">
        <f t="shared" si="91"/>
        <v>0</v>
      </c>
      <c r="BG76" s="475">
        <f t="shared" si="92"/>
        <v>8.0000000000000016E-2</v>
      </c>
      <c r="BH76" s="471">
        <f t="shared" si="53"/>
        <v>0</v>
      </c>
      <c r="BI76" s="471">
        <f t="shared" si="93"/>
        <v>0</v>
      </c>
      <c r="BJ76" s="473">
        <f t="shared" si="94"/>
        <v>0</v>
      </c>
      <c r="BK76" s="479">
        <f t="shared" si="67"/>
        <v>0</v>
      </c>
      <c r="BL76" s="480">
        <f t="shared" si="67"/>
        <v>0</v>
      </c>
      <c r="BM76" s="480">
        <f t="shared" si="68"/>
        <v>0</v>
      </c>
      <c r="BN76" s="480">
        <f t="shared" si="68"/>
        <v>0</v>
      </c>
      <c r="BO76" s="480">
        <f t="shared" si="95"/>
        <v>0</v>
      </c>
      <c r="BP76" s="480">
        <f t="shared" si="96"/>
        <v>0</v>
      </c>
      <c r="BQ76" s="480">
        <f t="shared" si="97"/>
        <v>0</v>
      </c>
      <c r="BR76" s="480">
        <f t="shared" si="98"/>
        <v>0</v>
      </c>
      <c r="BS76" s="480">
        <f t="shared" si="99"/>
        <v>0</v>
      </c>
      <c r="BT76" s="480">
        <f t="shared" si="100"/>
        <v>0</v>
      </c>
      <c r="BU76" s="480">
        <f t="shared" si="101"/>
        <v>0</v>
      </c>
      <c r="BV76" s="480">
        <f t="shared" si="102"/>
        <v>0</v>
      </c>
      <c r="BW76" s="41"/>
      <c r="BX76" s="39">
        <f t="shared" ref="BX76:BX77" si="109">(AB76+AF76+AG76)/$BX$8</f>
        <v>0</v>
      </c>
      <c r="BY76" s="39">
        <f t="shared" ref="BY76:BY77" si="110">(AI76+AM76+AN76)/$BY$8</f>
        <v>0</v>
      </c>
      <c r="BZ76" s="39">
        <f t="shared" ref="BZ76:BZ77" si="111">(AP76+AT76+AU76)/$BZ$8</f>
        <v>0</v>
      </c>
      <c r="CA76" s="40" t="s">
        <v>374</v>
      </c>
      <c r="CB76" s="40"/>
      <c r="CC76" s="40"/>
    </row>
    <row r="77" spans="1:81" ht="15" hidden="1">
      <c r="A77" s="453">
        <f t="shared" si="103"/>
        <v>68</v>
      </c>
      <c r="B77" s="454" t="s">
        <v>370</v>
      </c>
      <c r="C77" s="492" t="s">
        <v>446</v>
      </c>
      <c r="D77" s="456"/>
      <c r="E77" s="457" t="s">
        <v>381</v>
      </c>
      <c r="F77" s="458"/>
      <c r="G77" s="459">
        <v>5</v>
      </c>
      <c r="H77" s="460">
        <v>5</v>
      </c>
      <c r="I77" s="461" t="s">
        <v>373</v>
      </c>
      <c r="J77" s="462">
        <v>35000</v>
      </c>
      <c r="K77" s="463"/>
      <c r="L77" s="464">
        <v>0</v>
      </c>
      <c r="M77" s="466"/>
      <c r="N77" s="466"/>
      <c r="O77" s="466"/>
      <c r="P77" s="466"/>
      <c r="Q77" s="467">
        <f t="shared" si="6"/>
        <v>35000</v>
      </c>
      <c r="R77" s="483">
        <f t="shared" si="71"/>
        <v>36050</v>
      </c>
      <c r="S77" s="483">
        <f t="shared" si="71"/>
        <v>37131.5</v>
      </c>
      <c r="T77" s="483">
        <f t="shared" si="71"/>
        <v>38245.445</v>
      </c>
      <c r="U77" s="483">
        <f t="shared" si="71"/>
        <v>39392.808349999999</v>
      </c>
      <c r="V77" s="468">
        <f t="shared" si="72"/>
        <v>0</v>
      </c>
      <c r="W77" s="468">
        <f t="shared" si="72"/>
        <v>0</v>
      </c>
      <c r="X77" s="468">
        <f t="shared" si="72"/>
        <v>0</v>
      </c>
      <c r="Y77" s="468">
        <f t="shared" si="72"/>
        <v>0</v>
      </c>
      <c r="Z77" s="468">
        <f t="shared" si="72"/>
        <v>0</v>
      </c>
      <c r="AA77" s="469">
        <f t="shared" si="62"/>
        <v>0</v>
      </c>
      <c r="AB77" s="470">
        <f t="shared" si="73"/>
        <v>0</v>
      </c>
      <c r="AC77" s="471">
        <f t="shared" si="74"/>
        <v>0</v>
      </c>
      <c r="AD77" s="471">
        <f t="shared" si="75"/>
        <v>0</v>
      </c>
      <c r="AE77" s="472">
        <v>0.05</v>
      </c>
      <c r="AF77" s="471">
        <f t="shared" si="13"/>
        <v>0</v>
      </c>
      <c r="AG77" s="471">
        <f t="shared" si="76"/>
        <v>0</v>
      </c>
      <c r="AH77" s="473">
        <f t="shared" si="77"/>
        <v>0</v>
      </c>
      <c r="AI77" s="484">
        <f t="shared" si="78"/>
        <v>0</v>
      </c>
      <c r="AJ77" s="474">
        <f t="shared" si="17"/>
        <v>0</v>
      </c>
      <c r="AK77" s="471">
        <f t="shared" si="79"/>
        <v>0</v>
      </c>
      <c r="AL77" s="475">
        <f t="shared" si="80"/>
        <v>5.7500000000000002E-2</v>
      </c>
      <c r="AM77" s="471">
        <f t="shared" si="50"/>
        <v>0</v>
      </c>
      <c r="AN77" s="471">
        <f t="shared" si="81"/>
        <v>0</v>
      </c>
      <c r="AO77" s="476">
        <f t="shared" si="63"/>
        <v>0</v>
      </c>
      <c r="AP77" s="484">
        <f t="shared" si="64"/>
        <v>0</v>
      </c>
      <c r="AQ77" s="485">
        <f t="shared" si="65"/>
        <v>0</v>
      </c>
      <c r="AR77" s="471">
        <f t="shared" si="82"/>
        <v>0</v>
      </c>
      <c r="AS77" s="475">
        <f t="shared" si="83"/>
        <v>6.5000000000000002E-2</v>
      </c>
      <c r="AT77" s="471">
        <f t="shared" si="51"/>
        <v>0</v>
      </c>
      <c r="AU77" s="471">
        <f t="shared" si="84"/>
        <v>0</v>
      </c>
      <c r="AV77" s="476">
        <f t="shared" si="27"/>
        <v>0</v>
      </c>
      <c r="AW77" s="484">
        <f t="shared" si="66"/>
        <v>0</v>
      </c>
      <c r="AX77" s="474">
        <f t="shared" si="85"/>
        <v>0</v>
      </c>
      <c r="AY77" s="471">
        <f t="shared" si="86"/>
        <v>0</v>
      </c>
      <c r="AZ77" s="475">
        <f t="shared" si="31"/>
        <v>7.2500000000000009E-2</v>
      </c>
      <c r="BA77" s="471">
        <f t="shared" si="52"/>
        <v>0</v>
      </c>
      <c r="BB77" s="471">
        <f t="shared" si="87"/>
        <v>0</v>
      </c>
      <c r="BC77" s="476">
        <f t="shared" si="88"/>
        <v>0</v>
      </c>
      <c r="BD77" s="484">
        <f t="shared" si="89"/>
        <v>0</v>
      </c>
      <c r="BE77" s="474">
        <f t="shared" si="90"/>
        <v>0</v>
      </c>
      <c r="BF77" s="471">
        <f t="shared" si="91"/>
        <v>0</v>
      </c>
      <c r="BG77" s="475">
        <f t="shared" si="92"/>
        <v>8.0000000000000016E-2</v>
      </c>
      <c r="BH77" s="471">
        <f t="shared" si="53"/>
        <v>0</v>
      </c>
      <c r="BI77" s="471">
        <f t="shared" si="93"/>
        <v>0</v>
      </c>
      <c r="BJ77" s="473">
        <f t="shared" si="94"/>
        <v>0</v>
      </c>
      <c r="BK77" s="479">
        <f t="shared" si="67"/>
        <v>0</v>
      </c>
      <c r="BL77" s="480">
        <f t="shared" si="67"/>
        <v>0</v>
      </c>
      <c r="BM77" s="480">
        <f t="shared" si="68"/>
        <v>0</v>
      </c>
      <c r="BN77" s="480">
        <f t="shared" si="68"/>
        <v>0</v>
      </c>
      <c r="BO77" s="480">
        <f t="shared" si="95"/>
        <v>0</v>
      </c>
      <c r="BP77" s="480">
        <f t="shared" si="96"/>
        <v>0</v>
      </c>
      <c r="BQ77" s="480">
        <f t="shared" si="97"/>
        <v>0</v>
      </c>
      <c r="BR77" s="480">
        <f t="shared" si="98"/>
        <v>0</v>
      </c>
      <c r="BS77" s="480">
        <f t="shared" si="99"/>
        <v>0</v>
      </c>
      <c r="BT77" s="480">
        <f t="shared" si="100"/>
        <v>0</v>
      </c>
      <c r="BU77" s="480">
        <f t="shared" si="101"/>
        <v>0</v>
      </c>
      <c r="BV77" s="480">
        <f t="shared" si="102"/>
        <v>0</v>
      </c>
      <c r="BW77" s="41"/>
      <c r="BX77" s="39">
        <f t="shared" si="109"/>
        <v>0</v>
      </c>
      <c r="BY77" s="39">
        <f t="shared" si="110"/>
        <v>0</v>
      </c>
      <c r="BZ77" s="39">
        <f t="shared" si="111"/>
        <v>0</v>
      </c>
      <c r="CA77" s="40" t="s">
        <v>374</v>
      </c>
      <c r="CB77" s="40"/>
      <c r="CC77" s="40"/>
    </row>
    <row r="78" spans="1:81" ht="15" hidden="1">
      <c r="A78" s="453">
        <f t="shared" si="103"/>
        <v>69</v>
      </c>
      <c r="B78" s="454" t="s">
        <v>370</v>
      </c>
      <c r="C78" s="492" t="s">
        <v>447</v>
      </c>
      <c r="D78" s="456"/>
      <c r="E78" s="457" t="s">
        <v>381</v>
      </c>
      <c r="F78" s="458"/>
      <c r="G78" s="459">
        <v>5</v>
      </c>
      <c r="H78" s="460">
        <v>5</v>
      </c>
      <c r="I78" s="461" t="s">
        <v>373</v>
      </c>
      <c r="J78" s="462">
        <v>95000</v>
      </c>
      <c r="K78" s="463"/>
      <c r="L78" s="464">
        <v>0</v>
      </c>
      <c r="M78" s="466"/>
      <c r="N78" s="466"/>
      <c r="O78" s="466"/>
      <c r="P78" s="466"/>
      <c r="Q78" s="467">
        <f t="shared" ref="Q78:Q92" si="112">J78</f>
        <v>95000</v>
      </c>
      <c r="R78" s="483">
        <f t="shared" si="71"/>
        <v>97850</v>
      </c>
      <c r="S78" s="483">
        <f t="shared" si="71"/>
        <v>100785.5</v>
      </c>
      <c r="T78" s="483">
        <f t="shared" si="71"/>
        <v>103809.065</v>
      </c>
      <c r="U78" s="483">
        <f t="shared" si="71"/>
        <v>106923.33695</v>
      </c>
      <c r="V78" s="468">
        <f t="shared" si="72"/>
        <v>0</v>
      </c>
      <c r="W78" s="468">
        <f t="shared" si="72"/>
        <v>0</v>
      </c>
      <c r="X78" s="468">
        <f t="shared" si="72"/>
        <v>0</v>
      </c>
      <c r="Y78" s="468">
        <f t="shared" si="72"/>
        <v>0</v>
      </c>
      <c r="Z78" s="468">
        <f t="shared" si="72"/>
        <v>0</v>
      </c>
      <c r="AA78" s="469">
        <f t="shared" si="62"/>
        <v>0</v>
      </c>
      <c r="AB78" s="470">
        <f t="shared" si="73"/>
        <v>0</v>
      </c>
      <c r="AC78" s="471">
        <f t="shared" si="74"/>
        <v>0</v>
      </c>
      <c r="AD78" s="471">
        <f t="shared" si="75"/>
        <v>0</v>
      </c>
      <c r="AE78" s="472">
        <v>0.05</v>
      </c>
      <c r="AF78" s="471">
        <f t="shared" ref="AF78:AF92" si="113">V78*AE78</f>
        <v>0</v>
      </c>
      <c r="AG78" s="471">
        <f t="shared" si="76"/>
        <v>0</v>
      </c>
      <c r="AH78" s="473">
        <f t="shared" si="77"/>
        <v>0</v>
      </c>
      <c r="AI78" s="484">
        <f t="shared" si="78"/>
        <v>0</v>
      </c>
      <c r="AJ78" s="474">
        <f t="shared" ref="AJ78:AJ92" si="114">SUM(W78/G78)+AC78</f>
        <v>0</v>
      </c>
      <c r="AK78" s="471">
        <f t="shared" si="79"/>
        <v>0</v>
      </c>
      <c r="AL78" s="475">
        <f t="shared" si="80"/>
        <v>5.7500000000000002E-2</v>
      </c>
      <c r="AM78" s="471">
        <f t="shared" ref="AM78:AM92" si="115">AL78*V78+AE78*W78</f>
        <v>0</v>
      </c>
      <c r="AN78" s="471">
        <f t="shared" si="81"/>
        <v>0</v>
      </c>
      <c r="AO78" s="476">
        <f t="shared" si="63"/>
        <v>0</v>
      </c>
      <c r="AP78" s="484">
        <f t="shared" si="64"/>
        <v>0</v>
      </c>
      <c r="AQ78" s="485">
        <f t="shared" si="65"/>
        <v>0</v>
      </c>
      <c r="AR78" s="471">
        <f t="shared" si="82"/>
        <v>0</v>
      </c>
      <c r="AS78" s="475">
        <f t="shared" si="83"/>
        <v>6.5000000000000002E-2</v>
      </c>
      <c r="AT78" s="471">
        <f t="shared" ref="AT78:AT92" si="116">AS78*V78+W78*AL78+AE78*X78</f>
        <v>0</v>
      </c>
      <c r="AU78" s="471">
        <f t="shared" si="84"/>
        <v>0</v>
      </c>
      <c r="AV78" s="476">
        <f t="shared" ref="AV78:AV92" si="117">SUM(AO78+X78)-AQ78+IF(G78=3,L78*S78)</f>
        <v>0</v>
      </c>
      <c r="AW78" s="484">
        <f t="shared" si="66"/>
        <v>0</v>
      </c>
      <c r="AX78" s="474">
        <f t="shared" si="85"/>
        <v>0</v>
      </c>
      <c r="AY78" s="471">
        <f t="shared" si="86"/>
        <v>0</v>
      </c>
      <c r="AZ78" s="475">
        <f t="shared" ref="AZ78:AZ92" si="118">IF(AS78=0,0,AS78+AZ$3)</f>
        <v>7.2500000000000009E-2</v>
      </c>
      <c r="BA78" s="471">
        <f t="shared" ref="BA78:BA92" si="119">AZ78*V78+W78*AS78+AL78*X78+Y78*AE78</f>
        <v>0</v>
      </c>
      <c r="BB78" s="471">
        <f t="shared" si="87"/>
        <v>0</v>
      </c>
      <c r="BC78" s="476">
        <f t="shared" si="88"/>
        <v>0</v>
      </c>
      <c r="BD78" s="484">
        <f t="shared" si="89"/>
        <v>0</v>
      </c>
      <c r="BE78" s="474">
        <f t="shared" si="90"/>
        <v>0</v>
      </c>
      <c r="BF78" s="471">
        <f t="shared" si="91"/>
        <v>0</v>
      </c>
      <c r="BG78" s="475">
        <f t="shared" si="92"/>
        <v>8.0000000000000016E-2</v>
      </c>
      <c r="BH78" s="471">
        <f t="shared" ref="BH78:BH92" si="120">BG78*V78+W78*AZ78+AS78*X78+Y78*AL78+Z78*AE78</f>
        <v>0</v>
      </c>
      <c r="BI78" s="471">
        <f t="shared" si="93"/>
        <v>0</v>
      </c>
      <c r="BJ78" s="473">
        <f t="shared" si="94"/>
        <v>0</v>
      </c>
      <c r="BK78" s="479">
        <f t="shared" si="67"/>
        <v>0</v>
      </c>
      <c r="BL78" s="480">
        <f t="shared" si="67"/>
        <v>0</v>
      </c>
      <c r="BM78" s="480">
        <f t="shared" si="68"/>
        <v>0</v>
      </c>
      <c r="BN78" s="480">
        <f t="shared" si="68"/>
        <v>0</v>
      </c>
      <c r="BO78" s="480">
        <f t="shared" si="95"/>
        <v>0</v>
      </c>
      <c r="BP78" s="480">
        <f t="shared" si="96"/>
        <v>0</v>
      </c>
      <c r="BQ78" s="480">
        <f t="shared" si="97"/>
        <v>0</v>
      </c>
      <c r="BR78" s="480">
        <f t="shared" si="98"/>
        <v>0</v>
      </c>
      <c r="BS78" s="480">
        <f t="shared" si="99"/>
        <v>0</v>
      </c>
      <c r="BT78" s="480">
        <f t="shared" si="100"/>
        <v>0</v>
      </c>
      <c r="BU78" s="480">
        <f t="shared" si="101"/>
        <v>0</v>
      </c>
      <c r="BV78" s="480">
        <f t="shared" si="102"/>
        <v>0</v>
      </c>
      <c r="BW78" s="41"/>
      <c r="BX78" s="39"/>
      <c r="BY78" s="39"/>
      <c r="BZ78" s="39"/>
      <c r="CA78" s="40"/>
      <c r="CB78" s="40"/>
      <c r="CC78" s="40"/>
    </row>
    <row r="79" spans="1:81" ht="15" hidden="1">
      <c r="A79" s="453">
        <f t="shared" si="103"/>
        <v>70</v>
      </c>
      <c r="B79" s="500" t="s">
        <v>245</v>
      </c>
      <c r="C79" s="492" t="s">
        <v>448</v>
      </c>
      <c r="D79" s="456"/>
      <c r="E79" s="457" t="s">
        <v>372</v>
      </c>
      <c r="F79" s="458"/>
      <c r="G79" s="459">
        <v>5</v>
      </c>
      <c r="H79" s="460">
        <v>5</v>
      </c>
      <c r="I79" s="461" t="s">
        <v>373</v>
      </c>
      <c r="J79" s="462">
        <v>25000</v>
      </c>
      <c r="K79" s="463"/>
      <c r="L79" s="464">
        <v>0</v>
      </c>
      <c r="M79" s="466"/>
      <c r="N79" s="466"/>
      <c r="O79" s="466"/>
      <c r="P79" s="466"/>
      <c r="Q79" s="467">
        <f t="shared" si="112"/>
        <v>25000</v>
      </c>
      <c r="R79" s="483">
        <f t="shared" si="71"/>
        <v>25750</v>
      </c>
      <c r="S79" s="483">
        <f t="shared" si="71"/>
        <v>26522.5</v>
      </c>
      <c r="T79" s="483">
        <f t="shared" si="71"/>
        <v>27318.174999999999</v>
      </c>
      <c r="U79" s="483">
        <f t="shared" si="71"/>
        <v>28137.720249999998</v>
      </c>
      <c r="V79" s="468">
        <f t="shared" si="72"/>
        <v>0</v>
      </c>
      <c r="W79" s="468">
        <f t="shared" si="72"/>
        <v>0</v>
      </c>
      <c r="X79" s="468">
        <f t="shared" si="72"/>
        <v>0</v>
      </c>
      <c r="Y79" s="468">
        <f t="shared" si="72"/>
        <v>0</v>
      </c>
      <c r="Z79" s="468">
        <f t="shared" si="72"/>
        <v>0</v>
      </c>
      <c r="AA79" s="469">
        <f t="shared" si="62"/>
        <v>0</v>
      </c>
      <c r="AB79" s="470">
        <f t="shared" si="73"/>
        <v>0</v>
      </c>
      <c r="AC79" s="471">
        <f t="shared" si="74"/>
        <v>0</v>
      </c>
      <c r="AD79" s="471">
        <f t="shared" si="75"/>
        <v>0</v>
      </c>
      <c r="AE79" s="472">
        <v>0.05</v>
      </c>
      <c r="AF79" s="471">
        <f t="shared" si="113"/>
        <v>0</v>
      </c>
      <c r="AG79" s="471">
        <f t="shared" si="76"/>
        <v>0</v>
      </c>
      <c r="AH79" s="473">
        <f t="shared" si="77"/>
        <v>0</v>
      </c>
      <c r="AI79" s="484">
        <f t="shared" si="78"/>
        <v>0</v>
      </c>
      <c r="AJ79" s="474">
        <f t="shared" si="114"/>
        <v>0</v>
      </c>
      <c r="AK79" s="471">
        <f t="shared" si="79"/>
        <v>0</v>
      </c>
      <c r="AL79" s="475">
        <f t="shared" si="80"/>
        <v>5.7500000000000002E-2</v>
      </c>
      <c r="AM79" s="471">
        <f t="shared" si="115"/>
        <v>0</v>
      </c>
      <c r="AN79" s="471">
        <f t="shared" si="81"/>
        <v>0</v>
      </c>
      <c r="AO79" s="476">
        <f t="shared" si="63"/>
        <v>0</v>
      </c>
      <c r="AP79" s="484">
        <f t="shared" si="64"/>
        <v>0</v>
      </c>
      <c r="AQ79" s="485">
        <f t="shared" si="65"/>
        <v>0</v>
      </c>
      <c r="AR79" s="471">
        <f t="shared" si="82"/>
        <v>0</v>
      </c>
      <c r="AS79" s="475">
        <f t="shared" si="83"/>
        <v>6.5000000000000002E-2</v>
      </c>
      <c r="AT79" s="471">
        <f t="shared" si="116"/>
        <v>0</v>
      </c>
      <c r="AU79" s="471">
        <f t="shared" si="84"/>
        <v>0</v>
      </c>
      <c r="AV79" s="476">
        <f t="shared" si="117"/>
        <v>0</v>
      </c>
      <c r="AW79" s="484">
        <f t="shared" si="66"/>
        <v>0</v>
      </c>
      <c r="AX79" s="474">
        <f t="shared" si="85"/>
        <v>0</v>
      </c>
      <c r="AY79" s="471">
        <f t="shared" si="86"/>
        <v>0</v>
      </c>
      <c r="AZ79" s="475">
        <f t="shared" si="118"/>
        <v>7.2500000000000009E-2</v>
      </c>
      <c r="BA79" s="471">
        <f t="shared" si="119"/>
        <v>0</v>
      </c>
      <c r="BB79" s="471">
        <f t="shared" si="87"/>
        <v>0</v>
      </c>
      <c r="BC79" s="476">
        <f t="shared" si="88"/>
        <v>0</v>
      </c>
      <c r="BD79" s="484">
        <f t="shared" si="89"/>
        <v>0</v>
      </c>
      <c r="BE79" s="474">
        <f t="shared" si="90"/>
        <v>0</v>
      </c>
      <c r="BF79" s="471">
        <f t="shared" si="91"/>
        <v>0</v>
      </c>
      <c r="BG79" s="475">
        <f t="shared" si="92"/>
        <v>8.0000000000000016E-2</v>
      </c>
      <c r="BH79" s="471">
        <f t="shared" si="120"/>
        <v>0</v>
      </c>
      <c r="BI79" s="471">
        <f t="shared" si="93"/>
        <v>0</v>
      </c>
      <c r="BJ79" s="473">
        <f t="shared" si="94"/>
        <v>0</v>
      </c>
      <c r="BK79" s="479">
        <f t="shared" si="67"/>
        <v>0</v>
      </c>
      <c r="BL79" s="480">
        <f t="shared" si="67"/>
        <v>0</v>
      </c>
      <c r="BM79" s="480">
        <f t="shared" si="68"/>
        <v>0</v>
      </c>
      <c r="BN79" s="480">
        <f t="shared" si="68"/>
        <v>0</v>
      </c>
      <c r="BO79" s="480">
        <f t="shared" si="95"/>
        <v>0</v>
      </c>
      <c r="BP79" s="480">
        <f t="shared" si="96"/>
        <v>0</v>
      </c>
      <c r="BQ79" s="480">
        <f t="shared" si="97"/>
        <v>0</v>
      </c>
      <c r="BR79" s="480">
        <f t="shared" si="98"/>
        <v>0</v>
      </c>
      <c r="BS79" s="480">
        <f t="shared" si="99"/>
        <v>0</v>
      </c>
      <c r="BT79" s="480">
        <f t="shared" si="100"/>
        <v>0</v>
      </c>
      <c r="BU79" s="480">
        <f t="shared" si="101"/>
        <v>0</v>
      </c>
      <c r="BV79" s="480">
        <f t="shared" si="102"/>
        <v>0</v>
      </c>
      <c r="BW79" s="41"/>
      <c r="BX79" s="39">
        <f>(AB79+AF79+AG79)/$BX$8</f>
        <v>0</v>
      </c>
      <c r="BY79" s="39">
        <f>(AI79+AM79+AN79)/$BY$8</f>
        <v>0</v>
      </c>
      <c r="BZ79" s="39">
        <f>(AP79+AT79+AU79)/$BZ$8</f>
        <v>0</v>
      </c>
      <c r="CA79" s="40"/>
      <c r="CB79" s="40"/>
      <c r="CC79" s="40"/>
    </row>
    <row r="80" spans="1:81" ht="15" hidden="1">
      <c r="A80" s="453">
        <f t="shared" si="103"/>
        <v>71</v>
      </c>
      <c r="B80" s="500" t="s">
        <v>245</v>
      </c>
      <c r="C80" s="492" t="s">
        <v>449</v>
      </c>
      <c r="D80" s="456"/>
      <c r="E80" s="457" t="s">
        <v>372</v>
      </c>
      <c r="F80" s="458"/>
      <c r="G80" s="459">
        <v>5</v>
      </c>
      <c r="H80" s="460">
        <v>5</v>
      </c>
      <c r="I80" s="461" t="s">
        <v>373</v>
      </c>
      <c r="J80" s="462">
        <v>280000</v>
      </c>
      <c r="K80" s="463"/>
      <c r="L80" s="464">
        <v>0</v>
      </c>
      <c r="M80" s="466"/>
      <c r="N80" s="466"/>
      <c r="O80" s="466"/>
      <c r="P80" s="466"/>
      <c r="Q80" s="467">
        <f t="shared" si="112"/>
        <v>280000</v>
      </c>
      <c r="R80" s="483">
        <f t="shared" si="71"/>
        <v>288400</v>
      </c>
      <c r="S80" s="483">
        <f t="shared" si="71"/>
        <v>297052</v>
      </c>
      <c r="T80" s="483">
        <f t="shared" si="71"/>
        <v>305963.56</v>
      </c>
      <c r="U80" s="483">
        <f t="shared" si="71"/>
        <v>315142.46679999999</v>
      </c>
      <c r="V80" s="468">
        <f t="shared" si="72"/>
        <v>0</v>
      </c>
      <c r="W80" s="468">
        <f t="shared" si="72"/>
        <v>0</v>
      </c>
      <c r="X80" s="468">
        <f t="shared" si="72"/>
        <v>0</v>
      </c>
      <c r="Y80" s="468">
        <f t="shared" si="72"/>
        <v>0</v>
      </c>
      <c r="Z80" s="468">
        <f t="shared" si="72"/>
        <v>0</v>
      </c>
      <c r="AA80" s="469">
        <f t="shared" si="62"/>
        <v>0</v>
      </c>
      <c r="AB80" s="470">
        <f t="shared" si="73"/>
        <v>0</v>
      </c>
      <c r="AC80" s="471">
        <f t="shared" si="74"/>
        <v>0</v>
      </c>
      <c r="AD80" s="471">
        <f t="shared" si="75"/>
        <v>0</v>
      </c>
      <c r="AE80" s="472">
        <v>0.05</v>
      </c>
      <c r="AF80" s="471">
        <f t="shared" si="113"/>
        <v>0</v>
      </c>
      <c r="AG80" s="471">
        <f t="shared" si="76"/>
        <v>0</v>
      </c>
      <c r="AH80" s="473">
        <f t="shared" si="77"/>
        <v>0</v>
      </c>
      <c r="AI80" s="484">
        <f t="shared" si="78"/>
        <v>0</v>
      </c>
      <c r="AJ80" s="474">
        <f t="shared" si="114"/>
        <v>0</v>
      </c>
      <c r="AK80" s="471">
        <f t="shared" si="79"/>
        <v>0</v>
      </c>
      <c r="AL80" s="475">
        <f t="shared" si="80"/>
        <v>5.7500000000000002E-2</v>
      </c>
      <c r="AM80" s="471">
        <f t="shared" si="115"/>
        <v>0</v>
      </c>
      <c r="AN80" s="471">
        <f t="shared" si="81"/>
        <v>0</v>
      </c>
      <c r="AO80" s="476">
        <f t="shared" si="63"/>
        <v>0</v>
      </c>
      <c r="AP80" s="484">
        <f t="shared" si="64"/>
        <v>0</v>
      </c>
      <c r="AQ80" s="485">
        <f t="shared" si="65"/>
        <v>0</v>
      </c>
      <c r="AR80" s="471">
        <f t="shared" si="82"/>
        <v>0</v>
      </c>
      <c r="AS80" s="475">
        <f t="shared" si="83"/>
        <v>6.5000000000000002E-2</v>
      </c>
      <c r="AT80" s="471">
        <f t="shared" si="116"/>
        <v>0</v>
      </c>
      <c r="AU80" s="471">
        <f t="shared" si="84"/>
        <v>0</v>
      </c>
      <c r="AV80" s="476">
        <f t="shared" si="117"/>
        <v>0</v>
      </c>
      <c r="AW80" s="484">
        <f t="shared" si="66"/>
        <v>0</v>
      </c>
      <c r="AX80" s="474">
        <f t="shared" si="85"/>
        <v>0</v>
      </c>
      <c r="AY80" s="471">
        <f t="shared" si="86"/>
        <v>0</v>
      </c>
      <c r="AZ80" s="475">
        <f t="shared" si="118"/>
        <v>7.2500000000000009E-2</v>
      </c>
      <c r="BA80" s="471">
        <f t="shared" si="119"/>
        <v>0</v>
      </c>
      <c r="BB80" s="471">
        <f t="shared" si="87"/>
        <v>0</v>
      </c>
      <c r="BC80" s="476">
        <f t="shared" si="88"/>
        <v>0</v>
      </c>
      <c r="BD80" s="484">
        <f t="shared" si="89"/>
        <v>0</v>
      </c>
      <c r="BE80" s="474">
        <f t="shared" si="90"/>
        <v>0</v>
      </c>
      <c r="BF80" s="471">
        <f t="shared" si="91"/>
        <v>0</v>
      </c>
      <c r="BG80" s="475">
        <f t="shared" si="92"/>
        <v>8.0000000000000016E-2</v>
      </c>
      <c r="BH80" s="471">
        <f t="shared" si="120"/>
        <v>0</v>
      </c>
      <c r="BI80" s="471">
        <f t="shared" si="93"/>
        <v>0</v>
      </c>
      <c r="BJ80" s="473">
        <f t="shared" si="94"/>
        <v>0</v>
      </c>
      <c r="BK80" s="479">
        <f t="shared" ref="BK80:BL91" si="121">AC80+AJ80+AQ80+AX80+BE80</f>
        <v>0</v>
      </c>
      <c r="BL80" s="480">
        <f t="shared" si="121"/>
        <v>0</v>
      </c>
      <c r="BM80" s="480">
        <f t="shared" ref="BM80:BN91" si="122">BH80+BA80+AT80++AM80+AF80</f>
        <v>0</v>
      </c>
      <c r="BN80" s="480">
        <f t="shared" si="122"/>
        <v>0</v>
      </c>
      <c r="BO80" s="480">
        <f t="shared" si="95"/>
        <v>0</v>
      </c>
      <c r="BP80" s="480">
        <f t="shared" si="96"/>
        <v>0</v>
      </c>
      <c r="BQ80" s="480">
        <f t="shared" si="97"/>
        <v>0</v>
      </c>
      <c r="BR80" s="480">
        <f t="shared" si="98"/>
        <v>0</v>
      </c>
      <c r="BS80" s="480">
        <f t="shared" si="99"/>
        <v>0</v>
      </c>
      <c r="BT80" s="480">
        <f t="shared" si="100"/>
        <v>0</v>
      </c>
      <c r="BU80" s="480">
        <f t="shared" si="101"/>
        <v>0</v>
      </c>
      <c r="BV80" s="480">
        <f t="shared" si="102"/>
        <v>0</v>
      </c>
      <c r="BW80" s="41"/>
      <c r="BX80" s="39">
        <f>(AB80+AF80+AG80)/$BX$8</f>
        <v>0</v>
      </c>
      <c r="BY80" s="39">
        <f>(AI80+AM80+AN80)/$BY$8</f>
        <v>0</v>
      </c>
      <c r="BZ80" s="39">
        <f>(AP80+AT80+AU80)/$BZ$8</f>
        <v>0</v>
      </c>
      <c r="CA80" s="40"/>
      <c r="CB80" s="40"/>
      <c r="CC80" s="40"/>
    </row>
    <row r="81" spans="1:81" ht="15" hidden="1">
      <c r="A81" s="453">
        <f t="shared" si="103"/>
        <v>72</v>
      </c>
      <c r="B81" s="500" t="s">
        <v>245</v>
      </c>
      <c r="C81" s="492" t="s">
        <v>450</v>
      </c>
      <c r="D81" s="456"/>
      <c r="E81" s="457" t="s">
        <v>372</v>
      </c>
      <c r="F81" s="458"/>
      <c r="G81" s="459">
        <v>5</v>
      </c>
      <c r="H81" s="460">
        <v>5</v>
      </c>
      <c r="I81" s="461" t="s">
        <v>373</v>
      </c>
      <c r="J81" s="462">
        <v>800000</v>
      </c>
      <c r="K81" s="463"/>
      <c r="L81" s="464">
        <v>0</v>
      </c>
      <c r="M81" s="466"/>
      <c r="N81" s="466"/>
      <c r="O81" s="466"/>
      <c r="P81" s="466"/>
      <c r="Q81" s="467">
        <f t="shared" si="112"/>
        <v>800000</v>
      </c>
      <c r="R81" s="483">
        <f t="shared" si="71"/>
        <v>824000</v>
      </c>
      <c r="S81" s="483">
        <f t="shared" si="71"/>
        <v>848720</v>
      </c>
      <c r="T81" s="483">
        <f t="shared" si="71"/>
        <v>874181.6</v>
      </c>
      <c r="U81" s="483">
        <f t="shared" si="71"/>
        <v>900407.04799999995</v>
      </c>
      <c r="V81" s="468">
        <f t="shared" si="72"/>
        <v>0</v>
      </c>
      <c r="W81" s="468">
        <f t="shared" si="72"/>
        <v>0</v>
      </c>
      <c r="X81" s="468">
        <f t="shared" si="72"/>
        <v>0</v>
      </c>
      <c r="Y81" s="468">
        <f t="shared" si="72"/>
        <v>0</v>
      </c>
      <c r="Z81" s="468">
        <f t="shared" si="72"/>
        <v>0</v>
      </c>
      <c r="AA81" s="469">
        <f t="shared" si="62"/>
        <v>0</v>
      </c>
      <c r="AB81" s="470">
        <f t="shared" si="73"/>
        <v>0</v>
      </c>
      <c r="AC81" s="471">
        <f t="shared" si="74"/>
        <v>0</v>
      </c>
      <c r="AD81" s="471">
        <f t="shared" si="75"/>
        <v>0</v>
      </c>
      <c r="AE81" s="472">
        <v>0.05</v>
      </c>
      <c r="AF81" s="471">
        <f t="shared" si="113"/>
        <v>0</v>
      </c>
      <c r="AG81" s="471">
        <f t="shared" si="76"/>
        <v>0</v>
      </c>
      <c r="AH81" s="473">
        <f t="shared" si="77"/>
        <v>0</v>
      </c>
      <c r="AI81" s="484">
        <f t="shared" si="78"/>
        <v>0</v>
      </c>
      <c r="AJ81" s="474">
        <f t="shared" si="114"/>
        <v>0</v>
      </c>
      <c r="AK81" s="471">
        <f t="shared" si="79"/>
        <v>0</v>
      </c>
      <c r="AL81" s="475">
        <f t="shared" si="80"/>
        <v>5.7500000000000002E-2</v>
      </c>
      <c r="AM81" s="471">
        <f t="shared" si="115"/>
        <v>0</v>
      </c>
      <c r="AN81" s="471">
        <f t="shared" si="81"/>
        <v>0</v>
      </c>
      <c r="AO81" s="476">
        <f t="shared" si="63"/>
        <v>0</v>
      </c>
      <c r="AP81" s="484">
        <f t="shared" si="64"/>
        <v>0</v>
      </c>
      <c r="AQ81" s="485">
        <f t="shared" si="65"/>
        <v>0</v>
      </c>
      <c r="AR81" s="471">
        <f t="shared" si="82"/>
        <v>0</v>
      </c>
      <c r="AS81" s="475">
        <f t="shared" si="83"/>
        <v>6.5000000000000002E-2</v>
      </c>
      <c r="AT81" s="471">
        <f t="shared" si="116"/>
        <v>0</v>
      </c>
      <c r="AU81" s="471">
        <f t="shared" si="84"/>
        <v>0</v>
      </c>
      <c r="AV81" s="476">
        <f t="shared" si="117"/>
        <v>0</v>
      </c>
      <c r="AW81" s="484">
        <f t="shared" si="66"/>
        <v>0</v>
      </c>
      <c r="AX81" s="474">
        <f t="shared" si="85"/>
        <v>0</v>
      </c>
      <c r="AY81" s="471">
        <f t="shared" si="86"/>
        <v>0</v>
      </c>
      <c r="AZ81" s="475">
        <f t="shared" si="118"/>
        <v>7.2500000000000009E-2</v>
      </c>
      <c r="BA81" s="471">
        <f t="shared" si="119"/>
        <v>0</v>
      </c>
      <c r="BB81" s="471">
        <f t="shared" si="87"/>
        <v>0</v>
      </c>
      <c r="BC81" s="476">
        <f t="shared" si="88"/>
        <v>0</v>
      </c>
      <c r="BD81" s="484">
        <f t="shared" si="89"/>
        <v>0</v>
      </c>
      <c r="BE81" s="474">
        <f t="shared" si="90"/>
        <v>0</v>
      </c>
      <c r="BF81" s="471">
        <f t="shared" si="91"/>
        <v>0</v>
      </c>
      <c r="BG81" s="475">
        <f t="shared" si="92"/>
        <v>8.0000000000000016E-2</v>
      </c>
      <c r="BH81" s="471">
        <f t="shared" si="120"/>
        <v>0</v>
      </c>
      <c r="BI81" s="471">
        <f t="shared" si="93"/>
        <v>0</v>
      </c>
      <c r="BJ81" s="473">
        <f t="shared" si="94"/>
        <v>0</v>
      </c>
      <c r="BK81" s="479">
        <f t="shared" si="121"/>
        <v>0</v>
      </c>
      <c r="BL81" s="480">
        <f t="shared" si="121"/>
        <v>0</v>
      </c>
      <c r="BM81" s="480">
        <f t="shared" si="122"/>
        <v>0</v>
      </c>
      <c r="BN81" s="480">
        <f t="shared" si="122"/>
        <v>0</v>
      </c>
      <c r="BO81" s="480">
        <f t="shared" si="95"/>
        <v>0</v>
      </c>
      <c r="BP81" s="480">
        <f t="shared" si="96"/>
        <v>0</v>
      </c>
      <c r="BQ81" s="480">
        <f t="shared" si="97"/>
        <v>0</v>
      </c>
      <c r="BR81" s="480">
        <f t="shared" si="98"/>
        <v>0</v>
      </c>
      <c r="BS81" s="480">
        <f t="shared" si="99"/>
        <v>0</v>
      </c>
      <c r="BT81" s="480">
        <f t="shared" si="100"/>
        <v>0</v>
      </c>
      <c r="BU81" s="480">
        <f t="shared" si="101"/>
        <v>0</v>
      </c>
      <c r="BV81" s="480">
        <f t="shared" si="102"/>
        <v>0</v>
      </c>
      <c r="BW81" s="41"/>
      <c r="BX81" s="39">
        <f>(AB81+AF81+AG81)/$BX$8</f>
        <v>0</v>
      </c>
      <c r="BY81" s="39">
        <f>(AI81+AM81+AN81)/$BY$8</f>
        <v>0</v>
      </c>
      <c r="BZ81" s="39">
        <f>(AP81+AT81+AU81)/$BZ$8</f>
        <v>0</v>
      </c>
      <c r="CA81" s="40"/>
      <c r="CB81" s="40"/>
      <c r="CC81" s="40"/>
    </row>
    <row r="82" spans="1:81" ht="15" hidden="1">
      <c r="A82" s="453">
        <f t="shared" si="103"/>
        <v>73</v>
      </c>
      <c r="B82" s="454" t="s">
        <v>370</v>
      </c>
      <c r="C82" s="492" t="s">
        <v>451</v>
      </c>
      <c r="D82" s="456"/>
      <c r="E82" s="457" t="s">
        <v>381</v>
      </c>
      <c r="F82" s="458"/>
      <c r="G82" s="459">
        <v>5</v>
      </c>
      <c r="H82" s="460">
        <v>5</v>
      </c>
      <c r="I82" s="461" t="s">
        <v>373</v>
      </c>
      <c r="J82" s="462">
        <v>60000</v>
      </c>
      <c r="K82" s="463"/>
      <c r="L82" s="464">
        <v>0</v>
      </c>
      <c r="M82" s="466"/>
      <c r="N82" s="466"/>
      <c r="O82" s="466"/>
      <c r="P82" s="466"/>
      <c r="Q82" s="467">
        <f t="shared" si="112"/>
        <v>60000</v>
      </c>
      <c r="R82" s="483">
        <f t="shared" si="71"/>
        <v>61800</v>
      </c>
      <c r="S82" s="483">
        <f t="shared" si="71"/>
        <v>63654</v>
      </c>
      <c r="T82" s="483">
        <f t="shared" si="71"/>
        <v>65563.62</v>
      </c>
      <c r="U82" s="483">
        <f t="shared" si="71"/>
        <v>67530.528599999991</v>
      </c>
      <c r="V82" s="468">
        <f t="shared" si="72"/>
        <v>0</v>
      </c>
      <c r="W82" s="468">
        <f t="shared" si="72"/>
        <v>0</v>
      </c>
      <c r="X82" s="468">
        <f t="shared" si="72"/>
        <v>0</v>
      </c>
      <c r="Y82" s="468">
        <f t="shared" si="72"/>
        <v>0</v>
      </c>
      <c r="Z82" s="468">
        <f t="shared" si="72"/>
        <v>0</v>
      </c>
      <c r="AA82" s="469">
        <f t="shared" si="62"/>
        <v>0</v>
      </c>
      <c r="AB82" s="470">
        <f t="shared" si="73"/>
        <v>0</v>
      </c>
      <c r="AC82" s="471">
        <f t="shared" si="74"/>
        <v>0</v>
      </c>
      <c r="AD82" s="471">
        <f t="shared" si="75"/>
        <v>0</v>
      </c>
      <c r="AE82" s="472">
        <v>0.05</v>
      </c>
      <c r="AF82" s="471">
        <f t="shared" si="113"/>
        <v>0</v>
      </c>
      <c r="AG82" s="471">
        <f t="shared" si="76"/>
        <v>0</v>
      </c>
      <c r="AH82" s="473">
        <f t="shared" si="77"/>
        <v>0</v>
      </c>
      <c r="AI82" s="484">
        <f t="shared" si="78"/>
        <v>0</v>
      </c>
      <c r="AJ82" s="474">
        <f t="shared" si="114"/>
        <v>0</v>
      </c>
      <c r="AK82" s="471">
        <f t="shared" si="79"/>
        <v>0</v>
      </c>
      <c r="AL82" s="475">
        <f t="shared" si="80"/>
        <v>5.7500000000000002E-2</v>
      </c>
      <c r="AM82" s="471">
        <f t="shared" si="115"/>
        <v>0</v>
      </c>
      <c r="AN82" s="471">
        <f t="shared" si="81"/>
        <v>0</v>
      </c>
      <c r="AO82" s="476">
        <f t="shared" si="63"/>
        <v>0</v>
      </c>
      <c r="AP82" s="484">
        <f t="shared" si="64"/>
        <v>0</v>
      </c>
      <c r="AQ82" s="485">
        <f t="shared" si="65"/>
        <v>0</v>
      </c>
      <c r="AR82" s="471">
        <f t="shared" si="82"/>
        <v>0</v>
      </c>
      <c r="AS82" s="475">
        <f t="shared" si="83"/>
        <v>6.5000000000000002E-2</v>
      </c>
      <c r="AT82" s="471">
        <f t="shared" si="116"/>
        <v>0</v>
      </c>
      <c r="AU82" s="471">
        <f t="shared" si="84"/>
        <v>0</v>
      </c>
      <c r="AV82" s="476">
        <f t="shared" si="117"/>
        <v>0</v>
      </c>
      <c r="AW82" s="484">
        <f t="shared" si="66"/>
        <v>0</v>
      </c>
      <c r="AX82" s="474">
        <f t="shared" si="85"/>
        <v>0</v>
      </c>
      <c r="AY82" s="471">
        <f t="shared" si="86"/>
        <v>0</v>
      </c>
      <c r="AZ82" s="475">
        <f t="shared" si="118"/>
        <v>7.2500000000000009E-2</v>
      </c>
      <c r="BA82" s="471">
        <f t="shared" si="119"/>
        <v>0</v>
      </c>
      <c r="BB82" s="471">
        <f t="shared" si="87"/>
        <v>0</v>
      </c>
      <c r="BC82" s="476">
        <f t="shared" si="88"/>
        <v>0</v>
      </c>
      <c r="BD82" s="484">
        <f t="shared" si="89"/>
        <v>0</v>
      </c>
      <c r="BE82" s="474">
        <f t="shared" si="90"/>
        <v>0</v>
      </c>
      <c r="BF82" s="471">
        <f t="shared" si="91"/>
        <v>0</v>
      </c>
      <c r="BG82" s="475">
        <f t="shared" si="92"/>
        <v>8.0000000000000016E-2</v>
      </c>
      <c r="BH82" s="471">
        <f t="shared" si="120"/>
        <v>0</v>
      </c>
      <c r="BI82" s="471">
        <f t="shared" si="93"/>
        <v>0</v>
      </c>
      <c r="BJ82" s="473">
        <f t="shared" si="94"/>
        <v>0</v>
      </c>
      <c r="BK82" s="479">
        <f t="shared" si="121"/>
        <v>0</v>
      </c>
      <c r="BL82" s="480">
        <f t="shared" si="121"/>
        <v>0</v>
      </c>
      <c r="BM82" s="480">
        <f t="shared" si="122"/>
        <v>0</v>
      </c>
      <c r="BN82" s="480">
        <f t="shared" si="122"/>
        <v>0</v>
      </c>
      <c r="BO82" s="480">
        <f t="shared" si="95"/>
        <v>0</v>
      </c>
      <c r="BP82" s="480">
        <f t="shared" si="96"/>
        <v>0</v>
      </c>
      <c r="BQ82" s="480">
        <f t="shared" si="97"/>
        <v>0</v>
      </c>
      <c r="BR82" s="480">
        <f t="shared" si="98"/>
        <v>0</v>
      </c>
      <c r="BS82" s="480">
        <f t="shared" si="99"/>
        <v>0</v>
      </c>
      <c r="BT82" s="480">
        <f t="shared" si="100"/>
        <v>0</v>
      </c>
      <c r="BU82" s="480">
        <f t="shared" si="101"/>
        <v>0</v>
      </c>
      <c r="BV82" s="480">
        <f t="shared" si="102"/>
        <v>0</v>
      </c>
      <c r="BW82" s="41"/>
      <c r="BX82" s="39">
        <f>(AB82+AF82+AG82)/$BX$8</f>
        <v>0</v>
      </c>
      <c r="BY82" s="39">
        <f>(AI82+AM82+AN82)/$BY$8</f>
        <v>0</v>
      </c>
      <c r="BZ82" s="39">
        <f>(AP82+AT82+AU82)/$BZ$8</f>
        <v>0</v>
      </c>
      <c r="CA82" s="40"/>
      <c r="CB82" s="40"/>
      <c r="CC82" s="40"/>
    </row>
    <row r="83" spans="1:81" ht="15">
      <c r="A83" s="453">
        <f t="shared" si="103"/>
        <v>74</v>
      </c>
      <c r="B83" s="454" t="s">
        <v>370</v>
      </c>
      <c r="C83" s="492" t="s">
        <v>452</v>
      </c>
      <c r="D83" s="456"/>
      <c r="E83" s="457" t="s">
        <v>381</v>
      </c>
      <c r="F83" s="458"/>
      <c r="G83" s="459">
        <v>3</v>
      </c>
      <c r="H83" s="460">
        <v>3</v>
      </c>
      <c r="I83" s="461" t="s">
        <v>373</v>
      </c>
      <c r="J83" s="462">
        <v>2500</v>
      </c>
      <c r="K83" s="463"/>
      <c r="L83" s="464">
        <v>2</v>
      </c>
      <c r="M83" s="466"/>
      <c r="N83" s="466"/>
      <c r="O83" s="466"/>
      <c r="P83" s="466"/>
      <c r="Q83" s="467">
        <f t="shared" si="112"/>
        <v>2500</v>
      </c>
      <c r="R83" s="483">
        <f t="shared" si="71"/>
        <v>2575</v>
      </c>
      <c r="S83" s="483">
        <f t="shared" si="71"/>
        <v>2652.25</v>
      </c>
      <c r="T83" s="483">
        <f t="shared" si="71"/>
        <v>2731.8175000000001</v>
      </c>
      <c r="U83" s="483">
        <f t="shared" si="71"/>
        <v>2813.7720250000002</v>
      </c>
      <c r="V83" s="468">
        <f t="shared" si="72"/>
        <v>5000</v>
      </c>
      <c r="W83" s="468">
        <f t="shared" si="72"/>
        <v>0</v>
      </c>
      <c r="X83" s="468">
        <f t="shared" si="72"/>
        <v>0</v>
      </c>
      <c r="Y83" s="468">
        <f t="shared" si="72"/>
        <v>0</v>
      </c>
      <c r="Z83" s="468">
        <f t="shared" si="72"/>
        <v>0</v>
      </c>
      <c r="AA83" s="469">
        <f t="shared" si="62"/>
        <v>5000</v>
      </c>
      <c r="AB83" s="470">
        <f t="shared" si="73"/>
        <v>2105.8264430543927</v>
      </c>
      <c r="AC83" s="471">
        <f t="shared" si="74"/>
        <v>1666.6666666666667</v>
      </c>
      <c r="AD83" s="471">
        <f t="shared" si="75"/>
        <v>439.15977638772586</v>
      </c>
      <c r="AE83" s="472">
        <v>0.05</v>
      </c>
      <c r="AF83" s="471">
        <f t="shared" si="113"/>
        <v>250</v>
      </c>
      <c r="AG83" s="471">
        <f t="shared" si="76"/>
        <v>12.5</v>
      </c>
      <c r="AH83" s="473">
        <f t="shared" si="77"/>
        <v>3333.333333333333</v>
      </c>
      <c r="AI83" s="484">
        <f t="shared" si="78"/>
        <v>1959.4398509251507</v>
      </c>
      <c r="AJ83" s="474">
        <f t="shared" si="114"/>
        <v>1666.6666666666667</v>
      </c>
      <c r="AK83" s="471">
        <f t="shared" si="79"/>
        <v>292.77318425848398</v>
      </c>
      <c r="AL83" s="475">
        <f t="shared" si="80"/>
        <v>5.7500000000000002E-2</v>
      </c>
      <c r="AM83" s="471">
        <f t="shared" si="115"/>
        <v>287.5</v>
      </c>
      <c r="AN83" s="471">
        <f t="shared" si="81"/>
        <v>8.5</v>
      </c>
      <c r="AO83" s="476">
        <f t="shared" si="63"/>
        <v>1666.6666666666663</v>
      </c>
      <c r="AP83" s="484">
        <f t="shared" si="64"/>
        <v>1813.0532587959087</v>
      </c>
      <c r="AQ83" s="485">
        <f t="shared" si="65"/>
        <v>1666.6666666666667</v>
      </c>
      <c r="AR83" s="471">
        <f t="shared" si="82"/>
        <v>146.38659212924193</v>
      </c>
      <c r="AS83" s="475">
        <f t="shared" si="83"/>
        <v>6.5000000000000002E-2</v>
      </c>
      <c r="AT83" s="471">
        <f t="shared" si="116"/>
        <v>325</v>
      </c>
      <c r="AU83" s="471">
        <f t="shared" si="84"/>
        <v>4.335</v>
      </c>
      <c r="AV83" s="476">
        <f t="shared" si="117"/>
        <v>5304.5</v>
      </c>
      <c r="AW83" s="484">
        <f t="shared" si="66"/>
        <v>2234.0712734364051</v>
      </c>
      <c r="AX83" s="485">
        <f t="shared" si="85"/>
        <v>1768.1666666666667</v>
      </c>
      <c r="AY83" s="471">
        <f t="shared" si="86"/>
        <v>465.90460676973845</v>
      </c>
      <c r="AZ83" s="475">
        <f t="shared" si="118"/>
        <v>7.2500000000000009E-2</v>
      </c>
      <c r="BA83" s="471">
        <f t="shared" si="119"/>
        <v>362.50000000000006</v>
      </c>
      <c r="BB83" s="471">
        <f t="shared" si="87"/>
        <v>14.072944590000002</v>
      </c>
      <c r="BC83" s="476">
        <f t="shared" si="88"/>
        <v>3536.333333333333</v>
      </c>
      <c r="BD83" s="484">
        <f t="shared" si="89"/>
        <v>2078.7697378464923</v>
      </c>
      <c r="BE83" s="474">
        <f t="shared" si="90"/>
        <v>1768.1666666666667</v>
      </c>
      <c r="BF83" s="471">
        <f t="shared" si="91"/>
        <v>310.60307117982563</v>
      </c>
      <c r="BG83" s="475">
        <f t="shared" si="92"/>
        <v>8.0000000000000016E-2</v>
      </c>
      <c r="BH83" s="471">
        <f t="shared" si="120"/>
        <v>400.00000000000006</v>
      </c>
      <c r="BI83" s="471">
        <f t="shared" si="93"/>
        <v>9.5696023211999997</v>
      </c>
      <c r="BJ83" s="473">
        <f t="shared" si="94"/>
        <v>1768.1666666666663</v>
      </c>
      <c r="BK83" s="479">
        <f t="shared" si="121"/>
        <v>8536.3333333333339</v>
      </c>
      <c r="BL83" s="480">
        <f t="shared" si="121"/>
        <v>1654.8272307250159</v>
      </c>
      <c r="BM83" s="480">
        <f t="shared" si="122"/>
        <v>1625</v>
      </c>
      <c r="BN83" s="480">
        <f t="shared" si="122"/>
        <v>48.977546911200001</v>
      </c>
      <c r="BO83" s="480">
        <f t="shared" si="95"/>
        <v>10191.160564058349</v>
      </c>
      <c r="BP83" s="480">
        <f t="shared" si="96"/>
        <v>11865.13811096955</v>
      </c>
      <c r="BQ83" s="480">
        <f t="shared" si="97"/>
        <v>10191.160564058349</v>
      </c>
      <c r="BR83" s="480">
        <f t="shared" si="98"/>
        <v>0</v>
      </c>
      <c r="BS83" s="480">
        <f t="shared" si="99"/>
        <v>-3536.3333333333339</v>
      </c>
      <c r="BT83" s="480">
        <f t="shared" si="100"/>
        <v>5304.5</v>
      </c>
      <c r="BU83" s="480">
        <f t="shared" si="101"/>
        <v>1768.1666666666661</v>
      </c>
      <c r="BV83" s="480">
        <f t="shared" si="102"/>
        <v>0</v>
      </c>
      <c r="BW83" s="41"/>
      <c r="BX83" s="39">
        <f>(AB83+AF83+AG83)/$BX$8</f>
        <v>197.36053692119938</v>
      </c>
      <c r="BY83" s="39">
        <f>(AI83+AM83+AN83)/$BY$8</f>
        <v>187.9533209104292</v>
      </c>
      <c r="BZ83" s="39">
        <f>(AP83+AT83+AU83)/$BZ$8</f>
        <v>178.53235489965905</v>
      </c>
      <c r="CA83" s="40"/>
      <c r="CB83" s="40"/>
      <c r="CC83" s="40"/>
    </row>
    <row r="84" spans="1:81" ht="15" hidden="1">
      <c r="A84" s="453">
        <f t="shared" si="103"/>
        <v>75</v>
      </c>
      <c r="B84" s="454" t="s">
        <v>370</v>
      </c>
      <c r="C84" s="492" t="s">
        <v>453</v>
      </c>
      <c r="D84" s="456"/>
      <c r="E84" s="457" t="s">
        <v>381</v>
      </c>
      <c r="F84" s="458"/>
      <c r="G84" s="459">
        <v>3</v>
      </c>
      <c r="H84" s="460">
        <v>3</v>
      </c>
      <c r="I84" s="461" t="s">
        <v>373</v>
      </c>
      <c r="J84" s="462">
        <v>2500</v>
      </c>
      <c r="K84" s="463"/>
      <c r="L84" s="464">
        <v>0</v>
      </c>
      <c r="M84" s="466"/>
      <c r="N84" s="466"/>
      <c r="O84" s="466"/>
      <c r="P84" s="466"/>
      <c r="Q84" s="467">
        <f t="shared" si="112"/>
        <v>2500</v>
      </c>
      <c r="R84" s="483">
        <f t="shared" si="71"/>
        <v>2575</v>
      </c>
      <c r="S84" s="483">
        <f t="shared" si="71"/>
        <v>2652.25</v>
      </c>
      <c r="T84" s="483">
        <f t="shared" si="71"/>
        <v>2731.8175000000001</v>
      </c>
      <c r="U84" s="483">
        <f t="shared" si="71"/>
        <v>2813.7720250000002</v>
      </c>
      <c r="V84" s="468">
        <f t="shared" si="72"/>
        <v>0</v>
      </c>
      <c r="W84" s="468">
        <f t="shared" si="72"/>
        <v>0</v>
      </c>
      <c r="X84" s="468">
        <f t="shared" si="72"/>
        <v>0</v>
      </c>
      <c r="Y84" s="468">
        <f t="shared" si="72"/>
        <v>0</v>
      </c>
      <c r="Z84" s="468">
        <f t="shared" si="72"/>
        <v>0</v>
      </c>
      <c r="AA84" s="469">
        <f t="shared" si="62"/>
        <v>0</v>
      </c>
      <c r="AB84" s="470">
        <f t="shared" si="73"/>
        <v>0</v>
      </c>
      <c r="AC84" s="471">
        <f t="shared" si="74"/>
        <v>0</v>
      </c>
      <c r="AD84" s="471">
        <f t="shared" si="75"/>
        <v>0</v>
      </c>
      <c r="AE84" s="472">
        <v>0.05</v>
      </c>
      <c r="AF84" s="471">
        <f t="shared" si="113"/>
        <v>0</v>
      </c>
      <c r="AG84" s="471">
        <f t="shared" si="76"/>
        <v>0</v>
      </c>
      <c r="AH84" s="473">
        <f t="shared" si="77"/>
        <v>0</v>
      </c>
      <c r="AI84" s="484">
        <f t="shared" si="78"/>
        <v>0</v>
      </c>
      <c r="AJ84" s="474">
        <f t="shared" si="114"/>
        <v>0</v>
      </c>
      <c r="AK84" s="471">
        <f t="shared" si="79"/>
        <v>0</v>
      </c>
      <c r="AL84" s="475">
        <f t="shared" si="80"/>
        <v>5.7500000000000002E-2</v>
      </c>
      <c r="AM84" s="471">
        <f t="shared" si="115"/>
        <v>0</v>
      </c>
      <c r="AN84" s="471">
        <f t="shared" si="81"/>
        <v>0</v>
      </c>
      <c r="AO84" s="476">
        <f t="shared" si="63"/>
        <v>0</v>
      </c>
      <c r="AP84" s="484">
        <f t="shared" si="64"/>
        <v>0</v>
      </c>
      <c r="AQ84" s="485">
        <f t="shared" si="65"/>
        <v>0</v>
      </c>
      <c r="AR84" s="471">
        <f t="shared" si="82"/>
        <v>0</v>
      </c>
      <c r="AS84" s="475">
        <f t="shared" si="83"/>
        <v>6.5000000000000002E-2</v>
      </c>
      <c r="AT84" s="471">
        <f t="shared" si="116"/>
        <v>0</v>
      </c>
      <c r="AU84" s="471">
        <f t="shared" si="84"/>
        <v>0</v>
      </c>
      <c r="AV84" s="476">
        <f t="shared" si="117"/>
        <v>0</v>
      </c>
      <c r="AW84" s="484">
        <f t="shared" si="66"/>
        <v>0</v>
      </c>
      <c r="AX84" s="485">
        <f t="shared" si="85"/>
        <v>0</v>
      </c>
      <c r="AY84" s="471">
        <f t="shared" si="86"/>
        <v>0</v>
      </c>
      <c r="AZ84" s="475">
        <f t="shared" si="118"/>
        <v>7.2500000000000009E-2</v>
      </c>
      <c r="BA84" s="471">
        <f t="shared" si="119"/>
        <v>0</v>
      </c>
      <c r="BB84" s="471">
        <f t="shared" si="87"/>
        <v>0</v>
      </c>
      <c r="BC84" s="476">
        <f t="shared" si="88"/>
        <v>0</v>
      </c>
      <c r="BD84" s="484">
        <f t="shared" si="89"/>
        <v>0</v>
      </c>
      <c r="BE84" s="474">
        <f t="shared" si="90"/>
        <v>0</v>
      </c>
      <c r="BF84" s="471">
        <f t="shared" si="91"/>
        <v>0</v>
      </c>
      <c r="BG84" s="475">
        <f t="shared" si="92"/>
        <v>8.0000000000000016E-2</v>
      </c>
      <c r="BH84" s="471">
        <f t="shared" si="120"/>
        <v>0</v>
      </c>
      <c r="BI84" s="471">
        <f t="shared" si="93"/>
        <v>0</v>
      </c>
      <c r="BJ84" s="473">
        <f t="shared" si="94"/>
        <v>0</v>
      </c>
      <c r="BK84" s="479">
        <f t="shared" si="121"/>
        <v>0</v>
      </c>
      <c r="BL84" s="480">
        <f t="shared" si="121"/>
        <v>0</v>
      </c>
      <c r="BM84" s="480">
        <f t="shared" si="122"/>
        <v>0</v>
      </c>
      <c r="BN84" s="480">
        <f t="shared" si="122"/>
        <v>0</v>
      </c>
      <c r="BO84" s="480">
        <f t="shared" si="95"/>
        <v>0</v>
      </c>
      <c r="BP84" s="480">
        <f t="shared" si="96"/>
        <v>0</v>
      </c>
      <c r="BQ84" s="480">
        <f t="shared" si="97"/>
        <v>0</v>
      </c>
      <c r="BR84" s="480">
        <f t="shared" si="98"/>
        <v>0</v>
      </c>
      <c r="BS84" s="480">
        <f t="shared" si="99"/>
        <v>0</v>
      </c>
      <c r="BT84" s="480">
        <f t="shared" si="100"/>
        <v>0</v>
      </c>
      <c r="BU84" s="480">
        <f t="shared" si="101"/>
        <v>0</v>
      </c>
      <c r="BV84" s="480">
        <f t="shared" si="102"/>
        <v>0</v>
      </c>
      <c r="BW84" s="41"/>
      <c r="BX84" s="39"/>
      <c r="BY84" s="39"/>
      <c r="BZ84" s="39"/>
      <c r="CA84" s="40"/>
      <c r="CB84" s="40"/>
      <c r="CC84" s="40"/>
    </row>
    <row r="85" spans="1:81" ht="15" hidden="1">
      <c r="A85" s="453">
        <f t="shared" si="103"/>
        <v>76</v>
      </c>
      <c r="B85" s="454" t="s">
        <v>370</v>
      </c>
      <c r="C85" s="492" t="s">
        <v>454</v>
      </c>
      <c r="D85" s="456"/>
      <c r="E85" s="457" t="s">
        <v>381</v>
      </c>
      <c r="F85" s="458"/>
      <c r="G85" s="459">
        <v>3</v>
      </c>
      <c r="H85" s="460">
        <v>3</v>
      </c>
      <c r="I85" s="461" t="s">
        <v>373</v>
      </c>
      <c r="J85" s="462">
        <v>2500</v>
      </c>
      <c r="K85" s="463"/>
      <c r="L85" s="464">
        <v>0</v>
      </c>
      <c r="M85" s="466"/>
      <c r="N85" s="466"/>
      <c r="O85" s="466"/>
      <c r="P85" s="466"/>
      <c r="Q85" s="467">
        <f t="shared" si="112"/>
        <v>2500</v>
      </c>
      <c r="R85" s="483">
        <f t="shared" si="71"/>
        <v>2575</v>
      </c>
      <c r="S85" s="483">
        <f t="shared" si="71"/>
        <v>2652.25</v>
      </c>
      <c r="T85" s="483">
        <f t="shared" si="71"/>
        <v>2731.8175000000001</v>
      </c>
      <c r="U85" s="483">
        <f t="shared" si="71"/>
        <v>2813.7720250000002</v>
      </c>
      <c r="V85" s="468">
        <f t="shared" si="72"/>
        <v>0</v>
      </c>
      <c r="W85" s="468">
        <f t="shared" si="72"/>
        <v>0</v>
      </c>
      <c r="X85" s="468">
        <f t="shared" si="72"/>
        <v>0</v>
      </c>
      <c r="Y85" s="468">
        <f t="shared" si="72"/>
        <v>0</v>
      </c>
      <c r="Z85" s="468">
        <f t="shared" si="72"/>
        <v>0</v>
      </c>
      <c r="AA85" s="469">
        <f t="shared" si="62"/>
        <v>0</v>
      </c>
      <c r="AB85" s="470">
        <f t="shared" si="73"/>
        <v>0</v>
      </c>
      <c r="AC85" s="471">
        <f t="shared" si="74"/>
        <v>0</v>
      </c>
      <c r="AD85" s="471">
        <f t="shared" si="75"/>
        <v>0</v>
      </c>
      <c r="AE85" s="472">
        <v>0.05</v>
      </c>
      <c r="AF85" s="471">
        <f t="shared" si="113"/>
        <v>0</v>
      </c>
      <c r="AG85" s="471">
        <f t="shared" si="76"/>
        <v>0</v>
      </c>
      <c r="AH85" s="473">
        <f t="shared" si="77"/>
        <v>0</v>
      </c>
      <c r="AI85" s="484">
        <f t="shared" si="78"/>
        <v>0</v>
      </c>
      <c r="AJ85" s="474">
        <f t="shared" si="114"/>
        <v>0</v>
      </c>
      <c r="AK85" s="471">
        <f t="shared" si="79"/>
        <v>0</v>
      </c>
      <c r="AL85" s="475">
        <f t="shared" si="80"/>
        <v>5.7500000000000002E-2</v>
      </c>
      <c r="AM85" s="471">
        <f t="shared" si="115"/>
        <v>0</v>
      </c>
      <c r="AN85" s="471">
        <f t="shared" si="81"/>
        <v>0</v>
      </c>
      <c r="AO85" s="476">
        <f t="shared" si="63"/>
        <v>0</v>
      </c>
      <c r="AP85" s="484">
        <f t="shared" si="64"/>
        <v>0</v>
      </c>
      <c r="AQ85" s="485">
        <f t="shared" si="65"/>
        <v>0</v>
      </c>
      <c r="AR85" s="471">
        <f t="shared" si="82"/>
        <v>0</v>
      </c>
      <c r="AS85" s="475">
        <f t="shared" si="83"/>
        <v>6.5000000000000002E-2</v>
      </c>
      <c r="AT85" s="471">
        <f t="shared" si="116"/>
        <v>0</v>
      </c>
      <c r="AU85" s="471">
        <f t="shared" si="84"/>
        <v>0</v>
      </c>
      <c r="AV85" s="476">
        <f t="shared" si="117"/>
        <v>0</v>
      </c>
      <c r="AW85" s="484">
        <f t="shared" si="66"/>
        <v>0</v>
      </c>
      <c r="AX85" s="485">
        <f t="shared" si="85"/>
        <v>0</v>
      </c>
      <c r="AY85" s="471">
        <f t="shared" si="86"/>
        <v>0</v>
      </c>
      <c r="AZ85" s="475">
        <f t="shared" si="118"/>
        <v>7.2500000000000009E-2</v>
      </c>
      <c r="BA85" s="471">
        <f t="shared" si="119"/>
        <v>0</v>
      </c>
      <c r="BB85" s="471">
        <f t="shared" si="87"/>
        <v>0</v>
      </c>
      <c r="BC85" s="476">
        <f t="shared" si="88"/>
        <v>0</v>
      </c>
      <c r="BD85" s="484">
        <f t="shared" si="89"/>
        <v>0</v>
      </c>
      <c r="BE85" s="474">
        <f t="shared" si="90"/>
        <v>0</v>
      </c>
      <c r="BF85" s="471">
        <f t="shared" si="91"/>
        <v>0</v>
      </c>
      <c r="BG85" s="475">
        <f t="shared" si="92"/>
        <v>8.0000000000000016E-2</v>
      </c>
      <c r="BH85" s="471">
        <f t="shared" si="120"/>
        <v>0</v>
      </c>
      <c r="BI85" s="471">
        <f t="shared" si="93"/>
        <v>0</v>
      </c>
      <c r="BJ85" s="473">
        <f t="shared" si="94"/>
        <v>0</v>
      </c>
      <c r="BK85" s="479">
        <f t="shared" si="121"/>
        <v>0</v>
      </c>
      <c r="BL85" s="480">
        <f t="shared" si="121"/>
        <v>0</v>
      </c>
      <c r="BM85" s="480">
        <f t="shared" si="122"/>
        <v>0</v>
      </c>
      <c r="BN85" s="480">
        <f t="shared" si="122"/>
        <v>0</v>
      </c>
      <c r="BO85" s="480">
        <f t="shared" si="95"/>
        <v>0</v>
      </c>
      <c r="BP85" s="480">
        <f t="shared" si="96"/>
        <v>0</v>
      </c>
      <c r="BQ85" s="480">
        <f t="shared" si="97"/>
        <v>0</v>
      </c>
      <c r="BR85" s="480">
        <f t="shared" si="98"/>
        <v>0</v>
      </c>
      <c r="BS85" s="480">
        <f t="shared" si="99"/>
        <v>0</v>
      </c>
      <c r="BT85" s="480">
        <f t="shared" si="100"/>
        <v>0</v>
      </c>
      <c r="BU85" s="480">
        <f t="shared" si="101"/>
        <v>0</v>
      </c>
      <c r="BV85" s="480">
        <f t="shared" si="102"/>
        <v>0</v>
      </c>
      <c r="BW85" s="41"/>
      <c r="BX85" s="39"/>
      <c r="BY85" s="39"/>
      <c r="BZ85" s="39"/>
      <c r="CA85" s="40"/>
      <c r="CB85" s="40"/>
      <c r="CC85" s="40"/>
    </row>
    <row r="86" spans="1:81" ht="15">
      <c r="A86" s="453">
        <f t="shared" si="103"/>
        <v>77</v>
      </c>
      <c r="B86" s="454" t="s">
        <v>370</v>
      </c>
      <c r="C86" s="492" t="s">
        <v>455</v>
      </c>
      <c r="D86" s="456"/>
      <c r="E86" s="457" t="s">
        <v>381</v>
      </c>
      <c r="F86" s="458"/>
      <c r="G86" s="459">
        <v>5</v>
      </c>
      <c r="H86" s="460">
        <v>5</v>
      </c>
      <c r="I86" s="461" t="s">
        <v>373</v>
      </c>
      <c r="J86" s="462">
        <v>15000</v>
      </c>
      <c r="K86" s="463"/>
      <c r="L86" s="464">
        <v>3</v>
      </c>
      <c r="M86" s="465"/>
      <c r="N86" s="465"/>
      <c r="O86" s="465"/>
      <c r="P86" s="465"/>
      <c r="Q86" s="467">
        <f t="shared" si="112"/>
        <v>15000</v>
      </c>
      <c r="R86" s="483">
        <f t="shared" ref="R86:U91" si="123">Q86*R$3+Q86</f>
        <v>15450</v>
      </c>
      <c r="S86" s="483">
        <f t="shared" si="123"/>
        <v>15913.5</v>
      </c>
      <c r="T86" s="483">
        <f t="shared" si="123"/>
        <v>16390.904999999999</v>
      </c>
      <c r="U86" s="483">
        <f t="shared" si="123"/>
        <v>16882.632149999998</v>
      </c>
      <c r="V86" s="468">
        <f t="shared" ref="V86:Z91" si="124">Q86*L86</f>
        <v>45000</v>
      </c>
      <c r="W86" s="468">
        <f t="shared" si="124"/>
        <v>0</v>
      </c>
      <c r="X86" s="468">
        <f t="shared" si="124"/>
        <v>0</v>
      </c>
      <c r="Y86" s="468">
        <f t="shared" si="124"/>
        <v>0</v>
      </c>
      <c r="Z86" s="468">
        <f t="shared" si="124"/>
        <v>0</v>
      </c>
      <c r="AA86" s="469">
        <f t="shared" ref="AA86:AA92" si="125">SUM(V86:Z86)</f>
        <v>45000</v>
      </c>
      <c r="AB86" s="470">
        <f t="shared" si="73"/>
        <v>13204.558328454154</v>
      </c>
      <c r="AC86" s="471">
        <f t="shared" si="74"/>
        <v>9000</v>
      </c>
      <c r="AD86" s="471">
        <f t="shared" si="75"/>
        <v>4204.5583284541535</v>
      </c>
      <c r="AE86" s="472">
        <v>0.05</v>
      </c>
      <c r="AF86" s="471">
        <f t="shared" si="113"/>
        <v>2250</v>
      </c>
      <c r="AG86" s="471">
        <f t="shared" si="76"/>
        <v>112.5</v>
      </c>
      <c r="AH86" s="473">
        <f t="shared" si="77"/>
        <v>36000</v>
      </c>
      <c r="AI86" s="484">
        <f t="shared" si="78"/>
        <v>12363.646662763322</v>
      </c>
      <c r="AJ86" s="474">
        <f t="shared" si="114"/>
        <v>9000</v>
      </c>
      <c r="AK86" s="471">
        <f t="shared" si="79"/>
        <v>3363.6466627633217</v>
      </c>
      <c r="AL86" s="475">
        <f t="shared" si="80"/>
        <v>5.7500000000000002E-2</v>
      </c>
      <c r="AM86" s="471">
        <f t="shared" si="115"/>
        <v>2587.5</v>
      </c>
      <c r="AN86" s="471">
        <f t="shared" si="81"/>
        <v>91.800000000000011</v>
      </c>
      <c r="AO86" s="476">
        <f t="shared" ref="AO86:AO92" si="126">SUM(AH86+W86)-AJ86+IF(G86=2,L86*R86)</f>
        <v>27000</v>
      </c>
      <c r="AP86" s="484">
        <f t="shared" ref="AP86:AP92" si="127">SUM(AQ86:AR86)</f>
        <v>11522.734997072492</v>
      </c>
      <c r="AQ86" s="485">
        <f t="shared" si="65"/>
        <v>9000</v>
      </c>
      <c r="AR86" s="471">
        <f t="shared" si="82"/>
        <v>2522.7349970724918</v>
      </c>
      <c r="AS86" s="475">
        <f t="shared" si="83"/>
        <v>6.5000000000000002E-2</v>
      </c>
      <c r="AT86" s="471">
        <f t="shared" si="116"/>
        <v>2925</v>
      </c>
      <c r="AU86" s="471">
        <f t="shared" si="84"/>
        <v>70.227000000000018</v>
      </c>
      <c r="AV86" s="476">
        <f t="shared" si="117"/>
        <v>18000</v>
      </c>
      <c r="AW86" s="484">
        <f t="shared" ref="AW86:AW92" si="128">SUM(AX86:AY86)</f>
        <v>10681.82333138166</v>
      </c>
      <c r="AX86" s="485">
        <f t="shared" si="85"/>
        <v>9000</v>
      </c>
      <c r="AY86" s="471">
        <f t="shared" si="86"/>
        <v>1681.8233313816609</v>
      </c>
      <c r="AZ86" s="475">
        <f t="shared" si="118"/>
        <v>7.2500000000000009E-2</v>
      </c>
      <c r="BA86" s="471">
        <f t="shared" si="119"/>
        <v>3262.5000000000005</v>
      </c>
      <c r="BB86" s="471">
        <f t="shared" si="87"/>
        <v>47.754360000000005</v>
      </c>
      <c r="BC86" s="476">
        <f t="shared" si="88"/>
        <v>9000</v>
      </c>
      <c r="BD86" s="484">
        <f t="shared" si="89"/>
        <v>9840.91166569083</v>
      </c>
      <c r="BE86" s="474">
        <f t="shared" si="90"/>
        <v>9000</v>
      </c>
      <c r="BF86" s="471">
        <f t="shared" si="91"/>
        <v>840.91166569083043</v>
      </c>
      <c r="BG86" s="475">
        <f t="shared" si="92"/>
        <v>8.0000000000000016E-2</v>
      </c>
      <c r="BH86" s="471">
        <f t="shared" si="120"/>
        <v>3600.0000000000009</v>
      </c>
      <c r="BI86" s="471">
        <f t="shared" si="93"/>
        <v>24.3547236</v>
      </c>
      <c r="BJ86" s="473">
        <f t="shared" si="94"/>
        <v>0</v>
      </c>
      <c r="BK86" s="479">
        <f t="shared" si="121"/>
        <v>45000</v>
      </c>
      <c r="BL86" s="480">
        <f t="shared" si="121"/>
        <v>12613.674985362457</v>
      </c>
      <c r="BM86" s="480">
        <f t="shared" si="122"/>
        <v>14625.000000000002</v>
      </c>
      <c r="BN86" s="480">
        <f t="shared" si="122"/>
        <v>346.63608360000001</v>
      </c>
      <c r="BO86" s="480">
        <f t="shared" si="95"/>
        <v>57613.674985362457</v>
      </c>
      <c r="BP86" s="480">
        <f t="shared" si="96"/>
        <v>72585.311068962459</v>
      </c>
      <c r="BQ86" s="480">
        <f t="shared" si="97"/>
        <v>57613.674985362457</v>
      </c>
      <c r="BR86" s="480">
        <f t="shared" si="98"/>
        <v>0</v>
      </c>
      <c r="BS86" s="480">
        <f t="shared" si="99"/>
        <v>0</v>
      </c>
      <c r="BT86" s="480">
        <f t="shared" si="100"/>
        <v>0</v>
      </c>
      <c r="BU86" s="480">
        <f t="shared" si="101"/>
        <v>0</v>
      </c>
      <c r="BV86" s="480">
        <f t="shared" si="102"/>
        <v>0</v>
      </c>
      <c r="BW86" s="41"/>
      <c r="BX86" s="39">
        <f t="shared" ref="BX86:BX93" si="129">(AB86+AF86+AG86)/$BX$8</f>
        <v>1297.2548607045128</v>
      </c>
      <c r="BY86" s="39">
        <f t="shared" ref="BY86:BY93" si="130">(AI86+AM86+AN86)/$BY$8</f>
        <v>1253.57888856361</v>
      </c>
      <c r="BZ86" s="39">
        <f t="shared" ref="BZ86:BZ93" si="131">(AP86+AT86+AU86)/$BZ$8</f>
        <v>1209.8301664227076</v>
      </c>
      <c r="CA86" s="40"/>
      <c r="CB86" s="40"/>
      <c r="CC86" s="40"/>
    </row>
    <row r="87" spans="1:81" ht="15" hidden="1">
      <c r="A87" s="453">
        <f t="shared" si="103"/>
        <v>78</v>
      </c>
      <c r="B87" s="500" t="s">
        <v>456</v>
      </c>
      <c r="C87" s="505" t="s">
        <v>457</v>
      </c>
      <c r="D87" s="507"/>
      <c r="E87" s="457" t="s">
        <v>381</v>
      </c>
      <c r="F87" s="458"/>
      <c r="G87" s="459">
        <v>5</v>
      </c>
      <c r="H87" s="460">
        <v>5</v>
      </c>
      <c r="I87" s="461" t="s">
        <v>373</v>
      </c>
      <c r="J87" s="462">
        <v>100000</v>
      </c>
      <c r="K87" s="463"/>
      <c r="L87" s="497">
        <v>0</v>
      </c>
      <c r="M87" s="466"/>
      <c r="N87" s="466"/>
      <c r="O87" s="466"/>
      <c r="P87" s="466"/>
      <c r="Q87" s="467">
        <f t="shared" si="112"/>
        <v>100000</v>
      </c>
      <c r="R87" s="483">
        <f t="shared" si="123"/>
        <v>103000</v>
      </c>
      <c r="S87" s="483">
        <f t="shared" si="123"/>
        <v>106090</v>
      </c>
      <c r="T87" s="483">
        <f t="shared" si="123"/>
        <v>109272.7</v>
      </c>
      <c r="U87" s="483">
        <f t="shared" si="123"/>
        <v>112550.88099999999</v>
      </c>
      <c r="V87" s="468">
        <f t="shared" si="124"/>
        <v>0</v>
      </c>
      <c r="W87" s="468">
        <f t="shared" si="124"/>
        <v>0</v>
      </c>
      <c r="X87" s="468">
        <f t="shared" si="124"/>
        <v>0</v>
      </c>
      <c r="Y87" s="468">
        <f t="shared" si="124"/>
        <v>0</v>
      </c>
      <c r="Z87" s="468">
        <f t="shared" si="124"/>
        <v>0</v>
      </c>
      <c r="AA87" s="469">
        <f t="shared" si="125"/>
        <v>0</v>
      </c>
      <c r="AB87" s="470">
        <f t="shared" si="73"/>
        <v>0</v>
      </c>
      <c r="AC87" s="471">
        <f t="shared" si="74"/>
        <v>0</v>
      </c>
      <c r="AD87" s="471">
        <f t="shared" si="75"/>
        <v>0</v>
      </c>
      <c r="AE87" s="472">
        <v>0.05</v>
      </c>
      <c r="AF87" s="471">
        <f t="shared" si="113"/>
        <v>0</v>
      </c>
      <c r="AG87" s="471">
        <f t="shared" si="76"/>
        <v>0</v>
      </c>
      <c r="AH87" s="473">
        <f t="shared" si="77"/>
        <v>0</v>
      </c>
      <c r="AI87" s="484">
        <f t="shared" si="78"/>
        <v>0</v>
      </c>
      <c r="AJ87" s="474">
        <f t="shared" si="114"/>
        <v>0</v>
      </c>
      <c r="AK87" s="471">
        <f t="shared" si="79"/>
        <v>0</v>
      </c>
      <c r="AL87" s="475">
        <f t="shared" si="80"/>
        <v>5.7500000000000002E-2</v>
      </c>
      <c r="AM87" s="471">
        <f t="shared" si="115"/>
        <v>0</v>
      </c>
      <c r="AN87" s="471">
        <f t="shared" si="81"/>
        <v>0</v>
      </c>
      <c r="AO87" s="476">
        <f t="shared" si="126"/>
        <v>0</v>
      </c>
      <c r="AP87" s="484">
        <f t="shared" si="127"/>
        <v>0</v>
      </c>
      <c r="AQ87" s="485">
        <f t="shared" ref="AQ87:AQ92" si="132">SUM(X87/G87)+AJ87</f>
        <v>0</v>
      </c>
      <c r="AR87" s="471">
        <f t="shared" si="82"/>
        <v>0</v>
      </c>
      <c r="AS87" s="475">
        <f t="shared" si="83"/>
        <v>6.5000000000000002E-2</v>
      </c>
      <c r="AT87" s="471">
        <f t="shared" si="116"/>
        <v>0</v>
      </c>
      <c r="AU87" s="471">
        <f t="shared" si="84"/>
        <v>0</v>
      </c>
      <c r="AV87" s="476">
        <f t="shared" si="117"/>
        <v>0</v>
      </c>
      <c r="AW87" s="484">
        <f t="shared" si="128"/>
        <v>0</v>
      </c>
      <c r="AX87" s="485">
        <f t="shared" si="85"/>
        <v>0</v>
      </c>
      <c r="AY87" s="471">
        <f t="shared" si="86"/>
        <v>0</v>
      </c>
      <c r="AZ87" s="475">
        <f t="shared" si="118"/>
        <v>7.2500000000000009E-2</v>
      </c>
      <c r="BA87" s="471">
        <f t="shared" si="119"/>
        <v>0</v>
      </c>
      <c r="BB87" s="471">
        <f t="shared" si="87"/>
        <v>0</v>
      </c>
      <c r="BC87" s="476">
        <f t="shared" si="88"/>
        <v>0</v>
      </c>
      <c r="BD87" s="484">
        <f t="shared" si="89"/>
        <v>0</v>
      </c>
      <c r="BE87" s="474">
        <f t="shared" si="90"/>
        <v>0</v>
      </c>
      <c r="BF87" s="471">
        <f t="shared" si="91"/>
        <v>0</v>
      </c>
      <c r="BG87" s="475">
        <f t="shared" si="92"/>
        <v>8.0000000000000016E-2</v>
      </c>
      <c r="BH87" s="471">
        <f t="shared" si="120"/>
        <v>0</v>
      </c>
      <c r="BI87" s="471">
        <f t="shared" si="93"/>
        <v>0</v>
      </c>
      <c r="BJ87" s="473">
        <f t="shared" si="94"/>
        <v>0</v>
      </c>
      <c r="BK87" s="479">
        <f t="shared" si="121"/>
        <v>0</v>
      </c>
      <c r="BL87" s="480">
        <f t="shared" si="121"/>
        <v>0</v>
      </c>
      <c r="BM87" s="480">
        <f t="shared" si="122"/>
        <v>0</v>
      </c>
      <c r="BN87" s="480">
        <f t="shared" si="122"/>
        <v>0</v>
      </c>
      <c r="BO87" s="480">
        <f t="shared" si="95"/>
        <v>0</v>
      </c>
      <c r="BP87" s="480">
        <f t="shared" si="96"/>
        <v>0</v>
      </c>
      <c r="BQ87" s="480">
        <f t="shared" si="97"/>
        <v>0</v>
      </c>
      <c r="BR87" s="480">
        <f t="shared" si="98"/>
        <v>0</v>
      </c>
      <c r="BS87" s="480">
        <f t="shared" si="99"/>
        <v>0</v>
      </c>
      <c r="BT87" s="480">
        <f t="shared" si="100"/>
        <v>0</v>
      </c>
      <c r="BU87" s="480">
        <f t="shared" si="101"/>
        <v>0</v>
      </c>
      <c r="BV87" s="480">
        <f t="shared" si="102"/>
        <v>0</v>
      </c>
      <c r="BW87" s="41"/>
      <c r="BX87" s="39">
        <f t="shared" si="129"/>
        <v>0</v>
      </c>
      <c r="BY87" s="39">
        <f t="shared" si="130"/>
        <v>0</v>
      </c>
      <c r="BZ87" s="39">
        <f t="shared" si="131"/>
        <v>0</v>
      </c>
      <c r="CA87" s="40"/>
      <c r="CB87" s="40"/>
      <c r="CC87" s="40"/>
    </row>
    <row r="88" spans="1:81" ht="15" hidden="1">
      <c r="A88" s="453">
        <f t="shared" si="103"/>
        <v>79</v>
      </c>
      <c r="B88" s="500" t="s">
        <v>456</v>
      </c>
      <c r="C88" s="492" t="s">
        <v>456</v>
      </c>
      <c r="D88" s="456"/>
      <c r="E88" s="457" t="s">
        <v>381</v>
      </c>
      <c r="F88" s="458"/>
      <c r="G88" s="459">
        <v>3</v>
      </c>
      <c r="H88" s="460">
        <v>3</v>
      </c>
      <c r="I88" s="461" t="s">
        <v>373</v>
      </c>
      <c r="J88" s="462">
        <v>95000</v>
      </c>
      <c r="K88" s="463"/>
      <c r="L88" s="464">
        <v>0</v>
      </c>
      <c r="M88" s="466"/>
      <c r="N88" s="466"/>
      <c r="O88" s="466"/>
      <c r="P88" s="466"/>
      <c r="Q88" s="467">
        <f t="shared" si="112"/>
        <v>95000</v>
      </c>
      <c r="R88" s="483">
        <f t="shared" si="123"/>
        <v>97850</v>
      </c>
      <c r="S88" s="483">
        <f t="shared" si="123"/>
        <v>100785.5</v>
      </c>
      <c r="T88" s="483">
        <f t="shared" si="123"/>
        <v>103809.065</v>
      </c>
      <c r="U88" s="483">
        <f t="shared" si="123"/>
        <v>106923.33695</v>
      </c>
      <c r="V88" s="468">
        <f t="shared" si="124"/>
        <v>0</v>
      </c>
      <c r="W88" s="468">
        <f t="shared" si="124"/>
        <v>0</v>
      </c>
      <c r="X88" s="468">
        <f t="shared" si="124"/>
        <v>0</v>
      </c>
      <c r="Y88" s="468">
        <f t="shared" si="124"/>
        <v>0</v>
      </c>
      <c r="Z88" s="468">
        <f t="shared" si="124"/>
        <v>0</v>
      </c>
      <c r="AA88" s="469">
        <f t="shared" si="125"/>
        <v>0</v>
      </c>
      <c r="AB88" s="470">
        <f t="shared" si="73"/>
        <v>0</v>
      </c>
      <c r="AC88" s="471">
        <f t="shared" si="74"/>
        <v>0</v>
      </c>
      <c r="AD88" s="471">
        <f t="shared" si="75"/>
        <v>0</v>
      </c>
      <c r="AE88" s="472">
        <v>0.05</v>
      </c>
      <c r="AF88" s="471">
        <f t="shared" si="113"/>
        <v>0</v>
      </c>
      <c r="AG88" s="471">
        <f t="shared" si="76"/>
        <v>0</v>
      </c>
      <c r="AH88" s="473">
        <f t="shared" si="77"/>
        <v>0</v>
      </c>
      <c r="AI88" s="484">
        <f t="shared" si="78"/>
        <v>0</v>
      </c>
      <c r="AJ88" s="474">
        <f t="shared" si="114"/>
        <v>0</v>
      </c>
      <c r="AK88" s="471">
        <f t="shared" si="79"/>
        <v>0</v>
      </c>
      <c r="AL88" s="475">
        <f t="shared" si="80"/>
        <v>5.7500000000000002E-2</v>
      </c>
      <c r="AM88" s="471">
        <f t="shared" si="115"/>
        <v>0</v>
      </c>
      <c r="AN88" s="471">
        <f t="shared" si="81"/>
        <v>0</v>
      </c>
      <c r="AO88" s="476">
        <f t="shared" si="126"/>
        <v>0</v>
      </c>
      <c r="AP88" s="484">
        <f t="shared" si="127"/>
        <v>0</v>
      </c>
      <c r="AQ88" s="485">
        <f t="shared" si="132"/>
        <v>0</v>
      </c>
      <c r="AR88" s="471">
        <f t="shared" si="82"/>
        <v>0</v>
      </c>
      <c r="AS88" s="475">
        <f t="shared" si="83"/>
        <v>6.5000000000000002E-2</v>
      </c>
      <c r="AT88" s="471">
        <f t="shared" si="116"/>
        <v>0</v>
      </c>
      <c r="AU88" s="471">
        <f t="shared" si="84"/>
        <v>0</v>
      </c>
      <c r="AV88" s="476">
        <f t="shared" si="117"/>
        <v>0</v>
      </c>
      <c r="AW88" s="484">
        <f t="shared" si="128"/>
        <v>0</v>
      </c>
      <c r="AX88" s="485">
        <f t="shared" si="85"/>
        <v>0</v>
      </c>
      <c r="AY88" s="471">
        <f t="shared" si="86"/>
        <v>0</v>
      </c>
      <c r="AZ88" s="475">
        <f t="shared" si="118"/>
        <v>7.2500000000000009E-2</v>
      </c>
      <c r="BA88" s="471">
        <f t="shared" si="119"/>
        <v>0</v>
      </c>
      <c r="BB88" s="471">
        <f t="shared" si="87"/>
        <v>0</v>
      </c>
      <c r="BC88" s="476">
        <f t="shared" si="88"/>
        <v>0</v>
      </c>
      <c r="BD88" s="484">
        <f t="shared" si="89"/>
        <v>0</v>
      </c>
      <c r="BE88" s="474">
        <f t="shared" si="90"/>
        <v>0</v>
      </c>
      <c r="BF88" s="471">
        <f t="shared" si="91"/>
        <v>0</v>
      </c>
      <c r="BG88" s="475">
        <f t="shared" si="92"/>
        <v>8.0000000000000016E-2</v>
      </c>
      <c r="BH88" s="471">
        <f t="shared" si="120"/>
        <v>0</v>
      </c>
      <c r="BI88" s="471">
        <f t="shared" si="93"/>
        <v>0</v>
      </c>
      <c r="BJ88" s="473">
        <f t="shared" si="94"/>
        <v>0</v>
      </c>
      <c r="BK88" s="479">
        <f t="shared" si="121"/>
        <v>0</v>
      </c>
      <c r="BL88" s="480">
        <f t="shared" si="121"/>
        <v>0</v>
      </c>
      <c r="BM88" s="480">
        <f t="shared" si="122"/>
        <v>0</v>
      </c>
      <c r="BN88" s="480">
        <f t="shared" si="122"/>
        <v>0</v>
      </c>
      <c r="BO88" s="480">
        <f t="shared" si="95"/>
        <v>0</v>
      </c>
      <c r="BP88" s="480">
        <f t="shared" si="96"/>
        <v>0</v>
      </c>
      <c r="BQ88" s="480">
        <f t="shared" si="97"/>
        <v>0</v>
      </c>
      <c r="BR88" s="480">
        <f t="shared" si="98"/>
        <v>0</v>
      </c>
      <c r="BS88" s="480">
        <f t="shared" si="99"/>
        <v>0</v>
      </c>
      <c r="BT88" s="480">
        <f t="shared" si="100"/>
        <v>0</v>
      </c>
      <c r="BU88" s="480">
        <f t="shared" si="101"/>
        <v>0</v>
      </c>
      <c r="BV88" s="480">
        <f t="shared" si="102"/>
        <v>0</v>
      </c>
      <c r="BW88" s="41"/>
      <c r="BX88" s="39">
        <f t="shared" si="129"/>
        <v>0</v>
      </c>
      <c r="BY88" s="39">
        <f t="shared" si="130"/>
        <v>0</v>
      </c>
      <c r="BZ88" s="39">
        <f t="shared" si="131"/>
        <v>0</v>
      </c>
      <c r="CA88" s="40"/>
      <c r="CB88" s="40"/>
      <c r="CC88" s="40"/>
    </row>
    <row r="89" spans="1:81" ht="15" hidden="1">
      <c r="A89" s="453">
        <f t="shared" si="103"/>
        <v>80</v>
      </c>
      <c r="B89" s="500" t="s">
        <v>456</v>
      </c>
      <c r="C89" s="492" t="s">
        <v>456</v>
      </c>
      <c r="D89" s="456"/>
      <c r="E89" s="457" t="s">
        <v>381</v>
      </c>
      <c r="F89" s="458"/>
      <c r="G89" s="459">
        <v>3</v>
      </c>
      <c r="H89" s="460">
        <v>3</v>
      </c>
      <c r="I89" s="461" t="s">
        <v>394</v>
      </c>
      <c r="J89" s="462">
        <v>150</v>
      </c>
      <c r="K89" s="509"/>
      <c r="L89" s="464">
        <v>0</v>
      </c>
      <c r="M89" s="466"/>
      <c r="N89" s="466"/>
      <c r="O89" s="466"/>
      <c r="P89" s="466"/>
      <c r="Q89" s="467">
        <f t="shared" si="112"/>
        <v>150</v>
      </c>
      <c r="R89" s="483">
        <f t="shared" si="123"/>
        <v>154.5</v>
      </c>
      <c r="S89" s="483">
        <f t="shared" si="123"/>
        <v>159.13499999999999</v>
      </c>
      <c r="T89" s="483">
        <f t="shared" si="123"/>
        <v>163.90904999999998</v>
      </c>
      <c r="U89" s="483">
        <f t="shared" si="123"/>
        <v>168.82632149999998</v>
      </c>
      <c r="V89" s="468">
        <f t="shared" si="124"/>
        <v>0</v>
      </c>
      <c r="W89" s="468">
        <f t="shared" si="124"/>
        <v>0</v>
      </c>
      <c r="X89" s="468">
        <f t="shared" si="124"/>
        <v>0</v>
      </c>
      <c r="Y89" s="468">
        <f t="shared" si="124"/>
        <v>0</v>
      </c>
      <c r="Z89" s="468">
        <f t="shared" si="124"/>
        <v>0</v>
      </c>
      <c r="AA89" s="469">
        <f t="shared" si="125"/>
        <v>0</v>
      </c>
      <c r="AB89" s="470">
        <f t="shared" si="73"/>
        <v>0</v>
      </c>
      <c r="AC89" s="471">
        <f t="shared" si="74"/>
        <v>0</v>
      </c>
      <c r="AD89" s="471">
        <f t="shared" si="75"/>
        <v>0</v>
      </c>
      <c r="AE89" s="472">
        <v>0.05</v>
      </c>
      <c r="AF89" s="471">
        <f t="shared" si="113"/>
        <v>0</v>
      </c>
      <c r="AG89" s="471">
        <f t="shared" si="76"/>
        <v>0</v>
      </c>
      <c r="AH89" s="473">
        <f t="shared" si="77"/>
        <v>0</v>
      </c>
      <c r="AI89" s="484">
        <f t="shared" si="78"/>
        <v>0</v>
      </c>
      <c r="AJ89" s="474">
        <f t="shared" si="114"/>
        <v>0</v>
      </c>
      <c r="AK89" s="471">
        <f t="shared" si="79"/>
        <v>0</v>
      </c>
      <c r="AL89" s="475">
        <f t="shared" si="80"/>
        <v>5.7500000000000002E-2</v>
      </c>
      <c r="AM89" s="471">
        <f t="shared" si="115"/>
        <v>0</v>
      </c>
      <c r="AN89" s="471">
        <f t="shared" si="81"/>
        <v>0</v>
      </c>
      <c r="AO89" s="476">
        <f t="shared" si="126"/>
        <v>0</v>
      </c>
      <c r="AP89" s="484">
        <f t="shared" si="127"/>
        <v>0</v>
      </c>
      <c r="AQ89" s="485">
        <f t="shared" si="132"/>
        <v>0</v>
      </c>
      <c r="AR89" s="471">
        <f t="shared" si="82"/>
        <v>0</v>
      </c>
      <c r="AS89" s="475">
        <f t="shared" si="83"/>
        <v>6.5000000000000002E-2</v>
      </c>
      <c r="AT89" s="471">
        <f t="shared" si="116"/>
        <v>0</v>
      </c>
      <c r="AU89" s="471">
        <f t="shared" si="84"/>
        <v>0</v>
      </c>
      <c r="AV89" s="476">
        <f t="shared" si="117"/>
        <v>0</v>
      </c>
      <c r="AW89" s="484">
        <f t="shared" si="128"/>
        <v>0</v>
      </c>
      <c r="AX89" s="485">
        <f t="shared" si="85"/>
        <v>0</v>
      </c>
      <c r="AY89" s="471">
        <f t="shared" si="86"/>
        <v>0</v>
      </c>
      <c r="AZ89" s="475">
        <f t="shared" si="118"/>
        <v>7.2500000000000009E-2</v>
      </c>
      <c r="BA89" s="471">
        <f t="shared" si="119"/>
        <v>0</v>
      </c>
      <c r="BB89" s="471">
        <f t="shared" si="87"/>
        <v>0</v>
      </c>
      <c r="BC89" s="476">
        <f t="shared" si="88"/>
        <v>0</v>
      </c>
      <c r="BD89" s="484">
        <f t="shared" si="89"/>
        <v>0</v>
      </c>
      <c r="BE89" s="474">
        <f t="shared" si="90"/>
        <v>0</v>
      </c>
      <c r="BF89" s="471">
        <f t="shared" si="91"/>
        <v>0</v>
      </c>
      <c r="BG89" s="475">
        <f t="shared" si="92"/>
        <v>8.0000000000000016E-2</v>
      </c>
      <c r="BH89" s="471">
        <f t="shared" si="120"/>
        <v>0</v>
      </c>
      <c r="BI89" s="471">
        <f t="shared" si="93"/>
        <v>0</v>
      </c>
      <c r="BJ89" s="473">
        <f t="shared" si="94"/>
        <v>0</v>
      </c>
      <c r="BK89" s="479">
        <f t="shared" si="121"/>
        <v>0</v>
      </c>
      <c r="BL89" s="480">
        <f t="shared" si="121"/>
        <v>0</v>
      </c>
      <c r="BM89" s="480">
        <f t="shared" si="122"/>
        <v>0</v>
      </c>
      <c r="BN89" s="480">
        <f t="shared" si="122"/>
        <v>0</v>
      </c>
      <c r="BO89" s="480">
        <f t="shared" si="95"/>
        <v>0</v>
      </c>
      <c r="BP89" s="480">
        <f t="shared" si="96"/>
        <v>0</v>
      </c>
      <c r="BQ89" s="480">
        <f t="shared" si="97"/>
        <v>0</v>
      </c>
      <c r="BR89" s="480">
        <f t="shared" si="98"/>
        <v>0</v>
      </c>
      <c r="BS89" s="480">
        <f t="shared" si="99"/>
        <v>0</v>
      </c>
      <c r="BT89" s="480">
        <f t="shared" si="100"/>
        <v>0</v>
      </c>
      <c r="BU89" s="480">
        <f t="shared" si="101"/>
        <v>0</v>
      </c>
      <c r="BV89" s="480">
        <f t="shared" si="102"/>
        <v>0</v>
      </c>
      <c r="BW89" s="41"/>
      <c r="BX89" s="39">
        <f t="shared" si="129"/>
        <v>0</v>
      </c>
      <c r="BY89" s="39">
        <f t="shared" si="130"/>
        <v>0</v>
      </c>
      <c r="BZ89" s="39">
        <f t="shared" si="131"/>
        <v>0</v>
      </c>
      <c r="CA89" s="40"/>
      <c r="CB89" s="40"/>
      <c r="CC89" s="40"/>
    </row>
    <row r="90" spans="1:81" ht="15" hidden="1">
      <c r="A90" s="453">
        <f t="shared" si="103"/>
        <v>81</v>
      </c>
      <c r="B90" s="454" t="s">
        <v>382</v>
      </c>
      <c r="C90" s="492" t="s">
        <v>456</v>
      </c>
      <c r="D90" s="456"/>
      <c r="E90" s="457" t="s">
        <v>381</v>
      </c>
      <c r="F90" s="458"/>
      <c r="G90" s="459">
        <v>3</v>
      </c>
      <c r="H90" s="460">
        <v>3</v>
      </c>
      <c r="I90" s="461" t="s">
        <v>373</v>
      </c>
      <c r="J90" s="462">
        <v>8000</v>
      </c>
      <c r="K90" s="463"/>
      <c r="L90" s="464">
        <v>0</v>
      </c>
      <c r="M90" s="466"/>
      <c r="N90" s="466"/>
      <c r="O90" s="466"/>
      <c r="P90" s="466"/>
      <c r="Q90" s="467">
        <f t="shared" si="112"/>
        <v>8000</v>
      </c>
      <c r="R90" s="483">
        <f t="shared" si="123"/>
        <v>8240</v>
      </c>
      <c r="S90" s="483">
        <f t="shared" si="123"/>
        <v>8487.2000000000007</v>
      </c>
      <c r="T90" s="483">
        <f t="shared" si="123"/>
        <v>8741.8160000000007</v>
      </c>
      <c r="U90" s="483">
        <f t="shared" si="123"/>
        <v>9004.0704800000003</v>
      </c>
      <c r="V90" s="468">
        <f t="shared" si="124"/>
        <v>0</v>
      </c>
      <c r="W90" s="468">
        <f t="shared" si="124"/>
        <v>0</v>
      </c>
      <c r="X90" s="468">
        <f t="shared" si="124"/>
        <v>0</v>
      </c>
      <c r="Y90" s="468">
        <f t="shared" si="124"/>
        <v>0</v>
      </c>
      <c r="Z90" s="468">
        <f t="shared" si="124"/>
        <v>0</v>
      </c>
      <c r="AA90" s="469">
        <f t="shared" si="125"/>
        <v>0</v>
      </c>
      <c r="AB90" s="470">
        <f t="shared" si="73"/>
        <v>0</v>
      </c>
      <c r="AC90" s="471">
        <f t="shared" si="74"/>
        <v>0</v>
      </c>
      <c r="AD90" s="471">
        <f t="shared" si="75"/>
        <v>0</v>
      </c>
      <c r="AE90" s="472">
        <v>0.05</v>
      </c>
      <c r="AF90" s="471">
        <f t="shared" si="113"/>
        <v>0</v>
      </c>
      <c r="AG90" s="471">
        <f t="shared" si="76"/>
        <v>0</v>
      </c>
      <c r="AH90" s="473">
        <f t="shared" si="77"/>
        <v>0</v>
      </c>
      <c r="AI90" s="484">
        <f t="shared" si="78"/>
        <v>0</v>
      </c>
      <c r="AJ90" s="474">
        <f t="shared" si="114"/>
        <v>0</v>
      </c>
      <c r="AK90" s="471">
        <f t="shared" si="79"/>
        <v>0</v>
      </c>
      <c r="AL90" s="475">
        <f t="shared" si="80"/>
        <v>5.7500000000000002E-2</v>
      </c>
      <c r="AM90" s="471">
        <f t="shared" si="115"/>
        <v>0</v>
      </c>
      <c r="AN90" s="471">
        <f t="shared" si="81"/>
        <v>0</v>
      </c>
      <c r="AO90" s="476">
        <f t="shared" si="126"/>
        <v>0</v>
      </c>
      <c r="AP90" s="484">
        <f t="shared" si="127"/>
        <v>0</v>
      </c>
      <c r="AQ90" s="485">
        <f t="shared" si="132"/>
        <v>0</v>
      </c>
      <c r="AR90" s="471">
        <f t="shared" si="82"/>
        <v>0</v>
      </c>
      <c r="AS90" s="475">
        <f t="shared" si="83"/>
        <v>6.5000000000000002E-2</v>
      </c>
      <c r="AT90" s="471">
        <f t="shared" si="116"/>
        <v>0</v>
      </c>
      <c r="AU90" s="471">
        <f t="shared" si="84"/>
        <v>0</v>
      </c>
      <c r="AV90" s="476">
        <f t="shared" si="117"/>
        <v>0</v>
      </c>
      <c r="AW90" s="484">
        <f t="shared" si="128"/>
        <v>0</v>
      </c>
      <c r="AX90" s="485">
        <f t="shared" si="85"/>
        <v>0</v>
      </c>
      <c r="AY90" s="471">
        <f t="shared" si="86"/>
        <v>0</v>
      </c>
      <c r="AZ90" s="475">
        <f t="shared" si="118"/>
        <v>7.2500000000000009E-2</v>
      </c>
      <c r="BA90" s="471">
        <f t="shared" si="119"/>
        <v>0</v>
      </c>
      <c r="BB90" s="471">
        <f t="shared" si="87"/>
        <v>0</v>
      </c>
      <c r="BC90" s="476">
        <f t="shared" si="88"/>
        <v>0</v>
      </c>
      <c r="BD90" s="484">
        <f t="shared" si="89"/>
        <v>0</v>
      </c>
      <c r="BE90" s="474">
        <f t="shared" si="90"/>
        <v>0</v>
      </c>
      <c r="BF90" s="471">
        <f t="shared" si="91"/>
        <v>0</v>
      </c>
      <c r="BG90" s="475">
        <f t="shared" si="92"/>
        <v>8.0000000000000016E-2</v>
      </c>
      <c r="BH90" s="471">
        <f t="shared" si="120"/>
        <v>0</v>
      </c>
      <c r="BI90" s="471">
        <f t="shared" si="93"/>
        <v>0</v>
      </c>
      <c r="BJ90" s="473">
        <f t="shared" si="94"/>
        <v>0</v>
      </c>
      <c r="BK90" s="479">
        <f t="shared" si="121"/>
        <v>0</v>
      </c>
      <c r="BL90" s="480">
        <f t="shared" si="121"/>
        <v>0</v>
      </c>
      <c r="BM90" s="480">
        <f t="shared" si="122"/>
        <v>0</v>
      </c>
      <c r="BN90" s="480">
        <f t="shared" si="122"/>
        <v>0</v>
      </c>
      <c r="BO90" s="480">
        <f t="shared" si="95"/>
        <v>0</v>
      </c>
      <c r="BP90" s="480">
        <f t="shared" si="96"/>
        <v>0</v>
      </c>
      <c r="BQ90" s="480">
        <f t="shared" si="97"/>
        <v>0</v>
      </c>
      <c r="BR90" s="480">
        <f t="shared" si="98"/>
        <v>0</v>
      </c>
      <c r="BS90" s="480">
        <f t="shared" si="99"/>
        <v>0</v>
      </c>
      <c r="BT90" s="480">
        <f t="shared" si="100"/>
        <v>0</v>
      </c>
      <c r="BU90" s="480">
        <f t="shared" si="101"/>
        <v>0</v>
      </c>
      <c r="BV90" s="480">
        <f t="shared" si="102"/>
        <v>0</v>
      </c>
      <c r="BW90" s="41"/>
      <c r="BX90" s="39">
        <f t="shared" si="129"/>
        <v>0</v>
      </c>
      <c r="BY90" s="39">
        <f t="shared" si="130"/>
        <v>0</v>
      </c>
      <c r="BZ90" s="39">
        <f t="shared" si="131"/>
        <v>0</v>
      </c>
      <c r="CA90" s="40"/>
      <c r="CB90" s="40"/>
      <c r="CC90" s="40"/>
    </row>
    <row r="91" spans="1:81" ht="15" hidden="1">
      <c r="A91" s="453">
        <f t="shared" si="103"/>
        <v>82</v>
      </c>
      <c r="B91" s="500" t="s">
        <v>456</v>
      </c>
      <c r="C91" s="492" t="s">
        <v>456</v>
      </c>
      <c r="D91" s="456"/>
      <c r="E91" s="457" t="s">
        <v>381</v>
      </c>
      <c r="F91" s="458"/>
      <c r="G91" s="459">
        <v>3</v>
      </c>
      <c r="H91" s="460">
        <v>3</v>
      </c>
      <c r="I91" s="461" t="s">
        <v>394</v>
      </c>
      <c r="J91" s="462">
        <v>80</v>
      </c>
      <c r="K91" s="489"/>
      <c r="L91" s="464">
        <v>0</v>
      </c>
      <c r="M91" s="466"/>
      <c r="N91" s="466"/>
      <c r="O91" s="466"/>
      <c r="P91" s="466"/>
      <c r="Q91" s="467">
        <f t="shared" si="112"/>
        <v>80</v>
      </c>
      <c r="R91" s="483">
        <f t="shared" si="123"/>
        <v>82.4</v>
      </c>
      <c r="S91" s="483">
        <f t="shared" si="123"/>
        <v>84.872</v>
      </c>
      <c r="T91" s="483">
        <f t="shared" si="123"/>
        <v>87.41816</v>
      </c>
      <c r="U91" s="483">
        <f t="shared" si="123"/>
        <v>90.0407048</v>
      </c>
      <c r="V91" s="468">
        <f t="shared" si="124"/>
        <v>0</v>
      </c>
      <c r="W91" s="468">
        <f t="shared" si="124"/>
        <v>0</v>
      </c>
      <c r="X91" s="468">
        <f t="shared" si="124"/>
        <v>0</v>
      </c>
      <c r="Y91" s="468">
        <f t="shared" si="124"/>
        <v>0</v>
      </c>
      <c r="Z91" s="468">
        <f t="shared" si="124"/>
        <v>0</v>
      </c>
      <c r="AA91" s="469">
        <f t="shared" si="125"/>
        <v>0</v>
      </c>
      <c r="AB91" s="470">
        <f t="shared" si="73"/>
        <v>0</v>
      </c>
      <c r="AC91" s="471">
        <f t="shared" si="74"/>
        <v>0</v>
      </c>
      <c r="AD91" s="471">
        <f t="shared" si="75"/>
        <v>0</v>
      </c>
      <c r="AE91" s="472">
        <v>0.05</v>
      </c>
      <c r="AF91" s="471">
        <f t="shared" si="113"/>
        <v>0</v>
      </c>
      <c r="AG91" s="471">
        <f t="shared" si="76"/>
        <v>0</v>
      </c>
      <c r="AH91" s="473">
        <f t="shared" si="77"/>
        <v>0</v>
      </c>
      <c r="AI91" s="484">
        <f t="shared" si="78"/>
        <v>0</v>
      </c>
      <c r="AJ91" s="474">
        <f t="shared" si="114"/>
        <v>0</v>
      </c>
      <c r="AK91" s="471">
        <f t="shared" si="79"/>
        <v>0</v>
      </c>
      <c r="AL91" s="475">
        <f t="shared" si="80"/>
        <v>5.7500000000000002E-2</v>
      </c>
      <c r="AM91" s="471">
        <f t="shared" si="115"/>
        <v>0</v>
      </c>
      <c r="AN91" s="471">
        <f t="shared" si="81"/>
        <v>0</v>
      </c>
      <c r="AO91" s="476">
        <f t="shared" si="126"/>
        <v>0</v>
      </c>
      <c r="AP91" s="484">
        <f t="shared" si="127"/>
        <v>0</v>
      </c>
      <c r="AQ91" s="485">
        <f t="shared" si="132"/>
        <v>0</v>
      </c>
      <c r="AR91" s="471">
        <f t="shared" si="82"/>
        <v>0</v>
      </c>
      <c r="AS91" s="475">
        <f t="shared" si="83"/>
        <v>6.5000000000000002E-2</v>
      </c>
      <c r="AT91" s="471">
        <f t="shared" si="116"/>
        <v>0</v>
      </c>
      <c r="AU91" s="471">
        <f t="shared" si="84"/>
        <v>0</v>
      </c>
      <c r="AV91" s="476">
        <f t="shared" si="117"/>
        <v>0</v>
      </c>
      <c r="AW91" s="484">
        <f t="shared" si="128"/>
        <v>0</v>
      </c>
      <c r="AX91" s="485">
        <f t="shared" si="85"/>
        <v>0</v>
      </c>
      <c r="AY91" s="471">
        <f t="shared" si="86"/>
        <v>0</v>
      </c>
      <c r="AZ91" s="475">
        <f t="shared" si="118"/>
        <v>7.2500000000000009E-2</v>
      </c>
      <c r="BA91" s="471">
        <f t="shared" si="119"/>
        <v>0</v>
      </c>
      <c r="BB91" s="471">
        <f t="shared" si="87"/>
        <v>0</v>
      </c>
      <c r="BC91" s="476">
        <f t="shared" si="88"/>
        <v>0</v>
      </c>
      <c r="BD91" s="484">
        <f t="shared" si="89"/>
        <v>0</v>
      </c>
      <c r="BE91" s="474">
        <f t="shared" si="90"/>
        <v>0</v>
      </c>
      <c r="BF91" s="471">
        <f t="shared" si="91"/>
        <v>0</v>
      </c>
      <c r="BG91" s="475">
        <f t="shared" si="92"/>
        <v>8.0000000000000016E-2</v>
      </c>
      <c r="BH91" s="471">
        <f t="shared" si="120"/>
        <v>0</v>
      </c>
      <c r="BI91" s="471">
        <f t="shared" si="93"/>
        <v>0</v>
      </c>
      <c r="BJ91" s="473">
        <f t="shared" si="94"/>
        <v>0</v>
      </c>
      <c r="BK91" s="479">
        <f t="shared" si="121"/>
        <v>0</v>
      </c>
      <c r="BL91" s="480">
        <f t="shared" si="121"/>
        <v>0</v>
      </c>
      <c r="BM91" s="480">
        <f t="shared" si="122"/>
        <v>0</v>
      </c>
      <c r="BN91" s="480">
        <f t="shared" si="122"/>
        <v>0</v>
      </c>
      <c r="BO91" s="480">
        <f t="shared" si="95"/>
        <v>0</v>
      </c>
      <c r="BP91" s="480">
        <f t="shared" si="96"/>
        <v>0</v>
      </c>
      <c r="BQ91" s="480">
        <f t="shared" si="97"/>
        <v>0</v>
      </c>
      <c r="BR91" s="480">
        <f t="shared" si="98"/>
        <v>0</v>
      </c>
      <c r="BS91" s="480">
        <f t="shared" si="99"/>
        <v>0</v>
      </c>
      <c r="BT91" s="480">
        <f t="shared" si="100"/>
        <v>0</v>
      </c>
      <c r="BU91" s="480">
        <f t="shared" si="101"/>
        <v>0</v>
      </c>
      <c r="BV91" s="480">
        <f t="shared" si="102"/>
        <v>0</v>
      </c>
      <c r="BW91" s="41"/>
      <c r="BX91" s="39">
        <f t="shared" si="129"/>
        <v>0</v>
      </c>
      <c r="BY91" s="39">
        <f t="shared" si="130"/>
        <v>0</v>
      </c>
      <c r="BZ91" s="39">
        <f t="shared" si="131"/>
        <v>0</v>
      </c>
      <c r="CA91" s="40"/>
      <c r="CB91" s="40"/>
      <c r="CC91" s="40"/>
    </row>
    <row r="92" spans="1:81" ht="15">
      <c r="A92" s="453">
        <f t="shared" si="103"/>
        <v>83</v>
      </c>
      <c r="B92" s="500" t="s">
        <v>456</v>
      </c>
      <c r="C92" s="492" t="s">
        <v>459</v>
      </c>
      <c r="D92" s="456"/>
      <c r="E92" s="457" t="s">
        <v>381</v>
      </c>
      <c r="F92" s="458"/>
      <c r="G92" s="459">
        <v>3</v>
      </c>
      <c r="H92" s="459">
        <v>3</v>
      </c>
      <c r="I92" s="461" t="s">
        <v>373</v>
      </c>
      <c r="J92" s="462">
        <v>300000</v>
      </c>
      <c r="K92" s="489"/>
      <c r="L92" s="464">
        <v>0</v>
      </c>
      <c r="M92" s="466"/>
      <c r="N92" s="466"/>
      <c r="O92" s="466"/>
      <c r="P92" s="466"/>
      <c r="Q92" s="467">
        <f t="shared" si="112"/>
        <v>300000</v>
      </c>
      <c r="R92" s="483">
        <f>Q92*R$3+Q92</f>
        <v>309000</v>
      </c>
      <c r="S92" s="483">
        <f>R92*S$3+R92</f>
        <v>318270</v>
      </c>
      <c r="T92" s="483">
        <f>S92*T$3+S92</f>
        <v>327818.09999999998</v>
      </c>
      <c r="U92" s="483">
        <f>T92*U$3+T92</f>
        <v>337652.64299999998</v>
      </c>
      <c r="V92" s="468">
        <f>Q92*L92</f>
        <v>0</v>
      </c>
      <c r="W92" s="468">
        <f>R92*M92</f>
        <v>0</v>
      </c>
      <c r="X92" s="468">
        <f>S92*N92</f>
        <v>0</v>
      </c>
      <c r="Y92" s="468">
        <f>T92*O92</f>
        <v>0</v>
      </c>
      <c r="Z92" s="468">
        <f>U92*P92</f>
        <v>0</v>
      </c>
      <c r="AA92" s="469">
        <f t="shared" si="125"/>
        <v>0</v>
      </c>
      <c r="AB92" s="470">
        <f t="shared" si="73"/>
        <v>0</v>
      </c>
      <c r="AC92" s="471">
        <f t="shared" si="74"/>
        <v>0</v>
      </c>
      <c r="AD92" s="471">
        <f t="shared" si="75"/>
        <v>0</v>
      </c>
      <c r="AE92" s="472">
        <v>0</v>
      </c>
      <c r="AF92" s="471">
        <f t="shared" si="113"/>
        <v>0</v>
      </c>
      <c r="AG92" s="471">
        <f t="shared" si="76"/>
        <v>0</v>
      </c>
      <c r="AH92" s="473">
        <f t="shared" si="77"/>
        <v>0</v>
      </c>
      <c r="AI92" s="484">
        <f t="shared" si="78"/>
        <v>0</v>
      </c>
      <c r="AJ92" s="474">
        <f t="shared" si="114"/>
        <v>0</v>
      </c>
      <c r="AK92" s="471">
        <f t="shared" si="79"/>
        <v>0</v>
      </c>
      <c r="AL92" s="475">
        <f t="shared" si="80"/>
        <v>0</v>
      </c>
      <c r="AM92" s="471">
        <f t="shared" si="115"/>
        <v>0</v>
      </c>
      <c r="AN92" s="471">
        <f t="shared" si="81"/>
        <v>0</v>
      </c>
      <c r="AO92" s="476">
        <f t="shared" si="126"/>
        <v>0</v>
      </c>
      <c r="AP92" s="484">
        <f t="shared" si="127"/>
        <v>0</v>
      </c>
      <c r="AQ92" s="485">
        <f t="shared" si="132"/>
        <v>0</v>
      </c>
      <c r="AR92" s="471">
        <f t="shared" si="82"/>
        <v>0</v>
      </c>
      <c r="AS92" s="475">
        <f t="shared" si="83"/>
        <v>0</v>
      </c>
      <c r="AT92" s="471">
        <f t="shared" si="116"/>
        <v>0</v>
      </c>
      <c r="AU92" s="471">
        <f t="shared" si="84"/>
        <v>0</v>
      </c>
      <c r="AV92" s="476">
        <f t="shared" si="117"/>
        <v>0</v>
      </c>
      <c r="AW92" s="484">
        <f t="shared" si="128"/>
        <v>0</v>
      </c>
      <c r="AX92" s="485">
        <f t="shared" si="85"/>
        <v>0</v>
      </c>
      <c r="AY92" s="471">
        <f t="shared" si="86"/>
        <v>0</v>
      </c>
      <c r="AZ92" s="475">
        <f t="shared" si="118"/>
        <v>0</v>
      </c>
      <c r="BA92" s="471">
        <f t="shared" si="119"/>
        <v>0</v>
      </c>
      <c r="BB92" s="471">
        <f t="shared" si="87"/>
        <v>0</v>
      </c>
      <c r="BC92" s="476">
        <f t="shared" si="88"/>
        <v>0</v>
      </c>
      <c r="BD92" s="484">
        <f t="shared" si="89"/>
        <v>0</v>
      </c>
      <c r="BE92" s="474">
        <f t="shared" si="90"/>
        <v>0</v>
      </c>
      <c r="BF92" s="471">
        <f t="shared" si="91"/>
        <v>0</v>
      </c>
      <c r="BG92" s="475">
        <f t="shared" si="92"/>
        <v>0</v>
      </c>
      <c r="BH92" s="471">
        <f t="shared" si="120"/>
        <v>0</v>
      </c>
      <c r="BI92" s="471">
        <f t="shared" si="93"/>
        <v>0</v>
      </c>
      <c r="BJ92" s="473">
        <f t="shared" si="94"/>
        <v>0</v>
      </c>
      <c r="BK92" s="479">
        <f>AC92+AJ92+AQ92+AX92+BE92</f>
        <v>0</v>
      </c>
      <c r="BL92" s="480">
        <f>AD92+AK92+AR92+AY92+BF92</f>
        <v>0</v>
      </c>
      <c r="BM92" s="480">
        <f>BH92+BA92+AT92++AM92+AF92</f>
        <v>0</v>
      </c>
      <c r="BN92" s="480">
        <f>BI92+BB92+AU92++AN92+AG92</f>
        <v>0</v>
      </c>
      <c r="BO92" s="480">
        <f t="shared" si="95"/>
        <v>0</v>
      </c>
      <c r="BP92" s="480">
        <f t="shared" si="96"/>
        <v>0</v>
      </c>
      <c r="BQ92" s="480">
        <f t="shared" si="97"/>
        <v>0</v>
      </c>
      <c r="BR92" s="480">
        <f t="shared" si="98"/>
        <v>0</v>
      </c>
      <c r="BS92" s="480">
        <f t="shared" si="99"/>
        <v>0</v>
      </c>
      <c r="BT92" s="480">
        <f t="shared" si="100"/>
        <v>0</v>
      </c>
      <c r="BU92" s="480">
        <f t="shared" si="101"/>
        <v>0</v>
      </c>
      <c r="BV92" s="480">
        <f t="shared" si="102"/>
        <v>0</v>
      </c>
      <c r="BW92" s="41"/>
      <c r="BX92" s="39">
        <f t="shared" si="129"/>
        <v>0</v>
      </c>
      <c r="BY92" s="39">
        <f t="shared" si="130"/>
        <v>0</v>
      </c>
      <c r="BZ92" s="39">
        <f t="shared" si="131"/>
        <v>0</v>
      </c>
      <c r="CA92" s="40" t="s">
        <v>374</v>
      </c>
      <c r="CB92" s="40"/>
      <c r="CC92" s="40"/>
    </row>
    <row r="93" spans="1:81">
      <c r="A93" s="40"/>
      <c r="B93" s="40"/>
      <c r="C93" s="42"/>
      <c r="D93" s="42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9"/>
      <c r="AC93" s="40"/>
      <c r="AD93" s="40"/>
      <c r="AE93" s="5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39">
        <f t="shared" si="129"/>
        <v>0</v>
      </c>
      <c r="BY93" s="39">
        <f t="shared" si="130"/>
        <v>0</v>
      </c>
      <c r="BZ93" s="39">
        <f t="shared" si="131"/>
        <v>0</v>
      </c>
      <c r="CA93" s="40"/>
      <c r="CB93" s="40"/>
      <c r="CC93" s="40"/>
    </row>
    <row r="94" spans="1:81">
      <c r="T94" s="28" t="s">
        <v>460</v>
      </c>
      <c r="U94" s="28">
        <v>1</v>
      </c>
      <c r="V94" s="45">
        <f t="shared" ref="V94:Z99" si="133">SUMIFS(V$10:V$92,$G$10:$G$92,$U94,$E$10:$E$92,$T$95)</f>
        <v>0</v>
      </c>
      <c r="W94" s="45">
        <f t="shared" si="133"/>
        <v>0</v>
      </c>
      <c r="X94" s="45">
        <f t="shared" si="133"/>
        <v>0</v>
      </c>
      <c r="Y94" s="45">
        <f t="shared" si="133"/>
        <v>0</v>
      </c>
      <c r="Z94" s="45">
        <f t="shared" si="133"/>
        <v>0</v>
      </c>
      <c r="AB94" s="51"/>
      <c r="AV94" s="47">
        <f>AV50/3</f>
        <v>0</v>
      </c>
      <c r="BM94" s="28" t="s">
        <v>225</v>
      </c>
      <c r="BP94" s="28" t="s">
        <v>296</v>
      </c>
      <c r="BS94" s="28" t="s">
        <v>297</v>
      </c>
      <c r="BZ94" s="31"/>
    </row>
    <row r="95" spans="1:81">
      <c r="Q95" s="28" t="str">
        <f>A1</f>
        <v>Faridabad</v>
      </c>
      <c r="S95" s="46"/>
      <c r="T95" s="28" t="s">
        <v>372</v>
      </c>
      <c r="U95" s="28">
        <v>2</v>
      </c>
      <c r="V95" s="45">
        <f t="shared" si="133"/>
        <v>0</v>
      </c>
      <c r="W95" s="45">
        <f t="shared" si="133"/>
        <v>0</v>
      </c>
      <c r="X95" s="45">
        <f t="shared" si="133"/>
        <v>0</v>
      </c>
      <c r="Y95" s="45">
        <f t="shared" si="133"/>
        <v>0</v>
      </c>
      <c r="Z95" s="45">
        <f t="shared" si="133"/>
        <v>0</v>
      </c>
      <c r="AB95" s="51"/>
      <c r="AV95" s="47">
        <f>AV94-AQ50</f>
        <v>0</v>
      </c>
      <c r="BZ95" s="31"/>
    </row>
    <row r="96" spans="1:81">
      <c r="Q96" s="28" t="str">
        <f>A3</f>
        <v>Capex</v>
      </c>
      <c r="U96" s="28">
        <v>3</v>
      </c>
      <c r="V96" s="45">
        <f t="shared" si="133"/>
        <v>56000</v>
      </c>
      <c r="W96" s="45">
        <f t="shared" si="133"/>
        <v>0</v>
      </c>
      <c r="X96" s="45">
        <f t="shared" si="133"/>
        <v>0</v>
      </c>
      <c r="Y96" s="45">
        <f t="shared" si="133"/>
        <v>0</v>
      </c>
      <c r="Z96" s="45">
        <f t="shared" si="133"/>
        <v>0</v>
      </c>
      <c r="AB96" s="51"/>
      <c r="BZ96" s="31"/>
    </row>
    <row r="97" spans="10:77">
      <c r="J97" s="28" t="s">
        <v>461</v>
      </c>
      <c r="K97" s="510" t="s">
        <v>330</v>
      </c>
      <c r="L97" s="511" t="s">
        <v>306</v>
      </c>
      <c r="M97" s="511" t="s">
        <v>308</v>
      </c>
      <c r="N97" s="511" t="s">
        <v>313</v>
      </c>
      <c r="O97" s="511" t="s">
        <v>314</v>
      </c>
      <c r="P97" s="512" t="s">
        <v>462</v>
      </c>
      <c r="Q97" s="512" t="s">
        <v>463</v>
      </c>
      <c r="U97" s="28">
        <v>5</v>
      </c>
      <c r="V97" s="45">
        <f t="shared" si="133"/>
        <v>0</v>
      </c>
      <c r="W97" s="45">
        <f t="shared" si="133"/>
        <v>0</v>
      </c>
      <c r="X97" s="45">
        <f t="shared" si="133"/>
        <v>0</v>
      </c>
      <c r="Y97" s="45">
        <f t="shared" si="133"/>
        <v>0</v>
      </c>
      <c r="Z97" s="45">
        <f t="shared" si="133"/>
        <v>0</v>
      </c>
      <c r="BM97" s="28" t="s">
        <v>374</v>
      </c>
      <c r="BN97" s="28" t="s">
        <v>409</v>
      </c>
      <c r="BO97" s="28" t="s">
        <v>464</v>
      </c>
      <c r="BP97" s="28" t="s">
        <v>374</v>
      </c>
      <c r="BQ97" s="28" t="s">
        <v>409</v>
      </c>
      <c r="BR97" s="28" t="s">
        <v>464</v>
      </c>
      <c r="BS97" s="28" t="s">
        <v>374</v>
      </c>
      <c r="BT97" s="28" t="s">
        <v>409</v>
      </c>
      <c r="BU97" s="28" t="s">
        <v>464</v>
      </c>
    </row>
    <row r="98" spans="10:77">
      <c r="K98" s="513" t="s">
        <v>370</v>
      </c>
      <c r="L98" s="514">
        <f>SUMIF($B$10:$B$92,$K98,$AC$10:$AC$92)</f>
        <v>730166.66666666663</v>
      </c>
      <c r="M98" s="514">
        <f t="shared" ref="M98:M103" si="134">SUMIF($B$10:$B$92,$K98,$AD$10:$AD$92)</f>
        <v>340774.79780737113</v>
      </c>
      <c r="N98" s="514">
        <f t="shared" ref="N98:N103" si="135">SUMIF($B$10:$B$92,$K98,$AF$10:$AF$92)</f>
        <v>121555</v>
      </c>
      <c r="O98" s="514">
        <f t="shared" ref="O98:O103" si="136">SUMIF($B$10:$B$92,$K98,$AG$10:$AG$92)</f>
        <v>9118.75</v>
      </c>
      <c r="P98" s="514">
        <f t="shared" ref="P98:P103" si="137">SUM(L98:O98)</f>
        <v>1201615.2144740378</v>
      </c>
      <c r="Q98" s="514">
        <f t="shared" ref="Q98:Q103" si="138">P98/12</f>
        <v>100134.60120616981</v>
      </c>
      <c r="U98" s="28">
        <v>8</v>
      </c>
      <c r="V98" s="45">
        <f t="shared" si="133"/>
        <v>0</v>
      </c>
      <c r="W98" s="45">
        <f t="shared" si="133"/>
        <v>0</v>
      </c>
      <c r="X98" s="45">
        <f t="shared" si="133"/>
        <v>0</v>
      </c>
      <c r="Y98" s="45">
        <f t="shared" si="133"/>
        <v>0</v>
      </c>
      <c r="Z98" s="45">
        <f t="shared" si="133"/>
        <v>0</v>
      </c>
    </row>
    <row r="99" spans="10:77">
      <c r="K99" s="513" t="s">
        <v>382</v>
      </c>
      <c r="L99" s="514">
        <f>SUMIF($B$10:$B$92,$K99,$AC$10:$AC$92)</f>
        <v>18666.666666666668</v>
      </c>
      <c r="M99" s="514">
        <f t="shared" si="134"/>
        <v>4918.589495542531</v>
      </c>
      <c r="N99" s="514">
        <f t="shared" si="135"/>
        <v>2800</v>
      </c>
      <c r="O99" s="514">
        <f t="shared" si="136"/>
        <v>140</v>
      </c>
      <c r="P99" s="514">
        <f t="shared" si="137"/>
        <v>26525.2561622092</v>
      </c>
      <c r="Q99" s="514">
        <f t="shared" si="138"/>
        <v>2210.4380135174333</v>
      </c>
      <c r="U99" s="28">
        <v>10</v>
      </c>
      <c r="V99" s="45">
        <f t="shared" si="133"/>
        <v>0</v>
      </c>
      <c r="W99" s="45">
        <f t="shared" si="133"/>
        <v>0</v>
      </c>
      <c r="X99" s="45">
        <f t="shared" si="133"/>
        <v>0</v>
      </c>
      <c r="Y99" s="45">
        <f t="shared" si="133"/>
        <v>0</v>
      </c>
      <c r="Z99" s="45">
        <f t="shared" si="133"/>
        <v>0</v>
      </c>
      <c r="BM99" s="28">
        <f>SUMIF($CA$10:$CA$92,BM97,$BX$10:$BX$92)</f>
        <v>100850.42382206154</v>
      </c>
      <c r="BN99" s="28">
        <f>SUMIF($CA$10:$CA$92,BN97,$BX$10:$BX$92)</f>
        <v>0</v>
      </c>
      <c r="BO99" s="28">
        <f>SUMIF($CA$10:$CA$92,BO97,$BX$10:$BX$92)</f>
        <v>0</v>
      </c>
      <c r="BP99" s="28">
        <f>SUMIF($CA$10:$CA$92,BP97,$BY$10:$BY$92)</f>
        <v>97253.411674365416</v>
      </c>
      <c r="BQ99" s="28">
        <f>SUMIF($CA$10:$CA$92,BQ97,$BY$10:$BY$92)</f>
        <v>0</v>
      </c>
      <c r="BR99" s="28">
        <f>SUMIF($CA$10:$CA$92,BR97,$BY$10:$BY$92)</f>
        <v>0</v>
      </c>
      <c r="BS99" s="28">
        <f>SUMIF($CA$10:$CA$92,BS97,$BZ$10:$BZ$92)</f>
        <v>93650.429568335967</v>
      </c>
      <c r="BT99" s="28">
        <f>SUMIF($CA$10:$CA$92,BT97,$BZ$10:$BZ$92)</f>
        <v>0</v>
      </c>
      <c r="BU99" s="28">
        <f>SUMIF($CA$10:$CA$92,BU97,$BZ$10:$BZ$92)</f>
        <v>0</v>
      </c>
    </row>
    <row r="100" spans="10:77" ht="15">
      <c r="K100" s="513" t="s">
        <v>198</v>
      </c>
      <c r="L100" s="514"/>
      <c r="M100" s="514">
        <f t="shared" si="134"/>
        <v>0</v>
      </c>
      <c r="N100" s="514">
        <f t="shared" si="135"/>
        <v>0</v>
      </c>
      <c r="O100" s="514">
        <f t="shared" si="136"/>
        <v>0</v>
      </c>
      <c r="P100" s="514">
        <f t="shared" si="137"/>
        <v>0</v>
      </c>
      <c r="Q100" s="514">
        <f t="shared" si="138"/>
        <v>0</v>
      </c>
      <c r="V100" s="45">
        <f>SUM(V94:V99)</f>
        <v>56000</v>
      </c>
      <c r="BM100" s="52">
        <f>BM99/($BM$99+BN99)</f>
        <v>1</v>
      </c>
      <c r="BN100" s="52">
        <f>BN99/(BN99+BM99)</f>
        <v>0</v>
      </c>
      <c r="BO100" s="36"/>
      <c r="BP100" s="52">
        <f>BP99/(BP99+BQ99)</f>
        <v>1</v>
      </c>
      <c r="BQ100" s="52">
        <f>BQ99/(BQ99+BP99)</f>
        <v>0</v>
      </c>
      <c r="BS100" s="52">
        <f>BS99/(BS99+BT99)</f>
        <v>1</v>
      </c>
      <c r="BT100" s="52">
        <f>BT99/(BT99+BS99)</f>
        <v>0</v>
      </c>
      <c r="BX100" s="52"/>
      <c r="BY100" s="52"/>
    </row>
    <row r="101" spans="10:77" ht="15">
      <c r="K101" s="513" t="s">
        <v>436</v>
      </c>
      <c r="L101" s="514"/>
      <c r="M101" s="514">
        <f t="shared" si="134"/>
        <v>0</v>
      </c>
      <c r="N101" s="514">
        <f t="shared" si="135"/>
        <v>0</v>
      </c>
      <c r="O101" s="514">
        <f t="shared" si="136"/>
        <v>0</v>
      </c>
      <c r="P101" s="514">
        <f t="shared" si="137"/>
        <v>0</v>
      </c>
      <c r="Q101" s="514">
        <f t="shared" si="138"/>
        <v>0</v>
      </c>
      <c r="V101" s="47">
        <f>V100-V5</f>
        <v>-3647500</v>
      </c>
      <c r="BM101" s="52"/>
      <c r="BN101" s="52"/>
      <c r="BO101" s="36"/>
      <c r="BP101" s="52"/>
      <c r="BQ101" s="52"/>
      <c r="BS101" s="52"/>
      <c r="BT101" s="52"/>
      <c r="BX101" s="52"/>
      <c r="BY101" s="52"/>
    </row>
    <row r="102" spans="10:77" ht="15">
      <c r="K102" s="513" t="s">
        <v>245</v>
      </c>
      <c r="L102" s="514"/>
      <c r="M102" s="514">
        <f t="shared" si="134"/>
        <v>0</v>
      </c>
      <c r="N102" s="514">
        <f t="shared" si="135"/>
        <v>0</v>
      </c>
      <c r="O102" s="514">
        <f t="shared" si="136"/>
        <v>0</v>
      </c>
      <c r="P102" s="514">
        <f t="shared" si="137"/>
        <v>0</v>
      </c>
      <c r="Q102" s="514">
        <f t="shared" si="138"/>
        <v>0</v>
      </c>
      <c r="V102" s="48"/>
      <c r="W102" s="48"/>
      <c r="X102" s="48"/>
      <c r="BM102" s="28">
        <f>BO99*BM100</f>
        <v>0</v>
      </c>
      <c r="BN102" s="28">
        <f>BN100*BO99</f>
        <v>0</v>
      </c>
      <c r="BO102" s="36"/>
      <c r="BP102" s="28">
        <f>BR99*BP100</f>
        <v>0</v>
      </c>
      <c r="BQ102" s="28">
        <f>BR99*BQ100</f>
        <v>0</v>
      </c>
      <c r="BS102" s="28">
        <f>BU99*BS100</f>
        <v>0</v>
      </c>
      <c r="BT102" s="28">
        <f>BU99*BT100</f>
        <v>0</v>
      </c>
    </row>
    <row r="103" spans="10:77" ht="15">
      <c r="K103" s="513" t="s">
        <v>456</v>
      </c>
      <c r="L103" s="514">
        <f>SUMIF($B$10:$B$92,$K103,$AC$10:$AC$92)</f>
        <v>0</v>
      </c>
      <c r="M103" s="514">
        <f t="shared" si="134"/>
        <v>0</v>
      </c>
      <c r="N103" s="514">
        <f t="shared" si="135"/>
        <v>0</v>
      </c>
      <c r="O103" s="514">
        <f t="shared" si="136"/>
        <v>0</v>
      </c>
      <c r="P103" s="514">
        <f t="shared" si="137"/>
        <v>0</v>
      </c>
      <c r="Q103" s="514">
        <f t="shared" si="138"/>
        <v>0</v>
      </c>
      <c r="T103" s="28" t="s">
        <v>465</v>
      </c>
      <c r="U103" s="28">
        <f>U94</f>
        <v>1</v>
      </c>
      <c r="V103" s="45">
        <f t="shared" ref="V103:Z108" si="139">SUMIFS(V$10:V$92,$G$10:$G$92,$U103,$E$10:$E$92,$T$104)</f>
        <v>0</v>
      </c>
      <c r="W103" s="45">
        <f t="shared" si="139"/>
        <v>0</v>
      </c>
      <c r="X103" s="45">
        <f t="shared" si="139"/>
        <v>0</v>
      </c>
      <c r="Y103" s="45">
        <f t="shared" si="139"/>
        <v>0</v>
      </c>
      <c r="Z103" s="45">
        <f t="shared" si="139"/>
        <v>0</v>
      </c>
      <c r="BM103" s="28">
        <f>BM99+BM102</f>
        <v>100850.42382206154</v>
      </c>
      <c r="BN103" s="28">
        <f>BN99+BN102</f>
        <v>0</v>
      </c>
      <c r="BO103" s="36"/>
      <c r="BP103" s="28">
        <f>BP102+BP99</f>
        <v>97253.411674365416</v>
      </c>
      <c r="BQ103" s="28">
        <f>BQ102+BQ99</f>
        <v>0</v>
      </c>
      <c r="BS103" s="28">
        <f>BS102+BS99</f>
        <v>93650.429568335967</v>
      </c>
      <c r="BT103" s="28">
        <f>BT102+BT99</f>
        <v>0</v>
      </c>
    </row>
    <row r="104" spans="10:77" ht="15">
      <c r="K104"/>
      <c r="L104" s="43">
        <f t="shared" ref="L104:Q104" si="140">SUM(L98:L103)</f>
        <v>748833.33333333326</v>
      </c>
      <c r="M104" s="43">
        <f t="shared" si="140"/>
        <v>345693.38730291364</v>
      </c>
      <c r="N104" s="43">
        <f t="shared" si="140"/>
        <v>124355</v>
      </c>
      <c r="O104" s="43">
        <f t="shared" si="140"/>
        <v>9258.75</v>
      </c>
      <c r="P104" s="43">
        <f t="shared" si="140"/>
        <v>1228140.470636247</v>
      </c>
      <c r="Q104" s="43">
        <f t="shared" si="140"/>
        <v>102345.03921968724</v>
      </c>
      <c r="T104" s="28" t="s">
        <v>381</v>
      </c>
      <c r="U104" s="28">
        <f t="shared" ref="U104:U108" si="141">U95</f>
        <v>2</v>
      </c>
      <c r="V104" s="45">
        <f t="shared" si="139"/>
        <v>0</v>
      </c>
      <c r="W104" s="45">
        <f t="shared" si="139"/>
        <v>0</v>
      </c>
      <c r="X104" s="45">
        <f t="shared" si="139"/>
        <v>0</v>
      </c>
      <c r="Y104" s="45">
        <f t="shared" si="139"/>
        <v>0</v>
      </c>
      <c r="Z104" s="45">
        <f t="shared" si="139"/>
        <v>0</v>
      </c>
    </row>
    <row r="105" spans="10:77" ht="15">
      <c r="K105"/>
      <c r="L105" s="44" t="b">
        <f>L104=G3</f>
        <v>1</v>
      </c>
      <c r="M105" s="28" t="b">
        <f>M104=G4</f>
        <v>1</v>
      </c>
      <c r="N105" s="28" t="b">
        <f>N104=G5</f>
        <v>1</v>
      </c>
      <c r="O105" s="28" t="b">
        <f>O104=G6</f>
        <v>1</v>
      </c>
      <c r="P105" s="28" t="b">
        <f>P104=G7</f>
        <v>1</v>
      </c>
      <c r="Q105" s="28" t="b">
        <f>Q104=G8</f>
        <v>1</v>
      </c>
      <c r="U105" s="28">
        <f t="shared" si="141"/>
        <v>3</v>
      </c>
      <c r="V105" s="45">
        <f>SUMIFS(V$10:V$92,$G$10:$G$92,$U105,$E$10:$E$92,$T$104)-V92</f>
        <v>5000</v>
      </c>
      <c r="W105" s="45">
        <f t="shared" si="139"/>
        <v>0</v>
      </c>
      <c r="X105" s="45">
        <f t="shared" si="139"/>
        <v>0</v>
      </c>
      <c r="Y105" s="45">
        <f t="shared" si="139"/>
        <v>0</v>
      </c>
      <c r="Z105" s="45">
        <f t="shared" si="139"/>
        <v>0</v>
      </c>
    </row>
    <row r="106" spans="10:77" ht="15">
      <c r="K106"/>
      <c r="U106" s="28">
        <f t="shared" si="141"/>
        <v>5</v>
      </c>
      <c r="V106" s="45">
        <f>SUMIFS(V$10:V$92,$G$10:$G$92,$U106,$E$10:$E$92,$T$104)</f>
        <v>3642500</v>
      </c>
      <c r="W106" s="45">
        <f t="shared" si="139"/>
        <v>0</v>
      </c>
      <c r="X106" s="45">
        <f t="shared" si="139"/>
        <v>0</v>
      </c>
      <c r="Y106" s="45">
        <f t="shared" si="139"/>
        <v>0</v>
      </c>
      <c r="Z106" s="45">
        <f t="shared" si="139"/>
        <v>0</v>
      </c>
    </row>
    <row r="107" spans="10:77" ht="15">
      <c r="K107"/>
      <c r="U107" s="28">
        <f t="shared" si="141"/>
        <v>8</v>
      </c>
      <c r="V107" s="45">
        <f>SUMIFS(V$10:V$92,$G$10:$G$92,$U107,$E$10:$E$92,$T$104)</f>
        <v>0</v>
      </c>
      <c r="W107" s="45">
        <f t="shared" si="139"/>
        <v>0</v>
      </c>
      <c r="X107" s="45">
        <f t="shared" si="139"/>
        <v>0</v>
      </c>
      <c r="Y107" s="45">
        <f t="shared" si="139"/>
        <v>0</v>
      </c>
      <c r="Z107" s="45">
        <f t="shared" si="139"/>
        <v>0</v>
      </c>
    </row>
    <row r="108" spans="10:77" ht="15">
      <c r="K108"/>
      <c r="U108" s="28">
        <f t="shared" si="141"/>
        <v>10</v>
      </c>
      <c r="V108" s="45">
        <f>SUMIFS(V$10:V$92,$G$10:$G$92,$U108,$E$10:$E$92,$T$104)</f>
        <v>0</v>
      </c>
      <c r="W108" s="45">
        <f t="shared" si="139"/>
        <v>0</v>
      </c>
      <c r="X108" s="45">
        <f t="shared" si="139"/>
        <v>0</v>
      </c>
      <c r="Y108" s="45">
        <f t="shared" si="139"/>
        <v>0</v>
      </c>
      <c r="Z108" s="45">
        <f t="shared" si="139"/>
        <v>0</v>
      </c>
    </row>
    <row r="109" spans="10:77" ht="15">
      <c r="K109"/>
      <c r="V109" s="45">
        <f>SUM(V103:V108)</f>
        <v>3647500</v>
      </c>
    </row>
    <row r="110" spans="10:77" ht="15">
      <c r="K110"/>
      <c r="V110" s="47"/>
    </row>
    <row r="111" spans="10:77" ht="15">
      <c r="K111"/>
      <c r="V111" s="47">
        <f>V5-V109-V100</f>
        <v>0</v>
      </c>
      <c r="W111" s="29" t="s">
        <v>466</v>
      </c>
    </row>
    <row r="112" spans="10:77" ht="15">
      <c r="K112"/>
    </row>
    <row r="113" spans="11:11" ht="15">
      <c r="K113"/>
    </row>
    <row r="114" spans="11:11" ht="15">
      <c r="K114"/>
    </row>
    <row r="115" spans="11:11" ht="15">
      <c r="K115"/>
    </row>
    <row r="116" spans="11:11" ht="15">
      <c r="K116"/>
    </row>
    <row r="117" spans="11:11" ht="15">
      <c r="K117"/>
    </row>
    <row r="118" spans="11:11" ht="15">
      <c r="K118"/>
    </row>
    <row r="119" spans="11:11" ht="15">
      <c r="K119"/>
    </row>
    <row r="120" spans="11:11" ht="15">
      <c r="K120"/>
    </row>
    <row r="121" spans="11:11" ht="15">
      <c r="K121"/>
    </row>
    <row r="122" spans="11:11" ht="15">
      <c r="K122"/>
    </row>
    <row r="123" spans="11:11" ht="15">
      <c r="K123"/>
    </row>
    <row r="124" spans="11:11" ht="15">
      <c r="K124"/>
    </row>
    <row r="125" spans="11:11" ht="15">
      <c r="K125"/>
    </row>
    <row r="126" spans="11:11" ht="15">
      <c r="K126"/>
    </row>
    <row r="127" spans="11:11" ht="15">
      <c r="K127"/>
    </row>
    <row r="128" spans="11:11" ht="15">
      <c r="K128"/>
    </row>
    <row r="129" spans="11:11" ht="15">
      <c r="K129"/>
    </row>
    <row r="130" spans="11:11" ht="15">
      <c r="K130"/>
    </row>
    <row r="131" spans="11:11" ht="15">
      <c r="K131"/>
    </row>
    <row r="132" spans="11:11" ht="15">
      <c r="K132"/>
    </row>
    <row r="133" spans="11:11" ht="15">
      <c r="K133"/>
    </row>
    <row r="134" spans="11:11" ht="15">
      <c r="K134"/>
    </row>
    <row r="135" spans="11:11" ht="15">
      <c r="K135"/>
    </row>
    <row r="136" spans="11:11" ht="15">
      <c r="K136"/>
    </row>
    <row r="137" spans="11:11" ht="15">
      <c r="K137"/>
    </row>
    <row r="138" spans="11:11" ht="15">
      <c r="K138"/>
    </row>
    <row r="139" spans="11:11" ht="15">
      <c r="K139"/>
    </row>
    <row r="140" spans="11:11" ht="15">
      <c r="K140"/>
    </row>
    <row r="141" spans="11:11" ht="15">
      <c r="K141"/>
    </row>
    <row r="142" spans="11:11" ht="15">
      <c r="K142"/>
    </row>
    <row r="143" spans="11:11" ht="15">
      <c r="K143"/>
    </row>
    <row r="144" spans="11:11" ht="15">
      <c r="K144"/>
    </row>
    <row r="145" spans="11:11" ht="15">
      <c r="K145"/>
    </row>
    <row r="146" spans="11:11" ht="15">
      <c r="K146"/>
    </row>
    <row r="147" spans="11:11" ht="15">
      <c r="K147"/>
    </row>
    <row r="148" spans="11:11" ht="15">
      <c r="K148"/>
    </row>
    <row r="149" spans="11:11" ht="15">
      <c r="K149"/>
    </row>
    <row r="150" spans="11:11" ht="15">
      <c r="K150"/>
    </row>
    <row r="151" spans="11:11" ht="15">
      <c r="K151"/>
    </row>
    <row r="152" spans="11:11" ht="15">
      <c r="K152"/>
    </row>
    <row r="153" spans="11:11" ht="15">
      <c r="K153"/>
    </row>
    <row r="154" spans="11:11" ht="15">
      <c r="K154"/>
    </row>
    <row r="155" spans="11:11" ht="15">
      <c r="K155"/>
    </row>
    <row r="156" spans="11:11" ht="15">
      <c r="K156"/>
    </row>
    <row r="157" spans="11:11" ht="15">
      <c r="K157"/>
    </row>
    <row r="158" spans="11:11" ht="15">
      <c r="K158"/>
    </row>
    <row r="159" spans="11:11" ht="15">
      <c r="K159"/>
    </row>
    <row r="160" spans="11:11" ht="15">
      <c r="K160"/>
    </row>
    <row r="161" spans="11:11" ht="15">
      <c r="K161"/>
    </row>
    <row r="162" spans="11:11" ht="15">
      <c r="K162"/>
    </row>
    <row r="163" spans="11:11" ht="15">
      <c r="K163"/>
    </row>
    <row r="164" spans="11:11" ht="15">
      <c r="K164"/>
    </row>
    <row r="165" spans="11:11" ht="15">
      <c r="K165"/>
    </row>
    <row r="166" spans="11:11" ht="15">
      <c r="K166"/>
    </row>
    <row r="167" spans="11:11" ht="15">
      <c r="K167"/>
    </row>
    <row r="168" spans="11:11" ht="15">
      <c r="K168"/>
    </row>
    <row r="169" spans="11:11" ht="15">
      <c r="K169"/>
    </row>
    <row r="170" spans="11:11" ht="15">
      <c r="K170"/>
    </row>
    <row r="171" spans="11:11" ht="15">
      <c r="K171"/>
    </row>
    <row r="172" spans="11:11" ht="15">
      <c r="K172"/>
    </row>
    <row r="173" spans="11:11" ht="15">
      <c r="K173"/>
    </row>
    <row r="174" spans="11:11" ht="15">
      <c r="K174"/>
    </row>
    <row r="175" spans="11:11" ht="15">
      <c r="K175"/>
    </row>
    <row r="176" spans="11:11" ht="15">
      <c r="K176"/>
    </row>
    <row r="177" spans="11:11" ht="15">
      <c r="K177"/>
    </row>
    <row r="178" spans="11:11" ht="15">
      <c r="K178"/>
    </row>
    <row r="179" spans="11:11" ht="15">
      <c r="K179"/>
    </row>
    <row r="180" spans="11:11" ht="15">
      <c r="K180"/>
    </row>
    <row r="181" spans="11:11" ht="15">
      <c r="K181"/>
    </row>
    <row r="182" spans="11:11" ht="15">
      <c r="K182"/>
    </row>
    <row r="183" spans="11:11" ht="15">
      <c r="K183"/>
    </row>
  </sheetData>
  <autoFilter ref="A9:BV92" xr:uid="{00000000-0001-0000-1400-000000000000}">
    <filterColumn colId="11">
      <filters>
        <filter val="1"/>
        <filter val="1.0"/>
        <filter val="1.00"/>
        <filter val="10.0"/>
        <filter val="100"/>
        <filter val="15"/>
        <filter val="2,150"/>
        <filter val="2.00"/>
        <filter val="26.00"/>
        <filter val="3,000.00"/>
        <filter val="3.0"/>
        <filter val="3.00"/>
        <filter val="4"/>
        <filter val="4.00"/>
        <filter val="40.00"/>
        <filter val="42.00"/>
        <filter val="5"/>
        <filter val="5.0"/>
        <filter val="5.00"/>
        <filter val="63,000"/>
        <filter val="7.00"/>
      </filters>
    </filterColumn>
  </autoFilter>
  <mergeCells count="11">
    <mergeCell ref="A3:A4"/>
    <mergeCell ref="L4:P4"/>
    <mergeCell ref="Q4:U4"/>
    <mergeCell ref="V4:Z4"/>
    <mergeCell ref="BK4:BT4"/>
    <mergeCell ref="BD2:BJ2"/>
    <mergeCell ref="A1:A2"/>
    <mergeCell ref="AB2:AH2"/>
    <mergeCell ref="AI2:AO2"/>
    <mergeCell ref="AP2:AV2"/>
    <mergeCell ref="AW2:BC2"/>
  </mergeCells>
  <conditionalFormatting sqref="H2:I6 J3:K6">
    <cfRule type="cellIs" dxfId="10" priority="7" stopIfTrue="1" operator="greaterThan">
      <formula>0</formula>
    </cfRule>
  </conditionalFormatting>
  <conditionalFormatting sqref="J2:J3">
    <cfRule type="cellIs" dxfId="9" priority="4" stopIfTrue="1" operator="greaterThan">
      <formula>0</formula>
    </cfRule>
  </conditionalFormatting>
  <conditionalFormatting sqref="K2:K6">
    <cfRule type="cellIs" dxfId="8" priority="3" stopIfTrue="1" operator="greaterThan">
      <formula>0</formula>
    </cfRule>
  </conditionalFormatting>
  <conditionalFormatting sqref="AA2:AA4 G2:G8 H7:K8">
    <cfRule type="cellIs" dxfId="7" priority="8" stopIfTrue="1" operator="greaterThan">
      <formula>0</formula>
    </cfRule>
  </conditionalFormatting>
  <conditionalFormatting sqref="AA9:AA92">
    <cfRule type="cellIs" dxfId="6" priority="2" stopIfTrue="1" operator="greaterThan">
      <formula>0</formula>
    </cfRule>
  </conditionalFormatting>
  <conditionalFormatting sqref="AB2 BK2:BT3 BK4">
    <cfRule type="cellIs" dxfId="5" priority="11" stopIfTrue="1" operator="greaterThan">
      <formula>0</formula>
    </cfRule>
  </conditionalFormatting>
  <conditionalFormatting sqref="AI2">
    <cfRule type="cellIs" dxfId="4" priority="5" stopIfTrue="1" operator="greaterThan">
      <formula>0</formula>
    </cfRule>
  </conditionalFormatting>
  <conditionalFormatting sqref="AP2">
    <cfRule type="cellIs" dxfId="3" priority="9" stopIfTrue="1" operator="greaterThan">
      <formula>0</formula>
    </cfRule>
  </conditionalFormatting>
  <conditionalFormatting sqref="AW2">
    <cfRule type="cellIs" dxfId="2" priority="6" stopIfTrue="1" operator="greaterThan">
      <formula>0</formula>
    </cfRule>
  </conditionalFormatting>
  <conditionalFormatting sqref="BD2">
    <cfRule type="cellIs" dxfId="1" priority="10" stopIfTrue="1" operator="greaterThan">
      <formula>0</formula>
    </cfRule>
  </conditionalFormatting>
  <conditionalFormatting sqref="BR5:BR92 BT9:BT92 BV9:BV92">
    <cfRule type="cellIs" dxfId="0" priority="1" stopIfTrue="1" operator="notEqual">
      <formula>0</formula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"/>
  <sheetViews>
    <sheetView workbookViewId="0">
      <selection activeCell="F12" sqref="F12"/>
    </sheetView>
  </sheetViews>
  <sheetFormatPr defaultColWidth="9.125" defaultRowHeight="15"/>
  <cols>
    <col min="1" max="1" width="17.875" style="3" customWidth="1"/>
    <col min="2" max="2" width="16.75" style="3" customWidth="1"/>
    <col min="3" max="3" width="15.125" style="3" customWidth="1"/>
    <col min="4" max="9" width="9.125" style="3"/>
    <col min="10" max="10" width="13.25" style="3" customWidth="1"/>
    <col min="11" max="16384" width="9.125" style="3"/>
  </cols>
  <sheetData>
    <row r="1" spans="1:3">
      <c r="B1" s="610" t="s">
        <v>169</v>
      </c>
    </row>
    <row r="2" spans="1:3">
      <c r="B2" s="611" t="s">
        <v>113</v>
      </c>
    </row>
    <row r="3" spans="1:3">
      <c r="A3" s="612" t="s">
        <v>248</v>
      </c>
      <c r="B3" s="520" t="s">
        <v>112</v>
      </c>
    </row>
    <row r="4" spans="1:3">
      <c r="A4" s="613" t="s">
        <v>545</v>
      </c>
      <c r="B4" s="614">
        <f>SPACEWORK!C37</f>
        <v>73250</v>
      </c>
    </row>
    <row r="5" spans="1:3">
      <c r="A5" s="613" t="s">
        <v>546</v>
      </c>
      <c r="B5" s="615">
        <v>0</v>
      </c>
    </row>
    <row r="6" spans="1:3">
      <c r="A6" s="613" t="s">
        <v>547</v>
      </c>
      <c r="B6" s="615">
        <v>0</v>
      </c>
    </row>
    <row r="7" spans="1:3">
      <c r="A7" s="613" t="s">
        <v>548</v>
      </c>
      <c r="B7" s="615">
        <v>0</v>
      </c>
    </row>
    <row r="8" spans="1:3">
      <c r="A8" s="613" t="s">
        <v>549</v>
      </c>
      <c r="B8" s="615">
        <f>SUM(B4:B7)</f>
        <v>73250</v>
      </c>
    </row>
    <row r="9" spans="1:3">
      <c r="A9" s="613" t="s">
        <v>550</v>
      </c>
      <c r="B9" s="616">
        <f>ROUNDUP(B8*(1+C9),-3)</f>
        <v>81000</v>
      </c>
      <c r="C9" s="91">
        <v>0.1</v>
      </c>
    </row>
    <row r="10" spans="1:3">
      <c r="A10" s="613" t="s">
        <v>551</v>
      </c>
      <c r="B10" s="616"/>
    </row>
    <row r="11" spans="1:3">
      <c r="A11" s="617" t="s">
        <v>552</v>
      </c>
      <c r="B11" s="618">
        <v>22</v>
      </c>
    </row>
    <row r="12" spans="1:3">
      <c r="A12" s="619" t="s">
        <v>553</v>
      </c>
      <c r="B12" s="620">
        <f>B9*B11</f>
        <v>1782000</v>
      </c>
    </row>
    <row r="13" spans="1:3">
      <c r="A13" s="613" t="s">
        <v>554</v>
      </c>
      <c r="B13" s="621">
        <f>B12*C13</f>
        <v>5346000</v>
      </c>
      <c r="C13" s="3">
        <v>3</v>
      </c>
    </row>
    <row r="14" spans="1:3">
      <c r="A14" s="613" t="s">
        <v>555</v>
      </c>
      <c r="B14" s="622">
        <f>B13*10%/12</f>
        <v>44550</v>
      </c>
    </row>
    <row r="15" spans="1:3">
      <c r="A15" s="613" t="s">
        <v>556</v>
      </c>
      <c r="B15" s="622">
        <f>B11*B9*2%</f>
        <v>35640</v>
      </c>
    </row>
    <row r="16" spans="1:3">
      <c r="A16" s="619" t="s">
        <v>557</v>
      </c>
      <c r="B16" s="620">
        <f>B12+B14+B15</f>
        <v>1862190</v>
      </c>
    </row>
    <row r="17" spans="1:2">
      <c r="A17" s="92"/>
      <c r="B17" s="93">
        <f>B16/B9</f>
        <v>22.99</v>
      </c>
    </row>
  </sheetData>
  <dataValidations count="1">
    <dataValidation type="list" allowBlank="1" showInputMessage="1" showErrorMessage="1" sqref="B1" xr:uid="{00000000-0002-0000-0D00-000000000000}">
      <formula1>"MUF, Dedicated"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955E-1EB0-4132-934E-396CA7F4A36D}">
  <dimension ref="B1:K28"/>
  <sheetViews>
    <sheetView workbookViewId="0">
      <selection activeCell="C7" sqref="C7"/>
    </sheetView>
  </sheetViews>
  <sheetFormatPr defaultRowHeight="15"/>
  <cols>
    <col min="2" max="2" width="28.875" bestFit="1" customWidth="1"/>
    <col min="6" max="6" width="23.625" customWidth="1"/>
  </cols>
  <sheetData>
    <row r="1" spans="2:11">
      <c r="H1" t="s">
        <v>175</v>
      </c>
      <c r="I1" t="s">
        <v>558</v>
      </c>
      <c r="J1" t="s">
        <v>214</v>
      </c>
      <c r="K1" s="299" t="s">
        <v>559</v>
      </c>
    </row>
    <row r="2" spans="2:11">
      <c r="B2" t="s">
        <v>63</v>
      </c>
      <c r="F2" t="s">
        <v>560</v>
      </c>
      <c r="G2" t="s">
        <v>133</v>
      </c>
      <c r="H2">
        <v>350</v>
      </c>
      <c r="I2">
        <f>C6+C9+C12</f>
        <v>7150</v>
      </c>
      <c r="J2">
        <f>'Plan Base'!D40</f>
        <v>21</v>
      </c>
      <c r="K2">
        <f>40*1.25</f>
        <v>50</v>
      </c>
    </row>
    <row r="3" spans="2:11">
      <c r="B3" t="s">
        <v>561</v>
      </c>
      <c r="C3">
        <f>350-C13</f>
        <v>200</v>
      </c>
      <c r="F3" t="s">
        <v>562</v>
      </c>
      <c r="G3" s="116">
        <v>0.2</v>
      </c>
      <c r="H3">
        <f>H2*G3</f>
        <v>70</v>
      </c>
      <c r="I3">
        <f>I2*G3</f>
        <v>1430</v>
      </c>
      <c r="J3">
        <f>$J$2*G3</f>
        <v>4.2</v>
      </c>
      <c r="K3">
        <f>$K$2*G3</f>
        <v>10</v>
      </c>
    </row>
    <row r="4" spans="2:11">
      <c r="B4" t="s">
        <v>563</v>
      </c>
      <c r="C4">
        <v>26</v>
      </c>
      <c r="F4" t="s">
        <v>564</v>
      </c>
      <c r="G4" s="116">
        <v>0.7</v>
      </c>
      <c r="H4">
        <f>H2*G4</f>
        <v>244.99999999999997</v>
      </c>
      <c r="I4">
        <f>I2*G4</f>
        <v>5005</v>
      </c>
      <c r="J4">
        <f>$J$2*G4</f>
        <v>14.7</v>
      </c>
      <c r="K4">
        <f>$K$2*G4</f>
        <v>35</v>
      </c>
    </row>
    <row r="5" spans="2:11">
      <c r="B5" t="s">
        <v>565</v>
      </c>
      <c r="C5">
        <f>C6*C4</f>
        <v>156000</v>
      </c>
      <c r="F5" t="s">
        <v>566</v>
      </c>
      <c r="G5" s="116">
        <v>0.1</v>
      </c>
      <c r="H5">
        <f>H2*G5</f>
        <v>35</v>
      </c>
      <c r="I5">
        <f>I2*G5</f>
        <v>715</v>
      </c>
      <c r="J5">
        <f>$J$2*G5</f>
        <v>2.1</v>
      </c>
      <c r="K5">
        <f>$K$2*G5</f>
        <v>5</v>
      </c>
    </row>
    <row r="6" spans="2:11">
      <c r="B6" t="s">
        <v>567</v>
      </c>
      <c r="C6">
        <v>6000</v>
      </c>
      <c r="D6" s="116">
        <f>6000/7000</f>
        <v>0.8571428571428571</v>
      </c>
    </row>
    <row r="7" spans="2:11">
      <c r="B7" t="s">
        <v>568</v>
      </c>
      <c r="C7" s="4">
        <f>C3*D6</f>
        <v>171.42857142857142</v>
      </c>
      <c r="D7">
        <f>C6/C7</f>
        <v>35</v>
      </c>
      <c r="H7" t="s">
        <v>175</v>
      </c>
      <c r="I7" t="s">
        <v>558</v>
      </c>
      <c r="J7" t="s">
        <v>214</v>
      </c>
      <c r="K7" s="299" t="s">
        <v>559</v>
      </c>
    </row>
    <row r="8" spans="2:11">
      <c r="B8" t="s">
        <v>569</v>
      </c>
      <c r="C8">
        <f>C4*C9</f>
        <v>26000</v>
      </c>
      <c r="F8" s="299" t="s">
        <v>570</v>
      </c>
      <c r="G8" t="s">
        <v>133</v>
      </c>
      <c r="H8">
        <v>350</v>
      </c>
      <c r="I8">
        <f>C21+C24+C27</f>
        <v>4000</v>
      </c>
      <c r="J8">
        <v>12</v>
      </c>
      <c r="K8">
        <f>40*1.25</f>
        <v>50</v>
      </c>
    </row>
    <row r="9" spans="2:11">
      <c r="B9" t="s">
        <v>571</v>
      </c>
      <c r="C9">
        <v>1000</v>
      </c>
      <c r="D9" s="116">
        <f>1000/7000</f>
        <v>0.14285714285714285</v>
      </c>
      <c r="F9" t="s">
        <v>562</v>
      </c>
      <c r="G9" s="116">
        <v>0.1</v>
      </c>
      <c r="H9">
        <f>H8*G9</f>
        <v>35</v>
      </c>
      <c r="I9">
        <f>I8*G9</f>
        <v>400</v>
      </c>
      <c r="J9">
        <f>$J$8*G9</f>
        <v>1.2000000000000002</v>
      </c>
      <c r="K9">
        <f>$K$2*G9</f>
        <v>5</v>
      </c>
    </row>
    <row r="10" spans="2:11">
      <c r="B10" t="s">
        <v>572</v>
      </c>
      <c r="C10" s="4">
        <f>C3*D9</f>
        <v>28.571428571428569</v>
      </c>
      <c r="D10">
        <f>C9/C10</f>
        <v>35</v>
      </c>
      <c r="F10" t="s">
        <v>564</v>
      </c>
      <c r="G10" s="116">
        <v>0.7</v>
      </c>
      <c r="H10">
        <f>H8*G10</f>
        <v>244.99999999999997</v>
      </c>
      <c r="I10">
        <f>I8*G10</f>
        <v>2800</v>
      </c>
      <c r="J10">
        <f>$J$8*G10</f>
        <v>8.3999999999999986</v>
      </c>
      <c r="K10">
        <f>$K$2*G10</f>
        <v>35</v>
      </c>
    </row>
    <row r="11" spans="2:11">
      <c r="B11" t="s">
        <v>573</v>
      </c>
      <c r="C11">
        <f>C4*C12</f>
        <v>3900</v>
      </c>
      <c r="F11" t="s">
        <v>566</v>
      </c>
      <c r="G11" s="116">
        <v>0.2</v>
      </c>
      <c r="H11">
        <f>H8*G11</f>
        <v>70</v>
      </c>
      <c r="I11">
        <f>I8*G11</f>
        <v>800</v>
      </c>
      <c r="J11">
        <f>$J$8*G11</f>
        <v>2.4000000000000004</v>
      </c>
      <c r="K11">
        <f>$K$2*G11</f>
        <v>10</v>
      </c>
    </row>
    <row r="12" spans="2:11">
      <c r="B12" t="s">
        <v>574</v>
      </c>
      <c r="C12">
        <v>150</v>
      </c>
      <c r="D12" s="116"/>
    </row>
    <row r="13" spans="2:11">
      <c r="B13" t="s">
        <v>574</v>
      </c>
      <c r="C13">
        <v>150</v>
      </c>
    </row>
    <row r="14" spans="2:11">
      <c r="F14">
        <f>6000/40</f>
        <v>150</v>
      </c>
    </row>
    <row r="15" spans="2:11">
      <c r="B15" t="s">
        <v>575</v>
      </c>
      <c r="C15">
        <f>350-C28</f>
        <v>200</v>
      </c>
    </row>
    <row r="16" spans="2:11">
      <c r="B16" t="s">
        <v>563</v>
      </c>
      <c r="C16">
        <v>26</v>
      </c>
      <c r="F16" s="298">
        <f>6000/172</f>
        <v>34.883720930232556</v>
      </c>
    </row>
    <row r="17" spans="2:10">
      <c r="B17" t="s">
        <v>576</v>
      </c>
      <c r="C17">
        <v>60</v>
      </c>
      <c r="D17" t="s">
        <v>149</v>
      </c>
      <c r="I17">
        <f>7000</f>
        <v>7000</v>
      </c>
    </row>
    <row r="18" spans="2:10">
      <c r="B18" t="s">
        <v>577</v>
      </c>
      <c r="C18">
        <v>15</v>
      </c>
      <c r="I18">
        <v>15</v>
      </c>
    </row>
    <row r="19" spans="2:10">
      <c r="B19" t="s">
        <v>578</v>
      </c>
      <c r="C19">
        <f>(C17/C18)*1000-150</f>
        <v>3850</v>
      </c>
      <c r="E19">
        <f>2100*26</f>
        <v>54600</v>
      </c>
      <c r="F19">
        <f>E19*15</f>
        <v>819000</v>
      </c>
      <c r="I19">
        <f>I17*I18</f>
        <v>105000</v>
      </c>
    </row>
    <row r="20" spans="2:10">
      <c r="B20" t="s">
        <v>579</v>
      </c>
      <c r="C20">
        <f>C21*C16</f>
        <v>85800</v>
      </c>
      <c r="E20">
        <f>E19/34</f>
        <v>1605.8823529411766</v>
      </c>
      <c r="F20">
        <f>F19/600</f>
        <v>1365</v>
      </c>
      <c r="I20">
        <f>I19/600</f>
        <v>175</v>
      </c>
      <c r="J20">
        <f>600/15</f>
        <v>40</v>
      </c>
    </row>
    <row r="21" spans="2:10">
      <c r="B21" t="s">
        <v>567</v>
      </c>
      <c r="C21">
        <f>ROUNDUP(C19*D21,0)</f>
        <v>3300</v>
      </c>
      <c r="D21" s="116">
        <f>6000/7000</f>
        <v>0.8571428571428571</v>
      </c>
    </row>
    <row r="22" spans="2:10">
      <c r="B22" t="s">
        <v>568</v>
      </c>
      <c r="C22" s="4">
        <f>C15*D21</f>
        <v>171.42857142857142</v>
      </c>
      <c r="E22">
        <v>14</v>
      </c>
      <c r="F22">
        <v>34</v>
      </c>
      <c r="G22">
        <f>F22*8000</f>
        <v>272000</v>
      </c>
    </row>
    <row r="23" spans="2:10">
      <c r="B23" t="s">
        <v>580</v>
      </c>
      <c r="C23">
        <f>C16*C24</f>
        <v>14300</v>
      </c>
      <c r="E23">
        <f>8000/14</f>
        <v>571.42857142857144</v>
      </c>
    </row>
    <row r="24" spans="2:10">
      <c r="B24" t="s">
        <v>571</v>
      </c>
      <c r="C24">
        <f>C19*D24</f>
        <v>550</v>
      </c>
      <c r="D24" s="116">
        <f>1000/7000</f>
        <v>0.14285714285714285</v>
      </c>
    </row>
    <row r="25" spans="2:10">
      <c r="B25" t="s">
        <v>572</v>
      </c>
      <c r="C25" s="4">
        <f>C15*D24</f>
        <v>28.571428571428569</v>
      </c>
    </row>
    <row r="26" spans="2:10">
      <c r="B26" t="s">
        <v>581</v>
      </c>
      <c r="C26">
        <f>C16*C27</f>
        <v>3900</v>
      </c>
    </row>
    <row r="27" spans="2:10">
      <c r="B27" t="s">
        <v>574</v>
      </c>
      <c r="C27">
        <v>150</v>
      </c>
      <c r="D27" s="116"/>
    </row>
    <row r="28" spans="2:10">
      <c r="B28" t="s">
        <v>574</v>
      </c>
      <c r="C28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AD109"/>
  <sheetViews>
    <sheetView showGridLines="0" topLeftCell="A13" zoomScaleNormal="100" workbookViewId="0">
      <selection activeCell="C17" sqref="C17"/>
    </sheetView>
  </sheetViews>
  <sheetFormatPr defaultColWidth="9.125" defaultRowHeight="12.75"/>
  <cols>
    <col min="1" max="1" width="20.125" style="12" customWidth="1"/>
    <col min="2" max="2" width="27.75" style="12" customWidth="1"/>
    <col min="3" max="21" width="12.75" style="12" customWidth="1"/>
    <col min="22" max="22" width="10" style="12" customWidth="1"/>
    <col min="23" max="23" width="22.75" style="12" customWidth="1"/>
    <col min="24" max="24" width="20.875" style="12" customWidth="1"/>
    <col min="25" max="25" width="15.75" style="12" customWidth="1"/>
    <col min="26" max="26" width="12.125" style="12" customWidth="1"/>
    <col min="27" max="27" width="11.625" style="12" customWidth="1"/>
    <col min="28" max="16384" width="9.125" style="12"/>
  </cols>
  <sheetData>
    <row r="2" spans="1:26">
      <c r="A2" s="12" t="s">
        <v>582</v>
      </c>
      <c r="B2" s="623" t="s">
        <v>583</v>
      </c>
      <c r="C2" s="624">
        <v>0.2</v>
      </c>
    </row>
    <row r="3" spans="1:26">
      <c r="B3" s="625" t="s">
        <v>584</v>
      </c>
      <c r="C3" s="626">
        <v>0.05</v>
      </c>
      <c r="Y3" s="13"/>
    </row>
    <row r="4" spans="1:26">
      <c r="B4" s="625" t="s">
        <v>554</v>
      </c>
      <c r="C4" s="627">
        <v>3</v>
      </c>
      <c r="D4" s="12" t="s">
        <v>585</v>
      </c>
      <c r="Y4" s="13"/>
    </row>
    <row r="5" spans="1:26">
      <c r="B5" s="625" t="s">
        <v>586</v>
      </c>
      <c r="C5" s="628">
        <v>12</v>
      </c>
      <c r="D5" s="12" t="s">
        <v>587</v>
      </c>
      <c r="S5" s="67">
        <f>CONVERT(C5,"m","ft")</f>
        <v>39.370078740157481</v>
      </c>
      <c r="T5" s="12" t="s">
        <v>588</v>
      </c>
    </row>
    <row r="6" spans="1:26">
      <c r="B6" s="625" t="s">
        <v>589</v>
      </c>
      <c r="C6" s="626">
        <v>0.04</v>
      </c>
    </row>
    <row r="7" spans="1:26">
      <c r="B7" s="629" t="s">
        <v>590</v>
      </c>
      <c r="C7" s="630">
        <v>1</v>
      </c>
      <c r="D7" s="12" t="s">
        <v>591</v>
      </c>
    </row>
    <row r="8" spans="1:26" customFormat="1" ht="15"/>
    <row r="9" spans="1:26">
      <c r="A9" s="60"/>
      <c r="B9" s="63" t="s">
        <v>592</v>
      </c>
      <c r="X9" s="631" t="s">
        <v>593</v>
      </c>
      <c r="Y9" s="632"/>
      <c r="Z9" s="633"/>
    </row>
    <row r="10" spans="1:26">
      <c r="B10" s="634" t="s">
        <v>139</v>
      </c>
      <c r="C10" s="635" t="s">
        <v>594</v>
      </c>
      <c r="D10" s="635" t="s">
        <v>595</v>
      </c>
      <c r="E10" s="635" t="s">
        <v>596</v>
      </c>
      <c r="F10" s="635" t="s">
        <v>597</v>
      </c>
      <c r="G10" s="635" t="s">
        <v>598</v>
      </c>
      <c r="H10" s="635" t="s">
        <v>599</v>
      </c>
      <c r="I10" s="635" t="s">
        <v>600</v>
      </c>
      <c r="J10" s="635" t="s">
        <v>601</v>
      </c>
      <c r="K10" s="635" t="s">
        <v>602</v>
      </c>
      <c r="L10" s="635" t="s">
        <v>603</v>
      </c>
      <c r="M10" s="635" t="s">
        <v>604</v>
      </c>
      <c r="N10" s="635" t="s">
        <v>605</v>
      </c>
      <c r="O10" s="635" t="s">
        <v>606</v>
      </c>
      <c r="P10" s="635" t="s">
        <v>607</v>
      </c>
      <c r="Q10" s="635"/>
      <c r="R10" s="635" t="s">
        <v>608</v>
      </c>
      <c r="S10" s="635" t="s">
        <v>609</v>
      </c>
      <c r="T10" s="635" t="s">
        <v>610</v>
      </c>
      <c r="U10" s="636" t="s">
        <v>608</v>
      </c>
      <c r="V10" s="635" t="s">
        <v>609</v>
      </c>
      <c r="X10" s="637"/>
      <c r="Y10" s="638" t="s">
        <v>611</v>
      </c>
      <c r="Z10" s="639" t="s">
        <v>612</v>
      </c>
    </row>
    <row r="11" spans="1:26" ht="25.5">
      <c r="B11" s="640" t="s">
        <v>613</v>
      </c>
      <c r="C11" s="641" t="s">
        <v>611</v>
      </c>
      <c r="D11" s="641" t="s">
        <v>614</v>
      </c>
      <c r="E11" s="641" t="s">
        <v>614</v>
      </c>
      <c r="F11" s="641" t="s">
        <v>614</v>
      </c>
      <c r="G11" s="641" t="s">
        <v>614</v>
      </c>
      <c r="H11" s="641" t="s">
        <v>614</v>
      </c>
      <c r="I11" s="641" t="s">
        <v>614</v>
      </c>
      <c r="J11" s="641" t="s">
        <v>614</v>
      </c>
      <c r="K11" s="641" t="s">
        <v>614</v>
      </c>
      <c r="L11" s="641" t="s">
        <v>614</v>
      </c>
      <c r="M11" s="641" t="s">
        <v>614</v>
      </c>
      <c r="N11" s="641" t="s">
        <v>614</v>
      </c>
      <c r="O11" s="641" t="s">
        <v>614</v>
      </c>
      <c r="P11" s="641" t="s">
        <v>614</v>
      </c>
      <c r="Q11" s="641"/>
      <c r="R11" s="641" t="s">
        <v>612</v>
      </c>
      <c r="S11" s="641" t="s">
        <v>615</v>
      </c>
      <c r="T11" s="641" t="s">
        <v>616</v>
      </c>
      <c r="U11" s="642" t="s">
        <v>612</v>
      </c>
      <c r="V11" s="641" t="s">
        <v>615</v>
      </c>
      <c r="X11" s="643" t="s">
        <v>617</v>
      </c>
      <c r="Y11" s="644">
        <v>0.15</v>
      </c>
      <c r="Z11" s="645">
        <v>0.1</v>
      </c>
    </row>
    <row r="12" spans="1:26">
      <c r="B12" s="646" t="s">
        <v>618</v>
      </c>
      <c r="C12" s="647">
        <v>1.5</v>
      </c>
      <c r="D12" s="647"/>
      <c r="E12" s="647"/>
      <c r="F12" s="647"/>
      <c r="G12" s="647"/>
      <c r="H12" s="647"/>
      <c r="I12" s="647"/>
      <c r="J12" s="647"/>
      <c r="K12" s="647"/>
      <c r="L12" s="647"/>
      <c r="M12" s="647"/>
      <c r="N12" s="647"/>
      <c r="O12" s="647"/>
      <c r="P12" s="647"/>
      <c r="Q12" s="647"/>
      <c r="R12" s="647">
        <v>2.35</v>
      </c>
      <c r="S12" s="647">
        <v>1.5</v>
      </c>
      <c r="T12" s="647">
        <v>1.8</v>
      </c>
      <c r="U12" s="648">
        <v>2.35</v>
      </c>
      <c r="V12" s="647">
        <v>1.2</v>
      </c>
      <c r="X12" s="643" t="s">
        <v>619</v>
      </c>
      <c r="Y12" s="644">
        <v>0.1</v>
      </c>
      <c r="Z12" s="645">
        <v>7.0000000000000007E-2</v>
      </c>
    </row>
    <row r="13" spans="1:26">
      <c r="B13" s="649" t="s">
        <v>620</v>
      </c>
      <c r="C13" s="650" t="s">
        <v>510</v>
      </c>
      <c r="D13" s="650" t="s">
        <v>504</v>
      </c>
      <c r="E13" s="650" t="s">
        <v>504</v>
      </c>
      <c r="F13" s="650" t="s">
        <v>504</v>
      </c>
      <c r="G13" s="650" t="s">
        <v>504</v>
      </c>
      <c r="H13" s="650" t="s">
        <v>504</v>
      </c>
      <c r="I13" s="650" t="s">
        <v>504</v>
      </c>
      <c r="J13" s="650" t="s">
        <v>504</v>
      </c>
      <c r="K13" s="650" t="s">
        <v>504</v>
      </c>
      <c r="L13" s="650" t="s">
        <v>504</v>
      </c>
      <c r="M13" s="650" t="s">
        <v>504</v>
      </c>
      <c r="N13" s="650" t="s">
        <v>504</v>
      </c>
      <c r="O13" s="650" t="s">
        <v>504</v>
      </c>
      <c r="P13" s="650" t="s">
        <v>504</v>
      </c>
      <c r="Q13" s="650"/>
      <c r="R13" s="650" t="s">
        <v>621</v>
      </c>
      <c r="S13" s="650" t="s">
        <v>504</v>
      </c>
      <c r="T13" s="650" t="s">
        <v>621</v>
      </c>
      <c r="U13" s="651" t="s">
        <v>621</v>
      </c>
      <c r="V13" s="650" t="s">
        <v>504</v>
      </c>
      <c r="X13" s="652" t="s">
        <v>622</v>
      </c>
      <c r="Y13" s="653">
        <v>0.5</v>
      </c>
      <c r="Z13" s="654">
        <v>0.5</v>
      </c>
    </row>
    <row r="14" spans="1:26">
      <c r="B14" s="649" t="s">
        <v>623</v>
      </c>
      <c r="C14" s="655">
        <v>3.2</v>
      </c>
      <c r="D14" s="655">
        <v>1.8</v>
      </c>
      <c r="E14" s="655">
        <v>1.8</v>
      </c>
      <c r="F14" s="655">
        <v>2.2999999999999998</v>
      </c>
      <c r="G14" s="655">
        <v>1.8</v>
      </c>
      <c r="H14" s="655">
        <v>1.8</v>
      </c>
      <c r="I14" s="655">
        <v>1.8</v>
      </c>
      <c r="J14" s="655">
        <v>1.8</v>
      </c>
      <c r="K14" s="655">
        <v>1.8</v>
      </c>
      <c r="L14" s="655">
        <v>1.8</v>
      </c>
      <c r="M14" s="655">
        <v>1.8</v>
      </c>
      <c r="N14" s="655">
        <v>2</v>
      </c>
      <c r="O14" s="655">
        <v>2.5</v>
      </c>
      <c r="P14" s="655">
        <v>3</v>
      </c>
      <c r="Q14" s="655"/>
      <c r="R14" s="656">
        <v>1</v>
      </c>
      <c r="S14" s="656">
        <v>4</v>
      </c>
      <c r="T14" s="656">
        <v>0.91469999999999996</v>
      </c>
      <c r="U14" s="657">
        <v>1</v>
      </c>
      <c r="V14" s="656">
        <v>1.8</v>
      </c>
      <c r="W14" s="12" t="s">
        <v>624</v>
      </c>
    </row>
    <row r="15" spans="1:26">
      <c r="B15" s="649" t="s">
        <v>625</v>
      </c>
      <c r="C15" s="656">
        <v>1.2</v>
      </c>
      <c r="D15" s="656">
        <v>1.5</v>
      </c>
      <c r="E15" s="656">
        <v>2</v>
      </c>
      <c r="F15" s="656">
        <v>2.0499999999999998</v>
      </c>
      <c r="G15" s="656">
        <v>1.5</v>
      </c>
      <c r="H15" s="656">
        <v>0.76</v>
      </c>
      <c r="I15" s="656">
        <v>0.9</v>
      </c>
      <c r="J15" s="656">
        <v>1.1399999999999999</v>
      </c>
      <c r="K15" s="656">
        <v>1.27</v>
      </c>
      <c r="L15" s="656">
        <v>1.4</v>
      </c>
      <c r="M15" s="656">
        <v>1.5</v>
      </c>
      <c r="N15" s="656">
        <v>1.8</v>
      </c>
      <c r="O15" s="656">
        <v>2</v>
      </c>
      <c r="P15" s="656">
        <v>2.4</v>
      </c>
      <c r="Q15" s="656"/>
      <c r="R15" s="656">
        <v>2.7</v>
      </c>
      <c r="S15" s="656">
        <v>1.2</v>
      </c>
      <c r="T15" s="656">
        <v>1.2</v>
      </c>
      <c r="U15" s="657">
        <v>2.7</v>
      </c>
      <c r="V15" s="656">
        <v>1</v>
      </c>
      <c r="W15" s="12" t="s">
        <v>626</v>
      </c>
    </row>
    <row r="16" spans="1:26" ht="15">
      <c r="B16" s="649" t="s">
        <v>627</v>
      </c>
      <c r="C16" s="656">
        <v>0.1</v>
      </c>
      <c r="D16" s="656"/>
      <c r="E16" s="656"/>
      <c r="F16" s="656"/>
      <c r="G16" s="656"/>
      <c r="H16" s="656"/>
      <c r="I16" s="656"/>
      <c r="J16" s="656"/>
      <c r="K16" s="656"/>
      <c r="L16" s="656"/>
      <c r="M16" s="656"/>
      <c r="N16" s="656"/>
      <c r="O16" s="656"/>
      <c r="P16" s="656"/>
      <c r="Q16" s="656"/>
      <c r="R16" s="656">
        <v>0.1</v>
      </c>
      <c r="S16" s="656">
        <v>0</v>
      </c>
      <c r="T16" s="656">
        <v>0.05</v>
      </c>
      <c r="U16" s="657">
        <v>0.1</v>
      </c>
      <c r="V16" s="656">
        <v>0.05</v>
      </c>
      <c r="X16"/>
      <c r="Y16"/>
    </row>
    <row r="17" spans="1:26" ht="15">
      <c r="B17" s="649" t="s">
        <v>628</v>
      </c>
      <c r="C17" s="656">
        <v>2</v>
      </c>
      <c r="D17" s="656">
        <v>1</v>
      </c>
      <c r="E17" s="656">
        <v>1</v>
      </c>
      <c r="F17" s="656">
        <v>1</v>
      </c>
      <c r="G17" s="656">
        <v>1</v>
      </c>
      <c r="H17" s="656">
        <v>1</v>
      </c>
      <c r="I17" s="656">
        <v>1</v>
      </c>
      <c r="J17" s="656">
        <v>1</v>
      </c>
      <c r="K17" s="656">
        <v>1</v>
      </c>
      <c r="L17" s="656">
        <v>1</v>
      </c>
      <c r="M17" s="656">
        <v>1</v>
      </c>
      <c r="N17" s="656">
        <v>1</v>
      </c>
      <c r="O17" s="656">
        <v>1</v>
      </c>
      <c r="P17" s="656">
        <v>1</v>
      </c>
      <c r="Q17" s="656"/>
      <c r="R17" s="658">
        <v>30</v>
      </c>
      <c r="S17" s="656">
        <v>1</v>
      </c>
      <c r="T17" s="656">
        <v>1</v>
      </c>
      <c r="U17" s="659">
        <v>1</v>
      </c>
      <c r="V17" s="656">
        <v>1</v>
      </c>
      <c r="W17" s="12" t="s">
        <v>629</v>
      </c>
      <c r="X17"/>
      <c r="Y17"/>
    </row>
    <row r="18" spans="1:26">
      <c r="B18" s="649" t="s">
        <v>630</v>
      </c>
      <c r="C18" s="656">
        <v>1.08</v>
      </c>
      <c r="D18" s="656">
        <v>1.08</v>
      </c>
      <c r="E18" s="656">
        <v>1.08</v>
      </c>
      <c r="F18" s="656">
        <v>2</v>
      </c>
      <c r="G18" s="656">
        <v>1.08</v>
      </c>
      <c r="H18" s="656">
        <v>0.76</v>
      </c>
      <c r="I18" s="656">
        <v>0.7</v>
      </c>
      <c r="J18" s="656">
        <v>0.98</v>
      </c>
      <c r="K18" s="656">
        <v>1</v>
      </c>
      <c r="L18" s="656">
        <v>1</v>
      </c>
      <c r="M18" s="656">
        <v>1.2</v>
      </c>
      <c r="N18" s="656">
        <v>1.4</v>
      </c>
      <c r="O18" s="656">
        <v>1</v>
      </c>
      <c r="P18" s="656">
        <v>0.9</v>
      </c>
      <c r="Q18" s="656"/>
      <c r="R18" s="656">
        <v>0.6</v>
      </c>
      <c r="S18" s="656">
        <v>1</v>
      </c>
      <c r="T18" s="656">
        <v>0.6</v>
      </c>
      <c r="U18" s="657">
        <v>0.6</v>
      </c>
      <c r="V18" s="656">
        <v>1.2</v>
      </c>
      <c r="W18" s="12" t="s">
        <v>631</v>
      </c>
    </row>
    <row r="19" spans="1:26">
      <c r="B19" s="649" t="s">
        <v>632</v>
      </c>
      <c r="C19" s="656">
        <v>0.1</v>
      </c>
      <c r="D19" s="656">
        <v>0</v>
      </c>
      <c r="E19" s="656"/>
      <c r="F19" s="656"/>
      <c r="G19" s="656"/>
      <c r="H19" s="656"/>
      <c r="I19" s="656"/>
      <c r="J19" s="656"/>
      <c r="K19" s="656"/>
      <c r="L19" s="656"/>
      <c r="M19" s="656"/>
      <c r="N19" s="656"/>
      <c r="O19" s="656"/>
      <c r="P19" s="656"/>
      <c r="Q19" s="656"/>
      <c r="R19" s="656">
        <v>0</v>
      </c>
      <c r="S19" s="656">
        <v>0</v>
      </c>
      <c r="T19" s="656">
        <v>0</v>
      </c>
      <c r="U19" s="657">
        <v>0</v>
      </c>
      <c r="V19" s="656">
        <v>0</v>
      </c>
    </row>
    <row r="20" spans="1:26">
      <c r="B20" s="649" t="s">
        <v>633</v>
      </c>
      <c r="C20" s="656">
        <v>0</v>
      </c>
      <c r="D20" s="656"/>
      <c r="E20" s="656"/>
      <c r="F20" s="656"/>
      <c r="G20" s="656"/>
      <c r="H20" s="656"/>
      <c r="I20" s="656"/>
      <c r="J20" s="656"/>
      <c r="K20" s="656"/>
      <c r="L20" s="656"/>
      <c r="M20" s="656"/>
      <c r="N20" s="656"/>
      <c r="O20" s="656"/>
      <c r="P20" s="656"/>
      <c r="Q20" s="656"/>
      <c r="R20" s="656">
        <v>0</v>
      </c>
      <c r="S20" s="656">
        <v>0</v>
      </c>
      <c r="T20" s="656">
        <v>0</v>
      </c>
      <c r="U20" s="657">
        <v>0</v>
      </c>
      <c r="V20" s="656">
        <v>0</v>
      </c>
      <c r="Y20" s="76"/>
      <c r="Z20" s="77"/>
    </row>
    <row r="21" spans="1:26">
      <c r="B21" s="649" t="s">
        <v>634</v>
      </c>
      <c r="C21" s="656">
        <v>0.1</v>
      </c>
      <c r="D21" s="656"/>
      <c r="E21" s="656"/>
      <c r="F21" s="656"/>
      <c r="G21" s="656"/>
      <c r="H21" s="656"/>
      <c r="I21" s="656"/>
      <c r="J21" s="656"/>
      <c r="K21" s="656"/>
      <c r="L21" s="656"/>
      <c r="M21" s="656"/>
      <c r="N21" s="656"/>
      <c r="O21" s="656"/>
      <c r="P21" s="656"/>
      <c r="Q21" s="656"/>
      <c r="R21" s="656">
        <v>0.1</v>
      </c>
      <c r="S21" s="656">
        <v>0</v>
      </c>
      <c r="T21" s="656">
        <v>0.1</v>
      </c>
      <c r="U21" s="657">
        <v>0.1</v>
      </c>
      <c r="V21" s="656">
        <v>0.5</v>
      </c>
      <c r="Y21" s="78"/>
      <c r="Z21" s="79"/>
    </row>
    <row r="22" spans="1:26">
      <c r="B22" s="649" t="s">
        <v>635</v>
      </c>
      <c r="C22" s="660">
        <v>2</v>
      </c>
      <c r="D22" s="660">
        <v>2</v>
      </c>
      <c r="E22" s="660">
        <v>2</v>
      </c>
      <c r="F22" s="660">
        <v>2</v>
      </c>
      <c r="G22" s="660">
        <v>2</v>
      </c>
      <c r="H22" s="660">
        <v>2</v>
      </c>
      <c r="I22" s="660">
        <v>2</v>
      </c>
      <c r="J22" s="660">
        <v>2</v>
      </c>
      <c r="K22" s="660">
        <v>2</v>
      </c>
      <c r="L22" s="660">
        <v>2</v>
      </c>
      <c r="M22" s="660">
        <v>2</v>
      </c>
      <c r="N22" s="660">
        <v>2</v>
      </c>
      <c r="O22" s="660">
        <v>2</v>
      </c>
      <c r="P22" s="660">
        <v>2</v>
      </c>
      <c r="Q22" s="660"/>
      <c r="R22" s="660">
        <v>1</v>
      </c>
      <c r="S22" s="660">
        <v>1</v>
      </c>
      <c r="T22" s="660">
        <v>1</v>
      </c>
      <c r="U22" s="661">
        <v>1</v>
      </c>
      <c r="V22" s="660">
        <v>2</v>
      </c>
      <c r="Y22" s="80"/>
      <c r="Z22" s="81"/>
    </row>
    <row r="23" spans="1:26">
      <c r="B23" s="649" t="s">
        <v>636</v>
      </c>
      <c r="C23" s="662">
        <f>IF(C11="Pallet Racking",ROUNDDOWN(($C$5-$Y$13)/(C12+0.15+$Y$12+$Y$11),0),IF(C11="Shelving",ROUNDDOWN(($C$5-$Z$13)/C12,0),""))</f>
        <v>6</v>
      </c>
      <c r="D23" s="662">
        <v>0</v>
      </c>
      <c r="E23" s="662">
        <v>1</v>
      </c>
      <c r="F23" s="662">
        <v>1</v>
      </c>
      <c r="G23" s="662">
        <v>1</v>
      </c>
      <c r="H23" s="662">
        <v>1</v>
      </c>
      <c r="I23" s="662">
        <v>1</v>
      </c>
      <c r="J23" s="662">
        <v>1</v>
      </c>
      <c r="K23" s="662">
        <v>1</v>
      </c>
      <c r="L23" s="662">
        <v>1</v>
      </c>
      <c r="M23" s="662">
        <v>1</v>
      </c>
      <c r="N23" s="662">
        <v>1</v>
      </c>
      <c r="O23" s="662">
        <v>1</v>
      </c>
      <c r="P23" s="662">
        <v>1</v>
      </c>
      <c r="Q23" s="662"/>
      <c r="R23" s="662">
        <f>IF(R11="Pallet Racking",ROUNDDOWN(($C$5-$Y$13)/(R12+0.15+$Y$12+$Y$11),0),IF(R11="Shelving",ROUNDDOWN(($C$5-$Z$13)/R12,0),""))</f>
        <v>4</v>
      </c>
      <c r="S23" s="662" t="str">
        <f>IF(S11="Pallet Racking",ROUNDDOWN(($C$5-$Y$13)/(S12+0.15+$Y$12+$Y$11),0),IF(S11="Shelving",ROUNDDOWN(($C$5-$Z$13)/S12,0),""))</f>
        <v/>
      </c>
      <c r="T23" s="662" t="str">
        <f>IF(T11="Pallet Racking",ROUNDDOWN(($C$5-$Y$13)/(T12+0.15+$Y$12+$Y$11),0),IF(T11="Shelving",ROUNDDOWN(($C$5-$Z$13)/T12,0),""))</f>
        <v/>
      </c>
      <c r="U23" s="661">
        <v>1</v>
      </c>
      <c r="V23" s="662" t="str">
        <f>IF(V11="Pallet Racking",ROUNDDOWN(($C$5-$Y$13)/(V12+0.15+$Y$12+$Y$11),0),IF(V11="Shelving",ROUNDDOWN(($C$5-$Z$13)/V12,0),""))</f>
        <v/>
      </c>
    </row>
    <row r="24" spans="1:26">
      <c r="B24" s="649" t="s">
        <v>637</v>
      </c>
      <c r="C24" s="660">
        <f>C23</f>
        <v>6</v>
      </c>
      <c r="D24" s="660">
        <v>1</v>
      </c>
      <c r="E24" s="660">
        <v>1</v>
      </c>
      <c r="F24" s="660">
        <v>1</v>
      </c>
      <c r="G24" s="660">
        <v>1</v>
      </c>
      <c r="H24" s="660">
        <v>1</v>
      </c>
      <c r="I24" s="660">
        <v>1</v>
      </c>
      <c r="J24" s="660">
        <v>1</v>
      </c>
      <c r="K24" s="660">
        <v>1</v>
      </c>
      <c r="L24" s="660">
        <v>1</v>
      </c>
      <c r="M24" s="660">
        <v>1</v>
      </c>
      <c r="N24" s="660">
        <v>1</v>
      </c>
      <c r="O24" s="660">
        <v>1</v>
      </c>
      <c r="P24" s="660">
        <v>1</v>
      </c>
      <c r="Q24" s="660"/>
      <c r="R24" s="660">
        <v>2</v>
      </c>
      <c r="S24" s="660">
        <v>2</v>
      </c>
      <c r="T24" s="660">
        <v>1</v>
      </c>
      <c r="U24" s="661">
        <v>1</v>
      </c>
      <c r="V24" s="660">
        <v>1</v>
      </c>
    </row>
    <row r="25" spans="1:26">
      <c r="B25" s="649" t="s">
        <v>638</v>
      </c>
      <c r="C25" s="663">
        <v>0.15</v>
      </c>
      <c r="D25" s="663">
        <v>0.1</v>
      </c>
      <c r="E25" s="663">
        <v>0.1</v>
      </c>
      <c r="F25" s="663">
        <v>0.1</v>
      </c>
      <c r="G25" s="663">
        <v>0.1</v>
      </c>
      <c r="H25" s="663">
        <v>0.1</v>
      </c>
      <c r="I25" s="663">
        <v>0.1</v>
      </c>
      <c r="J25" s="663">
        <v>0.1</v>
      </c>
      <c r="K25" s="663">
        <v>0.1</v>
      </c>
      <c r="L25" s="663">
        <v>0.1</v>
      </c>
      <c r="M25" s="663">
        <v>0.1</v>
      </c>
      <c r="N25" s="663">
        <v>0.1</v>
      </c>
      <c r="O25" s="663">
        <v>0.1</v>
      </c>
      <c r="P25" s="663">
        <v>0.1</v>
      </c>
      <c r="Q25" s="663"/>
      <c r="R25" s="663">
        <v>0.2</v>
      </c>
      <c r="S25" s="663">
        <v>0.05</v>
      </c>
      <c r="T25" s="663">
        <v>0.1</v>
      </c>
      <c r="U25" s="664">
        <v>0.2</v>
      </c>
      <c r="V25" s="663">
        <v>0.05</v>
      </c>
    </row>
    <row r="26" spans="1:26">
      <c r="B26" s="665" t="s">
        <v>639</v>
      </c>
      <c r="C26" s="666">
        <f>(IF(ISERR(((C15+C16)*(0.5*(C14+C21)+(2*C19+C18+IF(C22=1,0,C20))*C22))/(C22*C24*C17)),0,((C15+C16)*(0.5*(C14+C21)+(2*C19+C18+IF(C22=1,0,C20))*C22))/(C22*C24*C17)))*10.764*(1+C25)*(1+$C$6)</f>
        <v>2.9357500379999997</v>
      </c>
      <c r="D26" s="666">
        <f>(IF(ISERR(((D15+D16)*(0.5*(D14+D21)+(2*D19+D18+IF(D22=1,0,D20))*D22))/(D22*D24*D17)),0,((D15+D16)*(0.5*(D14+D21)+(2*D19+D18+IF(D22=1,0,D20))*D22))/(D22*D24*D17)))*10.764*(1+D25)*(1+$C$6)</f>
        <v>28.260666720000003</v>
      </c>
      <c r="E26" s="666">
        <f t="shared" ref="E26:P26" si="0">(IF(ISERR(((E15+E16)*(0.5*(E14+E21)+(2*E19+E18+IF(E22=1,0,E20))*E22))/(E22*E24*E17)),0,((E15+E16)*(0.5*(E14+E21)+(2*E19+E18+IF(E22=1,0,E20))*E22))/(E22*E24*E17)))*10.764*(1+E25)*(1+$C$6)</f>
        <v>37.680888960000004</v>
      </c>
      <c r="F26" s="666">
        <f t="shared" si="0"/>
        <v>65.002611959999996</v>
      </c>
      <c r="G26" s="666">
        <f>(IF(ISERR(((G15+G16)*(0.5*(G14+G21)+(2*G19+G18+IF(G22=1,0,G20))*G22))/(G22*G24*G17)),0,((G15+G16)*(0.5*(G14+G21)+(2*G19+G18+IF(G22=1,0,G20))*G22))/(G22*G24*G17)))*10.764*(1+G25)*(1+$C$6)</f>
        <v>28.260666720000003</v>
      </c>
      <c r="H26" s="666">
        <f t="shared" si="0"/>
        <v>11.3239691136</v>
      </c>
      <c r="I26" s="666">
        <f t="shared" si="0"/>
        <v>12.74500656</v>
      </c>
      <c r="J26" s="666">
        <f t="shared" si="0"/>
        <v>20.074308883199997</v>
      </c>
      <c r="K26" s="666">
        <f t="shared" si="0"/>
        <v>22.676260464000002</v>
      </c>
      <c r="L26" s="666">
        <f t="shared" si="0"/>
        <v>24.997452479999996</v>
      </c>
      <c r="M26" s="666">
        <f t="shared" si="0"/>
        <v>30.477189599999999</v>
      </c>
      <c r="N26" s="666">
        <f t="shared" si="0"/>
        <v>42.113934720000003</v>
      </c>
      <c r="O26" s="666">
        <f t="shared" si="0"/>
        <v>40.020552000000002</v>
      </c>
      <c r="P26" s="666">
        <f t="shared" si="0"/>
        <v>48.763503359999994</v>
      </c>
      <c r="Q26" s="666"/>
      <c r="R26" s="666">
        <f t="shared" ref="R26:U26" si="1">(IF(ISERR(((R15+R16)*(0.5*(R14+R21)+(2*R19+R18+IF(R22=1,0,R20))*R22))/(R22*R24*R17)),0,((R15+R16)*(0.5*(R14+R21)+(2*R19+R18+IF(R22=1,0,R20))*R22))/(R22*R24*R17)))*10.764*(1+R25)*(1+$C$6)</f>
        <v>0.72092966400000003</v>
      </c>
      <c r="S26" s="666">
        <f>(IF(ISERR(((S15+S16)*(0.5*(S14+S21)+(2*S19+S18+IF(S22=1,0,S20))*S22))/(S22*S24*S17)),0,((S15+S16)*(0.5*(S14+S21)+(2*S19+S18+IF(S22=1,0,S20))*S22))/(S22*S24*S17)))*10.764*(1+S25)*(1+$C$6)</f>
        <v>21.157718399999997</v>
      </c>
      <c r="T26" s="666">
        <f t="shared" si="1"/>
        <v>17.044907022</v>
      </c>
      <c r="U26" s="666">
        <f t="shared" si="1"/>
        <v>43.255779840000002</v>
      </c>
      <c r="V26" s="666">
        <f>(IF(ISERR(((V15+V16)*5*(0.5*(V14+V21)+(2*V19+V18+IF(V22=1,0,V20))*V22))/(V22*V24*V17)),0,((V15+V16)*(0.5*(V14+V21)+(2*V19+V18+IF(V22=1,0,V20))*V22))/(V22*V24*V17)))*10.764*(1+V25)*(1+$C$6)</f>
        <v>21.907054260000002</v>
      </c>
      <c r="Z26" s="64"/>
    </row>
    <row r="27" spans="1:26">
      <c r="B27" s="667" t="s">
        <v>640</v>
      </c>
      <c r="C27" s="668">
        <v>6</v>
      </c>
      <c r="D27" s="668">
        <v>25.56</v>
      </c>
      <c r="E27" s="668">
        <v>33.31</v>
      </c>
      <c r="F27" s="668">
        <v>68.84</v>
      </c>
      <c r="G27" s="668">
        <v>31.95</v>
      </c>
      <c r="H27" s="668">
        <v>13.57</v>
      </c>
      <c r="I27" s="668">
        <v>13.55</v>
      </c>
      <c r="J27" s="668">
        <v>28.32</v>
      </c>
      <c r="K27" s="668">
        <v>24.53</v>
      </c>
      <c r="L27" s="668">
        <v>28.62</v>
      </c>
      <c r="M27" s="668">
        <v>33.89</v>
      </c>
      <c r="N27" s="668">
        <v>46.48</v>
      </c>
      <c r="O27" s="668">
        <v>48.42</v>
      </c>
      <c r="P27" s="668">
        <v>61.97</v>
      </c>
      <c r="Q27" s="668"/>
      <c r="R27" s="668" t="s">
        <v>641</v>
      </c>
      <c r="S27" s="668"/>
      <c r="T27" s="668" t="s">
        <v>641</v>
      </c>
      <c r="U27" s="669" t="s">
        <v>641</v>
      </c>
      <c r="V27" s="668" t="s">
        <v>641</v>
      </c>
      <c r="X27" s="64"/>
      <c r="Y27" s="64"/>
    </row>
    <row r="28" spans="1:26" s="64" customFormat="1">
      <c r="A28" s="12" t="s">
        <v>642</v>
      </c>
      <c r="B28" s="65"/>
      <c r="C28" s="68">
        <f>(C15*C18)*10.76</f>
        <v>13.94496</v>
      </c>
      <c r="D28" s="68">
        <f t="shared" ref="D28:P28" si="2">(D15*D18)*10.76</f>
        <v>17.4312</v>
      </c>
      <c r="E28" s="68">
        <f t="shared" si="2"/>
        <v>23.241600000000002</v>
      </c>
      <c r="F28" s="68">
        <f t="shared" si="2"/>
        <v>44.115999999999993</v>
      </c>
      <c r="G28" s="68">
        <f t="shared" si="2"/>
        <v>17.4312</v>
      </c>
      <c r="H28" s="68">
        <f t="shared" si="2"/>
        <v>6.2149760000000001</v>
      </c>
      <c r="I28" s="68">
        <f t="shared" si="2"/>
        <v>6.7787999999999995</v>
      </c>
      <c r="J28" s="68">
        <f t="shared" si="2"/>
        <v>12.021072</v>
      </c>
      <c r="K28" s="68">
        <f t="shared" si="2"/>
        <v>13.6652</v>
      </c>
      <c r="L28" s="68">
        <f t="shared" si="2"/>
        <v>15.063999999999998</v>
      </c>
      <c r="M28" s="68">
        <f t="shared" si="2"/>
        <v>19.367999999999999</v>
      </c>
      <c r="N28" s="68">
        <f t="shared" si="2"/>
        <v>27.115199999999998</v>
      </c>
      <c r="O28" s="68">
        <f t="shared" si="2"/>
        <v>21.52</v>
      </c>
      <c r="P28" s="68">
        <f t="shared" si="2"/>
        <v>23.241600000000002</v>
      </c>
      <c r="Q28" s="68"/>
      <c r="R28" s="65"/>
      <c r="S28" s="12"/>
      <c r="T28" s="12"/>
      <c r="U28" s="12"/>
      <c r="V28" s="12"/>
      <c r="X28" s="12"/>
      <c r="Y28" s="12"/>
      <c r="Z28" s="82"/>
    </row>
    <row r="29" spans="1:26" s="64" customFormat="1">
      <c r="A29" s="12" t="s">
        <v>643</v>
      </c>
      <c r="B29" s="65"/>
      <c r="C29" s="68">
        <v>8000</v>
      </c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5"/>
      <c r="S29" s="12"/>
      <c r="T29" s="12"/>
      <c r="U29" s="12"/>
      <c r="V29" s="12"/>
      <c r="X29" s="12"/>
      <c r="Y29" s="12"/>
      <c r="Z29" s="82"/>
    </row>
    <row r="30" spans="1:26" s="64" customFormat="1">
      <c r="A30" s="12"/>
      <c r="B30" s="65" t="s">
        <v>644</v>
      </c>
      <c r="C30" s="68">
        <f>C29*C27</f>
        <v>48000</v>
      </c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5"/>
      <c r="S30" s="12"/>
      <c r="T30" s="12"/>
      <c r="U30" s="12"/>
      <c r="V30" s="12"/>
      <c r="X30" s="12"/>
      <c r="Y30" s="12"/>
      <c r="Z30" s="82"/>
    </row>
    <row r="31" spans="1:26" s="64" customFormat="1">
      <c r="B31" s="65" t="s">
        <v>645</v>
      </c>
      <c r="C31" s="68">
        <v>14000</v>
      </c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5"/>
      <c r="S31" s="12"/>
      <c r="T31" s="12"/>
      <c r="U31" s="12"/>
      <c r="V31" s="12"/>
      <c r="X31" s="12"/>
      <c r="Y31" s="12"/>
      <c r="Z31" s="82"/>
    </row>
    <row r="32" spans="1:26" s="64" customFormat="1">
      <c r="A32" s="12"/>
      <c r="B32" s="65" t="s">
        <v>646</v>
      </c>
      <c r="C32" s="68">
        <f>ARM!C88+ARM!C89</f>
        <v>350</v>
      </c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5"/>
      <c r="S32" s="12"/>
      <c r="T32" s="12"/>
      <c r="U32" s="12"/>
      <c r="V32" s="12"/>
      <c r="X32" s="12"/>
      <c r="Y32" s="12"/>
      <c r="Z32" s="82"/>
    </row>
    <row r="33" spans="1:27" s="64" customFormat="1">
      <c r="A33" s="12"/>
      <c r="B33" s="65" t="s">
        <v>647</v>
      </c>
      <c r="C33" s="68">
        <v>600</v>
      </c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5"/>
      <c r="S33" s="12"/>
      <c r="T33" s="12"/>
      <c r="U33" s="12"/>
      <c r="V33" s="12"/>
      <c r="X33" s="12"/>
      <c r="Y33" s="12"/>
      <c r="Z33" s="82"/>
    </row>
    <row r="34" spans="1:27" s="64" customFormat="1">
      <c r="A34" s="12"/>
      <c r="B34" s="65" t="s">
        <v>648</v>
      </c>
      <c r="C34" s="68">
        <v>200</v>
      </c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5"/>
      <c r="S34" s="12"/>
      <c r="T34" s="12"/>
      <c r="U34" s="12"/>
      <c r="V34" s="12"/>
      <c r="X34" s="12"/>
      <c r="Y34" s="12"/>
      <c r="Z34" s="82"/>
    </row>
    <row r="35" spans="1:27" s="64" customFormat="1">
      <c r="A35" s="12"/>
      <c r="B35" s="65" t="s">
        <v>649</v>
      </c>
      <c r="C35" s="68">
        <v>100</v>
      </c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5"/>
      <c r="S35" s="12"/>
      <c r="T35" s="12"/>
      <c r="U35" s="12"/>
      <c r="V35" s="12"/>
      <c r="X35" s="12"/>
      <c r="Y35" s="12"/>
      <c r="Z35" s="82"/>
    </row>
    <row r="36" spans="1:27" s="64" customFormat="1">
      <c r="A36" s="12"/>
      <c r="B36" s="65" t="s">
        <v>650</v>
      </c>
      <c r="C36" s="68">
        <v>10000</v>
      </c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5"/>
      <c r="S36" s="12"/>
      <c r="T36" s="12"/>
      <c r="U36" s="12"/>
      <c r="V36" s="12"/>
      <c r="X36" s="12"/>
      <c r="Y36" s="12"/>
      <c r="Z36" s="82"/>
    </row>
    <row r="37" spans="1:27" s="64" customFormat="1">
      <c r="A37" s="12"/>
      <c r="B37" s="65" t="s">
        <v>651</v>
      </c>
      <c r="C37" s="68">
        <f>SUM(C30:C36)</f>
        <v>73250</v>
      </c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5"/>
      <c r="S37" s="12"/>
      <c r="T37" s="12"/>
      <c r="U37" s="12"/>
      <c r="V37" s="12"/>
      <c r="X37" s="12"/>
      <c r="Y37" s="12"/>
      <c r="Z37" s="82"/>
    </row>
    <row r="38" spans="1:27" s="64" customFormat="1">
      <c r="A38" s="12"/>
      <c r="B38" s="65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5"/>
      <c r="S38" s="12"/>
      <c r="T38" s="12"/>
      <c r="U38" s="12"/>
      <c r="V38" s="12"/>
      <c r="X38" s="12"/>
      <c r="Y38" s="12"/>
      <c r="Z38" s="82"/>
    </row>
    <row r="39" spans="1:27" s="64" customFormat="1">
      <c r="A39" s="12"/>
      <c r="B39" s="65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5"/>
      <c r="S39" s="12"/>
      <c r="T39" s="12"/>
      <c r="U39" s="12"/>
      <c r="V39" s="12"/>
      <c r="X39" s="12"/>
      <c r="Y39" s="12"/>
      <c r="Z39" s="82"/>
    </row>
    <row r="40" spans="1:27" s="64" customFormat="1">
      <c r="A40" s="12"/>
      <c r="B40" s="12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5"/>
      <c r="S40" s="12"/>
      <c r="T40" s="12"/>
      <c r="U40" s="12"/>
      <c r="V40" s="12"/>
      <c r="X40" s="12"/>
      <c r="Y40" s="12"/>
      <c r="Z40" s="82"/>
    </row>
    <row r="41" spans="1:27" s="64" customFormat="1">
      <c r="A41" s="12"/>
      <c r="B41" s="12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5"/>
      <c r="S41" s="12"/>
      <c r="T41" s="12"/>
      <c r="U41" s="12"/>
      <c r="V41" s="12"/>
      <c r="X41" s="12"/>
      <c r="Y41" s="12"/>
      <c r="Z41" s="82"/>
    </row>
    <row r="42" spans="1:27">
      <c r="A42" s="60"/>
      <c r="B42" s="63" t="s">
        <v>652</v>
      </c>
      <c r="S42" s="69"/>
      <c r="Z42" s="82"/>
    </row>
    <row r="43" spans="1:27">
      <c r="A43" s="60"/>
      <c r="B43" s="634" t="s">
        <v>139</v>
      </c>
      <c r="C43" s="635" t="s">
        <v>594</v>
      </c>
      <c r="D43" s="635"/>
      <c r="E43" s="635"/>
      <c r="F43" s="635"/>
      <c r="G43" s="635"/>
      <c r="H43" s="635"/>
      <c r="I43" s="635"/>
      <c r="J43" s="635"/>
      <c r="K43" s="635"/>
      <c r="L43" s="635"/>
      <c r="M43" s="635"/>
      <c r="N43" s="635"/>
      <c r="O43" s="635"/>
      <c r="P43" s="635"/>
      <c r="Q43" s="635"/>
      <c r="R43" s="635" t="s">
        <v>608</v>
      </c>
      <c r="S43" s="635" t="s">
        <v>609</v>
      </c>
      <c r="T43" s="635" t="s">
        <v>610</v>
      </c>
      <c r="U43" s="636" t="s">
        <v>653</v>
      </c>
      <c r="W43" s="83"/>
    </row>
    <row r="44" spans="1:27" ht="26.25">
      <c r="B44" s="646" t="s">
        <v>613</v>
      </c>
      <c r="C44" s="670" t="str">
        <f t="shared" ref="C44:P44" si="3">C11</f>
        <v>Pallet Racking</v>
      </c>
      <c r="D44" s="670" t="str">
        <f t="shared" si="3"/>
        <v>Pallet Ground</v>
      </c>
      <c r="E44" s="670" t="str">
        <f t="shared" si="3"/>
        <v>Pallet Ground</v>
      </c>
      <c r="F44" s="670" t="str">
        <f t="shared" si="3"/>
        <v>Pallet Ground</v>
      </c>
      <c r="G44" s="670" t="str">
        <f t="shared" si="3"/>
        <v>Pallet Ground</v>
      </c>
      <c r="H44" s="670" t="str">
        <f t="shared" si="3"/>
        <v>Pallet Ground</v>
      </c>
      <c r="I44" s="670" t="str">
        <f t="shared" si="3"/>
        <v>Pallet Ground</v>
      </c>
      <c r="J44" s="670" t="str">
        <f t="shared" si="3"/>
        <v>Pallet Ground</v>
      </c>
      <c r="K44" s="670" t="str">
        <f t="shared" si="3"/>
        <v>Pallet Ground</v>
      </c>
      <c r="L44" s="670" t="str">
        <f t="shared" si="3"/>
        <v>Pallet Ground</v>
      </c>
      <c r="M44" s="670" t="str">
        <f t="shared" si="3"/>
        <v>Pallet Ground</v>
      </c>
      <c r="N44" s="670" t="str">
        <f t="shared" si="3"/>
        <v>Pallet Ground</v>
      </c>
      <c r="O44" s="670" t="str">
        <f t="shared" si="3"/>
        <v>Pallet Ground</v>
      </c>
      <c r="P44" s="670" t="str">
        <f t="shared" si="3"/>
        <v>Pallet Ground</v>
      </c>
      <c r="Q44" s="670"/>
      <c r="R44" s="670" t="str">
        <f>R11</f>
        <v>Shelving</v>
      </c>
      <c r="S44" s="670" t="str">
        <f>S11</f>
        <v>Block stack</v>
      </c>
      <c r="T44" s="670" t="str">
        <f>T11</f>
        <v>Slotted Angle Racks</v>
      </c>
      <c r="U44" s="671" t="str">
        <f>U11</f>
        <v>Shelving</v>
      </c>
      <c r="Z44" s="10" t="s">
        <v>654</v>
      </c>
      <c r="AA44" s="11">
        <v>70000</v>
      </c>
    </row>
    <row r="45" spans="1:27" ht="26.25">
      <c r="B45" s="646" t="s">
        <v>116</v>
      </c>
      <c r="C45" s="670" t="s">
        <v>655</v>
      </c>
      <c r="D45" s="670" t="s">
        <v>655</v>
      </c>
      <c r="E45" s="670" t="s">
        <v>655</v>
      </c>
      <c r="F45" s="670" t="s">
        <v>655</v>
      </c>
      <c r="G45" s="670" t="s">
        <v>655</v>
      </c>
      <c r="H45" s="670" t="s">
        <v>655</v>
      </c>
      <c r="I45" s="670" t="s">
        <v>655</v>
      </c>
      <c r="J45" s="670" t="s">
        <v>655</v>
      </c>
      <c r="K45" s="670" t="s">
        <v>655</v>
      </c>
      <c r="L45" s="670" t="s">
        <v>655</v>
      </c>
      <c r="M45" s="670" t="s">
        <v>655</v>
      </c>
      <c r="N45" s="670" t="s">
        <v>655</v>
      </c>
      <c r="O45" s="670" t="s">
        <v>655</v>
      </c>
      <c r="P45" s="670" t="s">
        <v>655</v>
      </c>
      <c r="Q45" s="670"/>
      <c r="R45" s="670" t="s">
        <v>656</v>
      </c>
      <c r="S45" s="670" t="s">
        <v>655</v>
      </c>
      <c r="T45" s="670" t="s">
        <v>657</v>
      </c>
      <c r="U45" s="672" t="s">
        <v>656</v>
      </c>
      <c r="W45" s="12">
        <f>S46/2</f>
        <v>0</v>
      </c>
      <c r="X45" s="14" t="s">
        <v>658</v>
      </c>
      <c r="Z45" s="10"/>
      <c r="AA45" s="11">
        <f>SQRT(AA44)</f>
        <v>264.57513110645908</v>
      </c>
    </row>
    <row r="46" spans="1:27" ht="15">
      <c r="B46" s="625" t="s">
        <v>659</v>
      </c>
      <c r="C46" s="673">
        <v>4000</v>
      </c>
      <c r="D46" s="673"/>
      <c r="E46" s="673"/>
      <c r="F46" s="673"/>
      <c r="G46" s="673"/>
      <c r="H46" s="673"/>
      <c r="I46" s="673"/>
      <c r="J46" s="673"/>
      <c r="K46" s="673"/>
      <c r="L46" s="673"/>
      <c r="M46" s="673"/>
      <c r="N46" s="673"/>
      <c r="O46" s="673"/>
      <c r="P46" s="673"/>
      <c r="Q46" s="673"/>
      <c r="R46" s="673"/>
      <c r="S46" s="673">
        <v>0</v>
      </c>
      <c r="T46" s="673"/>
      <c r="U46" s="674"/>
      <c r="W46" s="82">
        <f>W45*S26</f>
        <v>0</v>
      </c>
      <c r="X46" s="84">
        <f>T46*T26</f>
        <v>0</v>
      </c>
      <c r="Y46" s="83"/>
      <c r="Z46" s="10" t="s">
        <v>660</v>
      </c>
      <c r="AA46" s="11">
        <v>4</v>
      </c>
    </row>
    <row r="47" spans="1:27" ht="15">
      <c r="B47" s="625" t="s">
        <v>661</v>
      </c>
      <c r="C47" s="673">
        <f>C46</f>
        <v>4000</v>
      </c>
      <c r="D47" s="673"/>
      <c r="E47" s="673"/>
      <c r="F47" s="673"/>
      <c r="G47" s="673"/>
      <c r="H47" s="673"/>
      <c r="I47" s="673"/>
      <c r="J47" s="673"/>
      <c r="K47" s="673"/>
      <c r="L47" s="673"/>
      <c r="M47" s="673"/>
      <c r="N47" s="673"/>
      <c r="O47" s="673"/>
      <c r="P47" s="673"/>
      <c r="Q47" s="673"/>
      <c r="R47" s="673"/>
      <c r="S47" s="673">
        <f>S46</f>
        <v>0</v>
      </c>
      <c r="T47" s="673"/>
      <c r="U47" s="674"/>
      <c r="W47" s="82" t="s">
        <v>662</v>
      </c>
      <c r="X47" s="85">
        <v>300</v>
      </c>
      <c r="Z47" s="10" t="s">
        <v>663</v>
      </c>
      <c r="AA47" s="11">
        <v>15</v>
      </c>
    </row>
    <row r="48" spans="1:27" ht="15">
      <c r="B48" s="625" t="s">
        <v>664</v>
      </c>
      <c r="C48" s="673">
        <f>C47</f>
        <v>4000</v>
      </c>
      <c r="D48" s="673"/>
      <c r="E48" s="673"/>
      <c r="F48" s="673"/>
      <c r="G48" s="673"/>
      <c r="H48" s="673"/>
      <c r="I48" s="673"/>
      <c r="J48" s="673"/>
      <c r="K48" s="673"/>
      <c r="L48" s="673"/>
      <c r="M48" s="673"/>
      <c r="N48" s="673"/>
      <c r="O48" s="673"/>
      <c r="P48" s="673"/>
      <c r="Q48" s="673"/>
      <c r="R48" s="673"/>
      <c r="S48" s="673">
        <f>S47</f>
        <v>0</v>
      </c>
      <c r="T48" s="673"/>
      <c r="U48" s="674"/>
      <c r="W48" s="82"/>
      <c r="X48" s="86">
        <f>CEILING(SUM(X46:X47),100)</f>
        <v>300</v>
      </c>
      <c r="Z48" s="10" t="s">
        <v>665</v>
      </c>
      <c r="AA48" s="11">
        <f>AA45*AA46*AA47</f>
        <v>15874.507866387545</v>
      </c>
    </row>
    <row r="49" spans="2:30" ht="15">
      <c r="B49" s="625" t="s">
        <v>666</v>
      </c>
      <c r="C49" s="673"/>
      <c r="D49" s="673"/>
      <c r="E49" s="673"/>
      <c r="F49" s="673"/>
      <c r="G49" s="673"/>
      <c r="H49" s="673"/>
      <c r="I49" s="673"/>
      <c r="J49" s="673"/>
      <c r="K49" s="673"/>
      <c r="L49" s="673"/>
      <c r="M49" s="673"/>
      <c r="N49" s="673"/>
      <c r="O49" s="673"/>
      <c r="P49" s="673"/>
      <c r="Q49" s="673"/>
      <c r="R49" s="673"/>
      <c r="S49" s="673"/>
      <c r="T49" s="673"/>
      <c r="U49" s="674"/>
      <c r="W49" s="82"/>
      <c r="Z49" s="10" t="s">
        <v>667</v>
      </c>
      <c r="AA49" s="11">
        <f>AA44</f>
        <v>70000</v>
      </c>
    </row>
    <row r="50" spans="2:30" ht="15">
      <c r="B50" s="625" t="s">
        <v>668</v>
      </c>
      <c r="C50" s="673"/>
      <c r="D50" s="673"/>
      <c r="E50" s="673"/>
      <c r="F50" s="673"/>
      <c r="G50" s="673"/>
      <c r="H50" s="673"/>
      <c r="I50" s="673"/>
      <c r="J50" s="673"/>
      <c r="K50" s="673"/>
      <c r="L50" s="673"/>
      <c r="M50" s="673"/>
      <c r="N50" s="673"/>
      <c r="O50" s="673"/>
      <c r="P50" s="673"/>
      <c r="Q50" s="673"/>
      <c r="R50" s="673"/>
      <c r="S50" s="673"/>
      <c r="T50" s="673"/>
      <c r="U50" s="674"/>
      <c r="W50" s="82"/>
      <c r="Z50" s="10" t="s">
        <v>669</v>
      </c>
      <c r="AA50" s="11">
        <f>AA48+AA49</f>
        <v>85874.507866387547</v>
      </c>
    </row>
    <row r="51" spans="2:30" ht="15">
      <c r="B51" s="646" t="s">
        <v>670</v>
      </c>
      <c r="C51" s="675">
        <v>0</v>
      </c>
      <c r="D51" s="675"/>
      <c r="E51" s="675"/>
      <c r="F51" s="675"/>
      <c r="G51" s="675"/>
      <c r="H51" s="675"/>
      <c r="I51" s="675"/>
      <c r="J51" s="675"/>
      <c r="K51" s="675"/>
      <c r="L51" s="675"/>
      <c r="M51" s="675"/>
      <c r="N51" s="675"/>
      <c r="O51" s="675"/>
      <c r="P51" s="675"/>
      <c r="Q51" s="675"/>
      <c r="R51" s="675">
        <v>0</v>
      </c>
      <c r="S51" s="675">
        <v>0</v>
      </c>
      <c r="T51" s="675">
        <v>0</v>
      </c>
      <c r="U51" s="676">
        <v>0</v>
      </c>
      <c r="Z51" s="10" t="s">
        <v>671</v>
      </c>
      <c r="AA51" s="11">
        <v>135</v>
      </c>
    </row>
    <row r="52" spans="2:30" ht="15">
      <c r="B52" s="677" t="s">
        <v>672</v>
      </c>
      <c r="C52" s="675">
        <v>1</v>
      </c>
      <c r="D52" s="675"/>
      <c r="E52" s="675"/>
      <c r="F52" s="675"/>
      <c r="G52" s="675"/>
      <c r="H52" s="675"/>
      <c r="I52" s="675"/>
      <c r="J52" s="675"/>
      <c r="K52" s="675"/>
      <c r="L52" s="675"/>
      <c r="M52" s="675"/>
      <c r="N52" s="675"/>
      <c r="O52" s="675"/>
      <c r="P52" s="675"/>
      <c r="Q52" s="675"/>
      <c r="R52" s="675">
        <v>1</v>
      </c>
      <c r="S52" s="675">
        <v>1</v>
      </c>
      <c r="T52" s="675">
        <v>1</v>
      </c>
      <c r="U52" s="676">
        <v>1</v>
      </c>
      <c r="X52" s="12">
        <v>4500</v>
      </c>
      <c r="Z52" s="10"/>
      <c r="AA52" s="11">
        <f>AA51*AA50</f>
        <v>11593058.56196232</v>
      </c>
    </row>
    <row r="53" spans="2:30" ht="15">
      <c r="B53" s="625" t="s">
        <v>673</v>
      </c>
      <c r="C53" s="678">
        <f t="shared" ref="C53:S55" si="4">ROUNDUP(IF(ISERROR((C46/(1-C$51))/C$52),0,((C46/(1-C$51))/C$52)),0)</f>
        <v>4000</v>
      </c>
      <c r="D53" s="678"/>
      <c r="E53" s="678"/>
      <c r="F53" s="678"/>
      <c r="G53" s="678"/>
      <c r="H53" s="678"/>
      <c r="I53" s="678"/>
      <c r="J53" s="678"/>
      <c r="K53" s="678"/>
      <c r="L53" s="678"/>
      <c r="M53" s="678"/>
      <c r="N53" s="678"/>
      <c r="O53" s="678"/>
      <c r="P53" s="678"/>
      <c r="Q53" s="678"/>
      <c r="R53" s="678">
        <f>ROUNDUP(IF(ISERROR((R46/(1-R$51))/R$52),0,((R46/(1-R$51))/R$52)),0)</f>
        <v>0</v>
      </c>
      <c r="S53" s="678">
        <f>ROUNDUP(IF(ISERROR((S46/(1-S$51))/S$52),0,((S46/(1-S$51))/S$52)),0)</f>
        <v>0</v>
      </c>
      <c r="T53" s="678">
        <f t="shared" ref="T53:U57" si="5">IF(ISERROR((T46/(1-T$51))/T$52),0,((T46/(1-T$51))/T$52))</f>
        <v>0</v>
      </c>
      <c r="U53" s="679">
        <f t="shared" si="5"/>
        <v>0</v>
      </c>
      <c r="X53" s="12">
        <v>6</v>
      </c>
      <c r="Z53" s="10" t="s">
        <v>674</v>
      </c>
      <c r="AA53" s="11">
        <v>30000</v>
      </c>
    </row>
    <row r="54" spans="2:30" ht="15">
      <c r="B54" s="625" t="s">
        <v>675</v>
      </c>
      <c r="C54" s="678">
        <f t="shared" si="4"/>
        <v>4000</v>
      </c>
      <c r="D54" s="678"/>
      <c r="E54" s="678"/>
      <c r="F54" s="678"/>
      <c r="G54" s="678"/>
      <c r="H54" s="678"/>
      <c r="I54" s="678"/>
      <c r="J54" s="678"/>
      <c r="K54" s="678"/>
      <c r="L54" s="678"/>
      <c r="M54" s="678"/>
      <c r="N54" s="678"/>
      <c r="O54" s="678"/>
      <c r="P54" s="678"/>
      <c r="Q54" s="678"/>
      <c r="R54" s="678">
        <f>ROUNDUP(IF(ISERROR((R47/(1-R$51))/R$52),0,((R47/(1-R$51))/R$52)),0)</f>
        <v>0</v>
      </c>
      <c r="S54" s="678">
        <f t="shared" si="4"/>
        <v>0</v>
      </c>
      <c r="T54" s="678">
        <f t="shared" si="5"/>
        <v>0</v>
      </c>
      <c r="U54" s="679">
        <f t="shared" si="5"/>
        <v>0</v>
      </c>
      <c r="X54" s="12">
        <f>X52/X53</f>
        <v>750</v>
      </c>
      <c r="Z54" s="10"/>
      <c r="AA54" s="11">
        <f>SUM(AA52:AA53)</f>
        <v>11623058.56196232</v>
      </c>
    </row>
    <row r="55" spans="2:30" ht="15">
      <c r="B55" s="625" t="s">
        <v>676</v>
      </c>
      <c r="C55" s="678">
        <f t="shared" si="4"/>
        <v>4000</v>
      </c>
      <c r="D55" s="678"/>
      <c r="E55" s="678"/>
      <c r="F55" s="678"/>
      <c r="G55" s="678"/>
      <c r="H55" s="678"/>
      <c r="I55" s="678"/>
      <c r="J55" s="678"/>
      <c r="K55" s="678"/>
      <c r="L55" s="678"/>
      <c r="M55" s="678"/>
      <c r="N55" s="678"/>
      <c r="O55" s="678"/>
      <c r="P55" s="678"/>
      <c r="Q55" s="678"/>
      <c r="R55" s="678">
        <f t="shared" si="4"/>
        <v>0</v>
      </c>
      <c r="S55" s="678">
        <f t="shared" si="4"/>
        <v>0</v>
      </c>
      <c r="T55" s="678">
        <f t="shared" si="5"/>
        <v>0</v>
      </c>
      <c r="U55" s="679">
        <f t="shared" si="5"/>
        <v>0</v>
      </c>
      <c r="X55" s="12">
        <f>X54*2</f>
        <v>1500</v>
      </c>
      <c r="Z55" s="10" t="s">
        <v>677</v>
      </c>
      <c r="AA55" s="11">
        <f>AA54/AA44</f>
        <v>166.04369374231885</v>
      </c>
    </row>
    <row r="56" spans="2:30">
      <c r="B56" s="625" t="s">
        <v>678</v>
      </c>
      <c r="C56" s="678">
        <f t="shared" ref="C56:S57" si="6">IF(ISERROR((C49/(1-C$51))/C$52),0,((C49/(1-C$51))/C$52))</f>
        <v>0</v>
      </c>
      <c r="D56" s="678"/>
      <c r="E56" s="678"/>
      <c r="F56" s="678"/>
      <c r="G56" s="678"/>
      <c r="H56" s="678"/>
      <c r="I56" s="678"/>
      <c r="J56" s="678"/>
      <c r="K56" s="678"/>
      <c r="L56" s="678"/>
      <c r="M56" s="678"/>
      <c r="N56" s="678"/>
      <c r="O56" s="678"/>
      <c r="P56" s="678"/>
      <c r="Q56" s="678"/>
      <c r="R56" s="678">
        <f t="shared" si="6"/>
        <v>0</v>
      </c>
      <c r="S56" s="678">
        <f t="shared" si="6"/>
        <v>0</v>
      </c>
      <c r="T56" s="678">
        <f t="shared" si="5"/>
        <v>0</v>
      </c>
      <c r="U56" s="679">
        <f t="shared" si="5"/>
        <v>0</v>
      </c>
    </row>
    <row r="57" spans="2:30">
      <c r="B57" s="625" t="s">
        <v>679</v>
      </c>
      <c r="C57" s="678">
        <f t="shared" si="6"/>
        <v>0</v>
      </c>
      <c r="D57" s="678"/>
      <c r="E57" s="678"/>
      <c r="F57" s="678"/>
      <c r="G57" s="678"/>
      <c r="H57" s="678"/>
      <c r="I57" s="678"/>
      <c r="J57" s="678"/>
      <c r="K57" s="678"/>
      <c r="L57" s="678"/>
      <c r="M57" s="678"/>
      <c r="N57" s="678"/>
      <c r="O57" s="678"/>
      <c r="P57" s="678"/>
      <c r="Q57" s="678"/>
      <c r="R57" s="678">
        <f t="shared" si="6"/>
        <v>0</v>
      </c>
      <c r="S57" s="678">
        <f t="shared" si="6"/>
        <v>0</v>
      </c>
      <c r="T57" s="678">
        <f t="shared" si="5"/>
        <v>0</v>
      </c>
      <c r="U57" s="679">
        <f t="shared" si="5"/>
        <v>0</v>
      </c>
    </row>
    <row r="58" spans="2:30">
      <c r="B58" s="629"/>
      <c r="C58" s="680"/>
      <c r="D58" s="680"/>
      <c r="E58" s="680"/>
      <c r="F58" s="680"/>
      <c r="G58" s="680"/>
      <c r="H58" s="680"/>
      <c r="I58" s="680"/>
      <c r="J58" s="680"/>
      <c r="K58" s="680"/>
      <c r="L58" s="680"/>
      <c r="M58" s="680"/>
      <c r="N58" s="680"/>
      <c r="O58" s="680"/>
      <c r="P58" s="680"/>
      <c r="Q58" s="680"/>
      <c r="R58" s="680"/>
      <c r="S58" s="680"/>
      <c r="T58" s="680"/>
      <c r="U58" s="681"/>
      <c r="AD58" s="66"/>
    </row>
    <row r="60" spans="2:30">
      <c r="B60" s="623"/>
      <c r="C60" s="682" t="s">
        <v>340</v>
      </c>
      <c r="D60" s="682"/>
      <c r="E60" s="682"/>
      <c r="F60" s="682"/>
      <c r="G60" s="682"/>
      <c r="H60" s="682"/>
      <c r="I60" s="682"/>
      <c r="J60" s="682"/>
      <c r="K60" s="682"/>
      <c r="L60" s="682"/>
      <c r="M60" s="682"/>
      <c r="N60" s="682"/>
      <c r="O60" s="682"/>
      <c r="P60" s="682"/>
      <c r="Q60" s="682"/>
      <c r="R60" s="682" t="s">
        <v>341</v>
      </c>
      <c r="S60" s="682" t="s">
        <v>342</v>
      </c>
      <c r="T60" s="682" t="s">
        <v>343</v>
      </c>
      <c r="U60" s="683" t="s">
        <v>344</v>
      </c>
    </row>
    <row r="61" spans="2:30">
      <c r="B61" s="629" t="s">
        <v>680</v>
      </c>
      <c r="C61" s="684">
        <f>SUMPRODUCT(C53:U53,$C$26:$U$26)</f>
        <v>11743.000151999999</v>
      </c>
      <c r="D61" s="684"/>
      <c r="E61" s="684"/>
      <c r="F61" s="684"/>
      <c r="G61" s="684"/>
      <c r="H61" s="684"/>
      <c r="I61" s="684"/>
      <c r="J61" s="684"/>
      <c r="K61" s="684"/>
      <c r="L61" s="684"/>
      <c r="M61" s="684"/>
      <c r="N61" s="684"/>
      <c r="O61" s="684"/>
      <c r="P61" s="684"/>
      <c r="Q61" s="684"/>
      <c r="R61" s="684">
        <f>SUMPRODUCT(C54:U54,$C$26:$U$26)</f>
        <v>11743.000151999999</v>
      </c>
      <c r="S61" s="684">
        <f>SUMPRODUCT(C55:U55,$C$27:$U$27)</f>
        <v>24000</v>
      </c>
      <c r="T61" s="684">
        <f>SUMPRODUCT(C56:U56,$C$26:$U$26)</f>
        <v>0</v>
      </c>
      <c r="U61" s="685">
        <f>SUMPRODUCT(C57:U57,$C$26:$U$26)</f>
        <v>0</v>
      </c>
      <c r="AD61" s="66"/>
    </row>
    <row r="63" spans="2:30">
      <c r="B63" s="70" t="s">
        <v>681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2"/>
      <c r="T63" s="73"/>
      <c r="U63" s="73"/>
    </row>
    <row r="64" spans="2:30">
      <c r="B64" s="686" t="s">
        <v>248</v>
      </c>
      <c r="C64" s="687" t="s">
        <v>230</v>
      </c>
      <c r="D64" s="687"/>
      <c r="E64" s="687"/>
      <c r="F64" s="687"/>
      <c r="G64" s="687"/>
      <c r="H64" s="687"/>
      <c r="I64" s="687"/>
      <c r="J64" s="687"/>
      <c r="K64" s="687"/>
      <c r="L64" s="687"/>
      <c r="M64" s="687"/>
      <c r="N64" s="687"/>
      <c r="O64" s="687"/>
      <c r="P64" s="687"/>
      <c r="Q64" s="687"/>
      <c r="R64" s="687" t="s">
        <v>301</v>
      </c>
      <c r="S64" s="687" t="s">
        <v>302</v>
      </c>
      <c r="T64" s="687" t="s">
        <v>303</v>
      </c>
      <c r="U64" s="688" t="s">
        <v>304</v>
      </c>
    </row>
    <row r="65" spans="2:23">
      <c r="B65" s="689" t="s">
        <v>198</v>
      </c>
      <c r="C65" s="690">
        <f>C53*C26</f>
        <v>11743.000151999999</v>
      </c>
      <c r="D65" s="690"/>
      <c r="E65" s="690"/>
      <c r="F65" s="690"/>
      <c r="G65" s="690"/>
      <c r="H65" s="690"/>
      <c r="I65" s="690"/>
      <c r="J65" s="690"/>
      <c r="K65" s="690"/>
      <c r="L65" s="690"/>
      <c r="M65" s="690"/>
      <c r="N65" s="690"/>
      <c r="O65" s="690"/>
      <c r="P65" s="690"/>
      <c r="Q65" s="690"/>
      <c r="R65" s="690">
        <f>SPACEWORK!R61+X47</f>
        <v>12043.000151999999</v>
      </c>
      <c r="S65" s="690">
        <f>SPACEWORK!S61+X47</f>
        <v>24300</v>
      </c>
      <c r="T65" s="690"/>
      <c r="U65" s="691"/>
    </row>
    <row r="66" spans="2:23">
      <c r="B66" s="689" t="s">
        <v>682</v>
      </c>
      <c r="C66" s="692">
        <f>('Plan Base'!D32+'Plan Base'!D35+'Plan Base'!D37)*C28</f>
        <v>4880.7359999999999</v>
      </c>
      <c r="D66" s="692"/>
      <c r="E66" s="692"/>
      <c r="F66" s="692"/>
      <c r="G66" s="692"/>
      <c r="H66" s="692"/>
      <c r="I66" s="692"/>
      <c r="J66" s="692"/>
      <c r="K66" s="692"/>
      <c r="L66" s="692"/>
      <c r="M66" s="692"/>
      <c r="N66" s="692"/>
      <c r="O66" s="692"/>
      <c r="P66" s="692"/>
      <c r="Q66" s="692"/>
      <c r="R66" s="692">
        <f>C66</f>
        <v>4880.7359999999999</v>
      </c>
      <c r="S66" s="692">
        <f>'Plan Base'!D32*12</f>
        <v>2057.1428571428569</v>
      </c>
      <c r="T66" s="692"/>
      <c r="U66" s="693"/>
      <c r="W66" s="12">
        <f>50+25+25</f>
        <v>100</v>
      </c>
    </row>
    <row r="67" spans="2:23">
      <c r="B67" s="689" t="s">
        <v>683</v>
      </c>
      <c r="C67" s="692">
        <f>C66</f>
        <v>4880.7359999999999</v>
      </c>
      <c r="D67" s="692"/>
      <c r="E67" s="692"/>
      <c r="F67" s="692"/>
      <c r="G67" s="692"/>
      <c r="H67" s="692"/>
      <c r="I67" s="692"/>
      <c r="J67" s="692"/>
      <c r="K67" s="692"/>
      <c r="L67" s="692"/>
      <c r="M67" s="692"/>
      <c r="N67" s="692"/>
      <c r="O67" s="692"/>
      <c r="P67" s="692"/>
      <c r="Q67" s="692"/>
      <c r="R67" s="692">
        <v>0</v>
      </c>
      <c r="S67" s="692">
        <f>'Plan Base'!D61*12</f>
        <v>2057.1428571428569</v>
      </c>
      <c r="T67" s="692"/>
      <c r="U67" s="693"/>
      <c r="W67" s="12">
        <f>CONVERT(W66,"m^2","ft^2")</f>
        <v>1076.3910416709723</v>
      </c>
    </row>
    <row r="68" spans="2:23">
      <c r="B68" s="689" t="s">
        <v>684</v>
      </c>
      <c r="C68" s="692">
        <v>900</v>
      </c>
      <c r="D68" s="692"/>
      <c r="E68" s="692"/>
      <c r="F68" s="692"/>
      <c r="G68" s="692"/>
      <c r="H68" s="692"/>
      <c r="I68" s="692"/>
      <c r="J68" s="692"/>
      <c r="K68" s="692"/>
      <c r="L68" s="692"/>
      <c r="M68" s="692"/>
      <c r="N68" s="692"/>
      <c r="O68" s="692"/>
      <c r="P68" s="692"/>
      <c r="Q68" s="692"/>
      <c r="R68" s="692" t="e">
        <f>#REF!</f>
        <v>#REF!</v>
      </c>
      <c r="S68" s="692">
        <f>ARM!C88+100</f>
        <v>350</v>
      </c>
      <c r="T68" s="690"/>
      <c r="U68" s="691"/>
    </row>
    <row r="69" spans="2:23">
      <c r="B69" s="689" t="s">
        <v>542</v>
      </c>
      <c r="C69" s="692">
        <v>500</v>
      </c>
      <c r="D69" s="692"/>
      <c r="E69" s="692"/>
      <c r="F69" s="692"/>
      <c r="G69" s="692"/>
      <c r="H69" s="692"/>
      <c r="I69" s="692"/>
      <c r="J69" s="692"/>
      <c r="K69" s="692"/>
      <c r="L69" s="692"/>
      <c r="M69" s="692"/>
      <c r="N69" s="692"/>
      <c r="O69" s="692"/>
      <c r="P69" s="692"/>
      <c r="Q69" s="692"/>
      <c r="R69" s="692" t="e">
        <f>#REF!</f>
        <v>#REF!</v>
      </c>
      <c r="S69" s="692">
        <f>ARM!C92</f>
        <v>800</v>
      </c>
      <c r="T69" s="690"/>
      <c r="U69" s="691"/>
    </row>
    <row r="70" spans="2:23">
      <c r="B70" s="689" t="s">
        <v>685</v>
      </c>
      <c r="C70" s="692">
        <v>200</v>
      </c>
      <c r="D70" s="692"/>
      <c r="E70" s="692"/>
      <c r="F70" s="692"/>
      <c r="G70" s="692"/>
      <c r="H70" s="692"/>
      <c r="I70" s="692"/>
      <c r="J70" s="692"/>
      <c r="K70" s="692"/>
      <c r="L70" s="692"/>
      <c r="M70" s="692"/>
      <c r="N70" s="692"/>
      <c r="O70" s="692"/>
      <c r="P70" s="692"/>
      <c r="Q70" s="692"/>
      <c r="R70" s="692" t="e">
        <f>#REF!</f>
        <v>#REF!</v>
      </c>
      <c r="S70" s="692">
        <v>100</v>
      </c>
      <c r="T70" s="690"/>
      <c r="U70" s="691"/>
    </row>
    <row r="71" spans="2:23">
      <c r="B71" s="689" t="s">
        <v>686</v>
      </c>
      <c r="C71" s="692">
        <f>C65*0.1</f>
        <v>1174.3000152</v>
      </c>
      <c r="D71" s="692"/>
      <c r="E71" s="692"/>
      <c r="F71" s="692"/>
      <c r="G71" s="692"/>
      <c r="H71" s="692"/>
      <c r="I71" s="692"/>
      <c r="J71" s="692"/>
      <c r="K71" s="692"/>
      <c r="L71" s="692"/>
      <c r="M71" s="692"/>
      <c r="N71" s="692"/>
      <c r="O71" s="692"/>
      <c r="P71" s="692"/>
      <c r="Q71" s="692"/>
      <c r="R71" s="692" t="e">
        <f>#REF!</f>
        <v>#REF!</v>
      </c>
      <c r="S71" s="692">
        <v>0</v>
      </c>
      <c r="T71" s="690"/>
      <c r="U71" s="691"/>
    </row>
    <row r="72" spans="2:23">
      <c r="B72" s="689" t="s">
        <v>687</v>
      </c>
      <c r="C72" s="692"/>
      <c r="D72" s="692"/>
      <c r="E72" s="692"/>
      <c r="F72" s="692"/>
      <c r="G72" s="692"/>
      <c r="H72" s="692"/>
      <c r="I72" s="692"/>
      <c r="J72" s="692"/>
      <c r="K72" s="692"/>
      <c r="L72" s="692"/>
      <c r="M72" s="692"/>
      <c r="N72" s="692"/>
      <c r="O72" s="692"/>
      <c r="P72" s="692"/>
      <c r="Q72" s="692"/>
      <c r="R72" s="692" t="e">
        <f>#REF!</f>
        <v>#REF!</v>
      </c>
      <c r="S72" s="692">
        <f>ARM!C90</f>
        <v>100</v>
      </c>
      <c r="T72" s="690"/>
      <c r="U72" s="691"/>
    </row>
    <row r="73" spans="2:23">
      <c r="B73" s="689" t="s">
        <v>651</v>
      </c>
      <c r="C73" s="694">
        <f>SUM(C65:C72)</f>
        <v>24278.772167199997</v>
      </c>
      <c r="D73" s="694"/>
      <c r="E73" s="694"/>
      <c r="F73" s="694"/>
      <c r="G73" s="694"/>
      <c r="H73" s="694"/>
      <c r="I73" s="694"/>
      <c r="J73" s="694"/>
      <c r="K73" s="694"/>
      <c r="L73" s="694"/>
      <c r="M73" s="694"/>
      <c r="N73" s="694"/>
      <c r="O73" s="694"/>
      <c r="P73" s="694"/>
      <c r="Q73" s="694"/>
      <c r="R73" s="694" t="e">
        <f>SUM(R65:R72)</f>
        <v>#REF!</v>
      </c>
      <c r="S73" s="694">
        <f>SUM(S65:S72)</f>
        <v>29764.28571428571</v>
      </c>
      <c r="T73" s="694">
        <f>SUM(T65:T72)</f>
        <v>0</v>
      </c>
      <c r="U73" s="695">
        <f>SUM(U65:U72)</f>
        <v>0</v>
      </c>
    </row>
    <row r="74" spans="2:23">
      <c r="B74" s="689" t="s">
        <v>688</v>
      </c>
      <c r="C74" s="696">
        <f>CEILING($C$73,100)</f>
        <v>24300</v>
      </c>
      <c r="D74" s="696"/>
      <c r="E74" s="696"/>
      <c r="F74" s="696"/>
      <c r="G74" s="696"/>
      <c r="H74" s="696"/>
      <c r="I74" s="696"/>
      <c r="J74" s="696"/>
      <c r="K74" s="696"/>
      <c r="L74" s="696"/>
      <c r="M74" s="696"/>
      <c r="N74" s="696"/>
      <c r="O74" s="696"/>
      <c r="P74" s="696"/>
      <c r="Q74" s="696"/>
      <c r="R74" s="696" t="e">
        <f>CEILING($R$73,100)</f>
        <v>#REF!</v>
      </c>
      <c r="S74" s="696">
        <f>CEILING($S$73,100)</f>
        <v>29800</v>
      </c>
      <c r="T74" s="696">
        <f>CEILING($T$73,1000)</f>
        <v>0</v>
      </c>
      <c r="U74" s="697">
        <f>CEILING($T$73,1000)</f>
        <v>0</v>
      </c>
    </row>
    <row r="75" spans="2:23">
      <c r="B75" s="698" t="str">
        <f t="shared" ref="B75:U75" si="7">B83</f>
        <v>Total Builtup Area</v>
      </c>
      <c r="C75" s="699">
        <f t="shared" si="7"/>
        <v>29000</v>
      </c>
      <c r="D75" s="699"/>
      <c r="E75" s="699"/>
      <c r="F75" s="699"/>
      <c r="G75" s="699"/>
      <c r="H75" s="699"/>
      <c r="I75" s="699"/>
      <c r="J75" s="699"/>
      <c r="K75" s="699"/>
      <c r="L75" s="699"/>
      <c r="M75" s="699"/>
      <c r="N75" s="699"/>
      <c r="O75" s="699"/>
      <c r="P75" s="699"/>
      <c r="Q75" s="699"/>
      <c r="R75" s="699" t="e">
        <f t="shared" si="7"/>
        <v>#REF!</v>
      </c>
      <c r="S75" s="699">
        <f t="shared" si="7"/>
        <v>36000</v>
      </c>
      <c r="T75" s="699">
        <f t="shared" si="7"/>
        <v>0</v>
      </c>
      <c r="U75" s="700">
        <f t="shared" si="7"/>
        <v>0</v>
      </c>
      <c r="V75" s="12">
        <f>CONVERT(C75,"ft^2","m^2")</f>
        <v>2694.1881600000002</v>
      </c>
    </row>
    <row r="76" spans="2:23"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</row>
    <row r="77" spans="2:23">
      <c r="B77" s="701" t="s">
        <v>248</v>
      </c>
      <c r="C77" s="702">
        <v>1</v>
      </c>
      <c r="D77" s="702"/>
      <c r="E77" s="702"/>
      <c r="F77" s="702"/>
      <c r="G77" s="702"/>
      <c r="H77" s="702"/>
      <c r="I77" s="702"/>
      <c r="J77" s="702"/>
      <c r="K77" s="702"/>
      <c r="L77" s="702"/>
      <c r="M77" s="702"/>
      <c r="N77" s="702"/>
      <c r="O77" s="702"/>
      <c r="P77" s="702"/>
      <c r="Q77" s="702"/>
      <c r="R77" s="702">
        <v>2</v>
      </c>
      <c r="S77" s="702">
        <v>3</v>
      </c>
      <c r="T77" s="702">
        <v>4</v>
      </c>
      <c r="U77" s="703">
        <v>5</v>
      </c>
    </row>
    <row r="78" spans="2:23">
      <c r="B78" s="643" t="s">
        <v>545</v>
      </c>
      <c r="C78" s="704">
        <f>C74</f>
        <v>24300</v>
      </c>
      <c r="D78" s="704"/>
      <c r="E78" s="704"/>
      <c r="F78" s="704"/>
      <c r="G78" s="704"/>
      <c r="H78" s="704"/>
      <c r="I78" s="704"/>
      <c r="J78" s="704"/>
      <c r="K78" s="704"/>
      <c r="L78" s="704"/>
      <c r="M78" s="704"/>
      <c r="N78" s="704"/>
      <c r="O78" s="704"/>
      <c r="P78" s="704"/>
      <c r="Q78" s="704"/>
      <c r="R78" s="704" t="e">
        <f t="shared" ref="R78:S78" si="8">R74</f>
        <v>#REF!</v>
      </c>
      <c r="S78" s="704">
        <f t="shared" si="8"/>
        <v>29800</v>
      </c>
      <c r="T78" s="705"/>
      <c r="U78" s="706"/>
    </row>
    <row r="79" spans="2:23">
      <c r="B79" s="643" t="s">
        <v>546</v>
      </c>
      <c r="C79" s="704">
        <v>0</v>
      </c>
      <c r="D79" s="704"/>
      <c r="E79" s="704"/>
      <c r="F79" s="704"/>
      <c r="G79" s="704"/>
      <c r="H79" s="704"/>
      <c r="I79" s="704"/>
      <c r="J79" s="704"/>
      <c r="K79" s="704"/>
      <c r="L79" s="704"/>
      <c r="M79" s="704"/>
      <c r="N79" s="704"/>
      <c r="O79" s="704"/>
      <c r="P79" s="704"/>
      <c r="Q79" s="704"/>
      <c r="R79" s="704">
        <v>0</v>
      </c>
      <c r="S79" s="704">
        <v>0</v>
      </c>
      <c r="T79" s="704"/>
      <c r="U79" s="707"/>
    </row>
    <row r="80" spans="2:23">
      <c r="B80" s="643" t="s">
        <v>547</v>
      </c>
      <c r="C80" s="704">
        <v>0</v>
      </c>
      <c r="D80" s="704"/>
      <c r="E80" s="704"/>
      <c r="F80" s="704"/>
      <c r="G80" s="704"/>
      <c r="H80" s="704"/>
      <c r="I80" s="704"/>
      <c r="J80" s="704"/>
      <c r="K80" s="704"/>
      <c r="L80" s="704"/>
      <c r="M80" s="704"/>
      <c r="N80" s="704"/>
      <c r="O80" s="704"/>
      <c r="P80" s="704"/>
      <c r="Q80" s="704"/>
      <c r="R80" s="704">
        <v>0</v>
      </c>
      <c r="S80" s="704">
        <v>0</v>
      </c>
      <c r="T80" s="704"/>
      <c r="U80" s="707"/>
    </row>
    <row r="81" spans="2:24">
      <c r="B81" s="643" t="s">
        <v>548</v>
      </c>
      <c r="C81" s="704">
        <v>0</v>
      </c>
      <c r="D81" s="704"/>
      <c r="E81" s="704"/>
      <c r="F81" s="704"/>
      <c r="G81" s="704"/>
      <c r="H81" s="704"/>
      <c r="I81" s="704"/>
      <c r="J81" s="704"/>
      <c r="K81" s="704"/>
      <c r="L81" s="704"/>
      <c r="M81" s="704"/>
      <c r="N81" s="704"/>
      <c r="O81" s="704"/>
      <c r="P81" s="704"/>
      <c r="Q81" s="704"/>
      <c r="R81" s="704">
        <v>0</v>
      </c>
      <c r="S81" s="704">
        <v>0</v>
      </c>
      <c r="T81" s="704"/>
      <c r="U81" s="707"/>
      <c r="W81" s="12">
        <v>5000</v>
      </c>
      <c r="X81" s="12">
        <f>W81*10.76</f>
        <v>53800</v>
      </c>
    </row>
    <row r="82" spans="2:24">
      <c r="B82" s="643" t="s">
        <v>549</v>
      </c>
      <c r="C82" s="704">
        <f>SUM(C78:C81)</f>
        <v>24300</v>
      </c>
      <c r="D82" s="704"/>
      <c r="E82" s="704"/>
      <c r="F82" s="704"/>
      <c r="G82" s="704"/>
      <c r="H82" s="704"/>
      <c r="I82" s="704"/>
      <c r="J82" s="704"/>
      <c r="K82" s="704"/>
      <c r="L82" s="704"/>
      <c r="M82" s="704"/>
      <c r="N82" s="704"/>
      <c r="O82" s="704"/>
      <c r="P82" s="704"/>
      <c r="Q82" s="704"/>
      <c r="R82" s="704" t="e">
        <f>SUM(R78:R81)</f>
        <v>#REF!</v>
      </c>
      <c r="S82" s="704">
        <f>SUM(S78:S81)</f>
        <v>29800</v>
      </c>
      <c r="T82" s="704">
        <f>SUM(T78:T81)</f>
        <v>0</v>
      </c>
      <c r="U82" s="707">
        <f>SUM(U78:U81)</f>
        <v>0</v>
      </c>
    </row>
    <row r="83" spans="2:24">
      <c r="B83" s="643" t="s">
        <v>550</v>
      </c>
      <c r="C83" s="708">
        <f>CEILING(ROUND(C82*(1+SPACEWORK!$C$2),-3),100)</f>
        <v>29000</v>
      </c>
      <c r="D83" s="708"/>
      <c r="E83" s="708"/>
      <c r="F83" s="708"/>
      <c r="G83" s="708"/>
      <c r="H83" s="708"/>
      <c r="I83" s="708"/>
      <c r="J83" s="708"/>
      <c r="K83" s="708"/>
      <c r="L83" s="708"/>
      <c r="M83" s="708"/>
      <c r="N83" s="708"/>
      <c r="O83" s="708"/>
      <c r="P83" s="708"/>
      <c r="Q83" s="708"/>
      <c r="R83" s="708" t="e">
        <f>CEILING(ROUND(R82*(1+SPACEWORK!$C$2),-3),100)</f>
        <v>#REF!</v>
      </c>
      <c r="S83" s="708">
        <f>CEILING(ROUND(S82*(1+SPACEWORK!$C$2),-3),100)</f>
        <v>36000</v>
      </c>
      <c r="T83" s="708">
        <v>0</v>
      </c>
      <c r="U83" s="709">
        <v>0</v>
      </c>
      <c r="V83" s="12">
        <f>CONVERT(C83,"ft^2","m^2")</f>
        <v>2694.1881600000002</v>
      </c>
    </row>
    <row r="84" spans="2:24">
      <c r="B84" s="643" t="s">
        <v>551</v>
      </c>
      <c r="C84" s="708">
        <f>C83</f>
        <v>29000</v>
      </c>
      <c r="D84" s="708"/>
      <c r="E84" s="708"/>
      <c r="F84" s="708"/>
      <c r="G84" s="708"/>
      <c r="H84" s="708"/>
      <c r="I84" s="708"/>
      <c r="J84" s="708"/>
      <c r="K84" s="708"/>
      <c r="L84" s="708"/>
      <c r="M84" s="708"/>
      <c r="N84" s="708"/>
      <c r="O84" s="708"/>
      <c r="P84" s="708"/>
      <c r="Q84" s="708"/>
      <c r="R84" s="708" t="e">
        <f t="shared" ref="R84:S84" si="9">R83</f>
        <v>#REF!</v>
      </c>
      <c r="S84" s="708">
        <f t="shared" si="9"/>
        <v>36000</v>
      </c>
      <c r="T84" s="708">
        <f t="shared" ref="T84" si="10">T83</f>
        <v>0</v>
      </c>
      <c r="U84" s="709">
        <f t="shared" ref="U84" si="11">U83</f>
        <v>0</v>
      </c>
    </row>
    <row r="85" spans="2:24">
      <c r="B85" s="643" t="s">
        <v>552</v>
      </c>
      <c r="C85" s="710">
        <f>C93</f>
        <v>19</v>
      </c>
      <c r="D85" s="710"/>
      <c r="E85" s="710"/>
      <c r="F85" s="710"/>
      <c r="G85" s="710"/>
      <c r="H85" s="710"/>
      <c r="I85" s="710"/>
      <c r="J85" s="710"/>
      <c r="K85" s="710"/>
      <c r="L85" s="710"/>
      <c r="M85" s="710"/>
      <c r="N85" s="710"/>
      <c r="O85" s="710"/>
      <c r="P85" s="710"/>
      <c r="Q85" s="710"/>
      <c r="R85" s="710">
        <f>R103</f>
        <v>0</v>
      </c>
      <c r="S85" s="710">
        <f t="shared" ref="S85:U85" si="12">S103</f>
        <v>20.947500000000002</v>
      </c>
      <c r="T85" s="710">
        <f t="shared" si="12"/>
        <v>0</v>
      </c>
      <c r="U85" s="711">
        <f t="shared" si="12"/>
        <v>0</v>
      </c>
      <c r="V85" s="12" t="s">
        <v>689</v>
      </c>
    </row>
    <row r="86" spans="2:24">
      <c r="B86" s="712" t="s">
        <v>553</v>
      </c>
      <c r="C86" s="713">
        <f>C84*C85</f>
        <v>551000</v>
      </c>
      <c r="D86" s="713"/>
      <c r="E86" s="713"/>
      <c r="F86" s="713"/>
      <c r="G86" s="713"/>
      <c r="H86" s="713"/>
      <c r="I86" s="713"/>
      <c r="J86" s="713"/>
      <c r="K86" s="713"/>
      <c r="L86" s="713"/>
      <c r="M86" s="713"/>
      <c r="N86" s="713"/>
      <c r="O86" s="713"/>
      <c r="P86" s="713"/>
      <c r="Q86" s="713"/>
      <c r="R86" s="713" t="e">
        <f>R84*R85</f>
        <v>#REF!</v>
      </c>
      <c r="S86" s="713">
        <f t="shared" ref="S86:U86" si="13">S84*S85</f>
        <v>754110</v>
      </c>
      <c r="T86" s="713">
        <f t="shared" si="13"/>
        <v>0</v>
      </c>
      <c r="U86" s="714">
        <f t="shared" si="13"/>
        <v>0</v>
      </c>
    </row>
    <row r="87" spans="2:24">
      <c r="B87" s="643" t="s">
        <v>554</v>
      </c>
      <c r="C87" s="705">
        <f>C86*SPACEWORK!$C$4</f>
        <v>1653000</v>
      </c>
      <c r="D87" s="705"/>
      <c r="E87" s="705"/>
      <c r="F87" s="705"/>
      <c r="G87" s="705"/>
      <c r="H87" s="705"/>
      <c r="I87" s="705"/>
      <c r="J87" s="705"/>
      <c r="K87" s="705"/>
      <c r="L87" s="705"/>
      <c r="M87" s="705"/>
      <c r="N87" s="705"/>
      <c r="O87" s="705"/>
      <c r="P87" s="705"/>
      <c r="Q87" s="705"/>
      <c r="R87" s="705" t="e">
        <f>R86*SPACEWORK!$C$4</f>
        <v>#REF!</v>
      </c>
      <c r="S87" s="715">
        <f>S86*SPACEWORK!$C$4</f>
        <v>2262330</v>
      </c>
      <c r="T87" s="715">
        <f>T86*SPACEWORK!$C$4</f>
        <v>0</v>
      </c>
      <c r="U87" s="716">
        <f>U86*SPACEWORK!$C$4</f>
        <v>0</v>
      </c>
      <c r="V87" s="12" t="s">
        <v>689</v>
      </c>
    </row>
    <row r="88" spans="2:24">
      <c r="B88" s="643" t="s">
        <v>555</v>
      </c>
      <c r="C88" s="717">
        <f>C87*9.5%/12</f>
        <v>13086.25</v>
      </c>
      <c r="D88" s="717"/>
      <c r="E88" s="717"/>
      <c r="F88" s="717"/>
      <c r="G88" s="717"/>
      <c r="H88" s="717"/>
      <c r="I88" s="717"/>
      <c r="J88" s="717"/>
      <c r="K88" s="717"/>
      <c r="L88" s="717"/>
      <c r="M88" s="717"/>
      <c r="N88" s="717"/>
      <c r="O88" s="717"/>
      <c r="P88" s="717"/>
      <c r="Q88" s="717"/>
      <c r="R88" s="705">
        <f>C88</f>
        <v>13086.25</v>
      </c>
      <c r="S88" s="705">
        <f>R88</f>
        <v>13086.25</v>
      </c>
      <c r="T88" s="705">
        <f>S88</f>
        <v>13086.25</v>
      </c>
      <c r="U88" s="706">
        <f>T88</f>
        <v>13086.25</v>
      </c>
    </row>
    <row r="89" spans="2:24">
      <c r="B89" s="718" t="s">
        <v>557</v>
      </c>
      <c r="C89" s="719">
        <f>IF(C77&lt;=SPACEWORK!$C$7,1,0)*(C86+C88)</f>
        <v>564086.25</v>
      </c>
      <c r="D89" s="719"/>
      <c r="E89" s="719"/>
      <c r="F89" s="719"/>
      <c r="G89" s="719"/>
      <c r="H89" s="719"/>
      <c r="I89" s="719"/>
      <c r="J89" s="719"/>
      <c r="K89" s="719"/>
      <c r="L89" s="719"/>
      <c r="M89" s="719"/>
      <c r="N89" s="719"/>
      <c r="O89" s="719"/>
      <c r="P89" s="719"/>
      <c r="Q89" s="719"/>
      <c r="R89" s="719" t="e">
        <f>IF(R77&lt;=SPACEWORK!$C$7,1,0)*(R86+R88)</f>
        <v>#REF!</v>
      </c>
      <c r="S89" s="719">
        <f>IF(S77&lt;=SPACEWORK!$C$7,1,0)*(S86+S88)</f>
        <v>0</v>
      </c>
      <c r="T89" s="719">
        <f>IF(T77&lt;=SPACEWORK!$C$7,1,0)*(T86+T88)</f>
        <v>0</v>
      </c>
      <c r="U89" s="720">
        <f>IF(U77&lt;=SPACEWORK!$C$7,1,0)*(U86+U88)</f>
        <v>0</v>
      </c>
    </row>
    <row r="90" spans="2:24">
      <c r="B90" s="61"/>
      <c r="C90" s="87">
        <f>C89/C83</f>
        <v>19.451250000000002</v>
      </c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 t="e">
        <f>R89/R83</f>
        <v>#REF!</v>
      </c>
      <c r="S90" s="87">
        <f>S89/S83</f>
        <v>0</v>
      </c>
      <c r="T90" s="87" t="e">
        <f>T89/T84</f>
        <v>#DIV/0!</v>
      </c>
      <c r="U90" s="87" t="e">
        <f>U89/U84</f>
        <v>#DIV/0!</v>
      </c>
      <c r="V90" s="88"/>
      <c r="W90" s="88"/>
      <c r="X90" s="88"/>
    </row>
    <row r="91" spans="2:24">
      <c r="C91" s="69">
        <f>C89*1.17</f>
        <v>659980.91249999998</v>
      </c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89"/>
      <c r="S91" s="89"/>
      <c r="T91" s="89"/>
    </row>
    <row r="92" spans="2:24">
      <c r="B92" s="721" t="s">
        <v>690</v>
      </c>
      <c r="C92" s="722" t="s">
        <v>691</v>
      </c>
      <c r="D92" s="722"/>
      <c r="E92" s="722"/>
      <c r="F92" s="722"/>
      <c r="G92" s="722"/>
      <c r="H92" s="722"/>
      <c r="I92" s="722"/>
      <c r="J92" s="722"/>
      <c r="K92" s="722"/>
      <c r="L92" s="722"/>
      <c r="M92" s="722"/>
      <c r="N92" s="722"/>
      <c r="O92" s="722"/>
      <c r="P92" s="722"/>
      <c r="Q92" s="722"/>
      <c r="R92" s="723">
        <v>0.05</v>
      </c>
      <c r="S92" s="723">
        <v>0.05</v>
      </c>
      <c r="T92" s="723">
        <v>0.05</v>
      </c>
      <c r="U92" s="724">
        <v>0.05</v>
      </c>
    </row>
    <row r="93" spans="2:24">
      <c r="B93" s="725" t="s">
        <v>692</v>
      </c>
      <c r="C93" s="726">
        <v>19</v>
      </c>
      <c r="D93" s="726"/>
      <c r="E93" s="726"/>
      <c r="F93" s="726"/>
      <c r="G93" s="726"/>
      <c r="H93" s="726"/>
      <c r="I93" s="726"/>
      <c r="J93" s="726"/>
      <c r="K93" s="726"/>
      <c r="L93" s="726"/>
      <c r="M93" s="726"/>
      <c r="N93" s="726"/>
      <c r="O93" s="726"/>
      <c r="P93" s="726"/>
      <c r="Q93" s="726"/>
      <c r="R93" s="726">
        <f>C93*(1+R92)</f>
        <v>19.95</v>
      </c>
      <c r="S93" s="726">
        <f>R93*(1+S92)</f>
        <v>20.947500000000002</v>
      </c>
      <c r="T93" s="726">
        <f>S93*(1+T92)</f>
        <v>21.994875000000004</v>
      </c>
      <c r="U93" s="727">
        <f>T93*(1+U92)</f>
        <v>23.094618750000006</v>
      </c>
    </row>
    <row r="94" spans="2:24">
      <c r="B94" s="725" t="s">
        <v>693</v>
      </c>
      <c r="C94" s="728"/>
      <c r="D94" s="728"/>
      <c r="E94" s="728"/>
      <c r="F94" s="728"/>
      <c r="G94" s="728"/>
      <c r="H94" s="728"/>
      <c r="I94" s="728"/>
      <c r="J94" s="728"/>
      <c r="K94" s="728"/>
      <c r="L94" s="728"/>
      <c r="M94" s="728"/>
      <c r="N94" s="728"/>
      <c r="O94" s="728"/>
      <c r="P94" s="728"/>
      <c r="Q94" s="728"/>
      <c r="R94" s="728"/>
      <c r="S94" s="728"/>
      <c r="T94" s="728"/>
      <c r="U94" s="729"/>
    </row>
    <row r="95" spans="2:24">
      <c r="B95" s="725" t="s">
        <v>694</v>
      </c>
      <c r="C95" s="730">
        <v>12</v>
      </c>
      <c r="D95" s="730"/>
      <c r="E95" s="730"/>
      <c r="F95" s="730"/>
      <c r="G95" s="730"/>
      <c r="H95" s="730"/>
      <c r="I95" s="730"/>
      <c r="J95" s="730"/>
      <c r="K95" s="730"/>
      <c r="L95" s="730"/>
      <c r="M95" s="730"/>
      <c r="N95" s="730"/>
      <c r="O95" s="730"/>
      <c r="P95" s="730"/>
      <c r="Q95" s="730"/>
      <c r="R95" s="730">
        <f>C95</f>
        <v>12</v>
      </c>
      <c r="S95" s="730">
        <f>R95</f>
        <v>12</v>
      </c>
      <c r="T95" s="730">
        <f>S95</f>
        <v>12</v>
      </c>
      <c r="U95" s="731">
        <f>T95</f>
        <v>12</v>
      </c>
    </row>
    <row r="96" spans="2:24">
      <c r="B96" s="725" t="s">
        <v>695</v>
      </c>
      <c r="C96" s="732">
        <v>0</v>
      </c>
      <c r="D96" s="732"/>
      <c r="E96" s="732"/>
      <c r="F96" s="732"/>
      <c r="G96" s="732"/>
      <c r="H96" s="732"/>
      <c r="I96" s="732"/>
      <c r="J96" s="732"/>
      <c r="K96" s="732"/>
      <c r="L96" s="732"/>
      <c r="M96" s="732"/>
      <c r="N96" s="732"/>
      <c r="O96" s="732"/>
      <c r="P96" s="732"/>
      <c r="Q96" s="732"/>
      <c r="R96" s="732">
        <v>0</v>
      </c>
      <c r="S96" s="732">
        <v>0</v>
      </c>
      <c r="T96" s="732">
        <v>0</v>
      </c>
      <c r="U96" s="733">
        <v>0</v>
      </c>
    </row>
    <row r="97" spans="2:22">
      <c r="B97" s="725" t="s">
        <v>696</v>
      </c>
      <c r="C97" s="728">
        <v>22</v>
      </c>
      <c r="D97" s="728"/>
      <c r="E97" s="728"/>
      <c r="F97" s="728"/>
      <c r="G97" s="728"/>
      <c r="H97" s="728"/>
      <c r="I97" s="728"/>
      <c r="J97" s="728"/>
      <c r="K97" s="728"/>
      <c r="L97" s="728"/>
      <c r="M97" s="728"/>
      <c r="N97" s="728"/>
      <c r="O97" s="728"/>
      <c r="P97" s="728"/>
      <c r="Q97" s="728"/>
      <c r="R97" s="728">
        <f>R95-R96</f>
        <v>12</v>
      </c>
      <c r="S97" s="728">
        <f>S95-S96</f>
        <v>12</v>
      </c>
      <c r="T97" s="728">
        <f>T95-T96</f>
        <v>12</v>
      </c>
      <c r="U97" s="729">
        <f>U95-U96</f>
        <v>12</v>
      </c>
    </row>
    <row r="98" spans="2:22">
      <c r="B98" s="725" t="s">
        <v>697</v>
      </c>
      <c r="C98" s="734">
        <f>C84</f>
        <v>29000</v>
      </c>
      <c r="D98" s="734"/>
      <c r="E98" s="734"/>
      <c r="F98" s="734"/>
      <c r="G98" s="734"/>
      <c r="H98" s="734"/>
      <c r="I98" s="734"/>
      <c r="J98" s="734"/>
      <c r="K98" s="734"/>
      <c r="L98" s="734"/>
      <c r="M98" s="734"/>
      <c r="N98" s="734"/>
      <c r="O98" s="734"/>
      <c r="P98" s="734"/>
      <c r="Q98" s="734"/>
      <c r="R98" s="734" t="e">
        <f>R84</f>
        <v>#REF!</v>
      </c>
      <c r="S98" s="734">
        <f>S84</f>
        <v>36000</v>
      </c>
      <c r="T98" s="734">
        <f>T84</f>
        <v>0</v>
      </c>
      <c r="U98" s="735">
        <f>U84</f>
        <v>0</v>
      </c>
    </row>
    <row r="99" spans="2:22">
      <c r="B99" s="725" t="s">
        <v>698</v>
      </c>
      <c r="C99" s="734">
        <v>0</v>
      </c>
      <c r="D99" s="734"/>
      <c r="E99" s="734"/>
      <c r="F99" s="734"/>
      <c r="G99" s="734"/>
      <c r="H99" s="734"/>
      <c r="I99" s="734"/>
      <c r="J99" s="734"/>
      <c r="K99" s="734"/>
      <c r="L99" s="734"/>
      <c r="M99" s="734"/>
      <c r="N99" s="734"/>
      <c r="O99" s="734"/>
      <c r="P99" s="734"/>
      <c r="Q99" s="734"/>
      <c r="R99" s="734">
        <v>0</v>
      </c>
      <c r="S99" s="734">
        <v>0</v>
      </c>
      <c r="T99" s="734">
        <v>0</v>
      </c>
      <c r="U99" s="735">
        <v>0</v>
      </c>
    </row>
    <row r="100" spans="2:22">
      <c r="B100" s="725" t="s">
        <v>699</v>
      </c>
      <c r="C100" s="736">
        <f>C98*C93*C97</f>
        <v>12122000</v>
      </c>
      <c r="D100" s="736"/>
      <c r="E100" s="736"/>
      <c r="F100" s="736"/>
      <c r="G100" s="736"/>
      <c r="H100" s="736"/>
      <c r="I100" s="736"/>
      <c r="J100" s="736"/>
      <c r="K100" s="736"/>
      <c r="L100" s="736"/>
      <c r="M100" s="736"/>
      <c r="N100" s="736"/>
      <c r="O100" s="736"/>
      <c r="P100" s="736"/>
      <c r="Q100" s="736"/>
      <c r="R100" s="736" t="e">
        <f>R98*R93*R97</f>
        <v>#REF!</v>
      </c>
      <c r="S100" s="736">
        <f>S98*S93*S97</f>
        <v>9049320</v>
      </c>
      <c r="T100" s="736">
        <f>T98*T93*T97</f>
        <v>0</v>
      </c>
      <c r="U100" s="737">
        <f>U98*U93*U97</f>
        <v>0</v>
      </c>
    </row>
    <row r="101" spans="2:22">
      <c r="B101" s="725" t="s">
        <v>700</v>
      </c>
      <c r="C101" s="736">
        <f>C99*C94*C97</f>
        <v>0</v>
      </c>
      <c r="D101" s="736"/>
      <c r="E101" s="736"/>
      <c r="F101" s="736"/>
      <c r="G101" s="736"/>
      <c r="H101" s="736"/>
      <c r="I101" s="736"/>
      <c r="J101" s="736"/>
      <c r="K101" s="736"/>
      <c r="L101" s="736"/>
      <c r="M101" s="736"/>
      <c r="N101" s="736"/>
      <c r="O101" s="736"/>
      <c r="P101" s="736"/>
      <c r="Q101" s="736"/>
      <c r="R101" s="736">
        <f>R99*R94*R97</f>
        <v>0</v>
      </c>
      <c r="S101" s="736">
        <f>S99*S94*S97</f>
        <v>0</v>
      </c>
      <c r="T101" s="736">
        <f>T99*T94*T97</f>
        <v>0</v>
      </c>
      <c r="U101" s="737">
        <f>U99*U94*U97</f>
        <v>0</v>
      </c>
    </row>
    <row r="102" spans="2:22">
      <c r="B102" s="725" t="s">
        <v>701</v>
      </c>
      <c r="C102" s="734">
        <f>SUM(C100:C101)</f>
        <v>12122000</v>
      </c>
      <c r="D102" s="734"/>
      <c r="E102" s="734"/>
      <c r="F102" s="734"/>
      <c r="G102" s="734"/>
      <c r="H102" s="734"/>
      <c r="I102" s="734"/>
      <c r="J102" s="734"/>
      <c r="K102" s="734"/>
      <c r="L102" s="734"/>
      <c r="M102" s="734"/>
      <c r="N102" s="734"/>
      <c r="O102" s="734"/>
      <c r="P102" s="734"/>
      <c r="Q102" s="734"/>
      <c r="R102" s="734" t="e">
        <f>SUM(R100:R101)</f>
        <v>#REF!</v>
      </c>
      <c r="S102" s="734">
        <f>SUM(S100:S101)</f>
        <v>9049320</v>
      </c>
      <c r="T102" s="734">
        <f>SUM(T100:T101)</f>
        <v>0</v>
      </c>
      <c r="U102" s="735">
        <f>SUM(U100:U101)</f>
        <v>0</v>
      </c>
    </row>
    <row r="103" spans="2:22">
      <c r="B103" s="738" t="s">
        <v>702</v>
      </c>
      <c r="C103" s="739">
        <f>IFERROR(C102/C95/C98,0)</f>
        <v>34.833333333333329</v>
      </c>
      <c r="D103" s="739"/>
      <c r="E103" s="739"/>
      <c r="F103" s="739"/>
      <c r="G103" s="739"/>
      <c r="H103" s="739"/>
      <c r="I103" s="739"/>
      <c r="J103" s="739"/>
      <c r="K103" s="739"/>
      <c r="L103" s="739"/>
      <c r="M103" s="739"/>
      <c r="N103" s="739"/>
      <c r="O103" s="739"/>
      <c r="P103" s="739"/>
      <c r="Q103" s="739"/>
      <c r="R103" s="739">
        <f>IFERROR(R102/R95/R98,0)</f>
        <v>0</v>
      </c>
      <c r="S103" s="739">
        <f t="shared" ref="S103:U103" si="14">IFERROR(S102/S95/S98,0)</f>
        <v>20.947500000000002</v>
      </c>
      <c r="T103" s="739">
        <f t="shared" si="14"/>
        <v>0</v>
      </c>
      <c r="U103" s="740">
        <f t="shared" si="14"/>
        <v>0</v>
      </c>
    </row>
    <row r="105" spans="2:22">
      <c r="B105" s="623" t="s">
        <v>703</v>
      </c>
      <c r="C105" s="741">
        <v>0.01</v>
      </c>
      <c r="D105" s="741"/>
      <c r="E105" s="741"/>
      <c r="F105" s="741"/>
      <c r="G105" s="741"/>
      <c r="H105" s="741"/>
      <c r="I105" s="741"/>
      <c r="J105" s="741"/>
      <c r="K105" s="741"/>
      <c r="L105" s="741"/>
      <c r="M105" s="741"/>
      <c r="N105" s="741"/>
      <c r="O105" s="741"/>
      <c r="P105" s="741"/>
      <c r="Q105" s="741"/>
      <c r="R105" s="741">
        <v>0.01</v>
      </c>
      <c r="S105" s="741">
        <v>0.01</v>
      </c>
      <c r="T105" s="741">
        <v>0.01</v>
      </c>
      <c r="U105" s="742">
        <v>0.01</v>
      </c>
    </row>
    <row r="106" spans="2:22">
      <c r="B106" s="629"/>
      <c r="C106" s="743">
        <f>C105*C102</f>
        <v>121220</v>
      </c>
      <c r="D106" s="743"/>
      <c r="E106" s="743"/>
      <c r="F106" s="743"/>
      <c r="G106" s="743"/>
      <c r="H106" s="743"/>
      <c r="I106" s="743"/>
      <c r="J106" s="743"/>
      <c r="K106" s="743"/>
      <c r="L106" s="743"/>
      <c r="M106" s="743"/>
      <c r="N106" s="743"/>
      <c r="O106" s="743"/>
      <c r="P106" s="743"/>
      <c r="Q106" s="743"/>
      <c r="R106" s="743" t="e">
        <f>R105*R102</f>
        <v>#REF!</v>
      </c>
      <c r="S106" s="743">
        <f>S105*S102</f>
        <v>90493.2</v>
      </c>
      <c r="T106" s="743">
        <f>T105*T102</f>
        <v>0</v>
      </c>
      <c r="U106" s="744">
        <f>U105*U102</f>
        <v>0</v>
      </c>
      <c r="V106" s="90" t="e">
        <f>SUM(C106:U106)</f>
        <v>#REF!</v>
      </c>
    </row>
    <row r="108" spans="2:22">
      <c r="B108" s="623" t="s">
        <v>704</v>
      </c>
      <c r="C108" s="742">
        <v>0.5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V108" s="82" t="e">
        <f>C108*V106</f>
        <v>#REF!</v>
      </c>
    </row>
    <row r="109" spans="2:22">
      <c r="B109" s="629" t="s">
        <v>705</v>
      </c>
      <c r="C109" s="745">
        <f>1-C108</f>
        <v>0.5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V109" s="82" t="e">
        <f>C109*V106</f>
        <v>#REF!</v>
      </c>
    </row>
  </sheetData>
  <pageMargins left="0.7" right="0.7" top="0.75" bottom="0.75" header="0.3" footer="0.3"/>
  <pageSetup paperSize="9" orientation="portrait"/>
  <ignoredErrors>
    <ignoredError sqref="T90:U90" evalError="1"/>
    <ignoredError sqref="R82:U82" formulaRange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77DE-83BC-4FEF-B7D0-0AE3B53D6622}">
  <dimension ref="A1:AY150"/>
  <sheetViews>
    <sheetView topLeftCell="N1" workbookViewId="0">
      <selection activeCell="AK3" sqref="AK3"/>
    </sheetView>
  </sheetViews>
  <sheetFormatPr defaultRowHeight="15"/>
  <cols>
    <col min="1" max="1" width="132" bestFit="1" customWidth="1"/>
    <col min="2" max="2" width="11.125" bestFit="1" customWidth="1"/>
    <col min="3" max="3" width="12" bestFit="1" customWidth="1"/>
    <col min="4" max="4" width="12.875" bestFit="1" customWidth="1"/>
    <col min="5" max="5" width="12.625" bestFit="1" customWidth="1"/>
    <col min="6" max="6" width="8.375" bestFit="1" customWidth="1"/>
    <col min="7" max="7" width="9.625" bestFit="1" customWidth="1"/>
    <col min="8" max="8" width="9.125" bestFit="1" customWidth="1"/>
    <col min="9" max="9" width="12.625" bestFit="1" customWidth="1"/>
    <col min="10" max="10" width="11" bestFit="1" customWidth="1"/>
    <col min="11" max="11" width="9.75" bestFit="1" customWidth="1"/>
    <col min="12" max="12" width="10.375" bestFit="1" customWidth="1"/>
    <col min="13" max="14" width="7" bestFit="1" customWidth="1"/>
    <col min="15" max="15" width="8" bestFit="1" customWidth="1"/>
    <col min="16" max="16" width="6" bestFit="1" customWidth="1"/>
    <col min="17" max="19" width="5" bestFit="1" customWidth="1"/>
    <col min="20" max="20" width="12" bestFit="1" customWidth="1"/>
    <col min="21" max="22" width="3" bestFit="1" customWidth="1"/>
    <col min="23" max="23" width="4" bestFit="1" customWidth="1"/>
    <col min="24" max="24" width="5.375" bestFit="1" customWidth="1"/>
    <col min="25" max="25" width="9.75" bestFit="1" customWidth="1"/>
    <col min="26" max="26" width="8.125" bestFit="1" customWidth="1"/>
    <col min="27" max="27" width="7" bestFit="1" customWidth="1"/>
    <col min="28" max="29" width="12" bestFit="1" customWidth="1"/>
    <col min="30" max="30" width="6.125" bestFit="1" customWidth="1"/>
    <col min="31" max="31" width="8.625" bestFit="1" customWidth="1"/>
    <col min="32" max="35" width="4.625" bestFit="1" customWidth="1"/>
    <col min="36" max="36" width="6.25" bestFit="1" customWidth="1"/>
    <col min="37" max="39" width="3" bestFit="1" customWidth="1"/>
    <col min="40" max="40" width="4" bestFit="1" customWidth="1"/>
    <col min="41" max="41" width="8.375" customWidth="1"/>
    <col min="47" max="47" width="13.125" bestFit="1" customWidth="1"/>
    <col min="48" max="48" width="24.875" bestFit="1" customWidth="1"/>
    <col min="50" max="50" width="13.125" bestFit="1" customWidth="1"/>
    <col min="51" max="51" width="18.75" bestFit="1" customWidth="1"/>
  </cols>
  <sheetData>
    <row r="1" spans="1:51">
      <c r="A1" s="746"/>
      <c r="B1" s="746">
        <f>SUBTOTAL(9,B3:B148)</f>
        <v>1875950</v>
      </c>
      <c r="C1" s="746">
        <f>SUBTOTAL(9,C3:C148)</f>
        <v>258385.48672716171</v>
      </c>
      <c r="D1" s="747">
        <f>SUM(D3:D148)</f>
        <v>258425</v>
      </c>
      <c r="E1" s="747">
        <f>SUM(E3:E148)</f>
        <v>300383</v>
      </c>
      <c r="F1" s="747"/>
      <c r="G1" s="746"/>
      <c r="H1" s="746">
        <f>SUBTOTAL(9,H3:H148)</f>
        <v>11618</v>
      </c>
      <c r="I1" s="746" t="s">
        <v>706</v>
      </c>
      <c r="J1" s="746"/>
      <c r="K1" s="746">
        <f>SUBTOTAL(9,K3:K148)</f>
        <v>174270</v>
      </c>
      <c r="L1" s="746"/>
      <c r="M1" s="746">
        <f>SUBTOTAL(9,M3:M148)</f>
        <v>378</v>
      </c>
      <c r="N1" s="748" t="s">
        <v>707</v>
      </c>
      <c r="O1" s="748"/>
      <c r="P1" s="748"/>
      <c r="Q1" s="748" t="s">
        <v>708</v>
      </c>
      <c r="R1" s="748"/>
      <c r="S1" s="748"/>
      <c r="T1" s="749"/>
      <c r="U1" s="746"/>
      <c r="V1" s="746"/>
      <c r="W1" s="746"/>
      <c r="X1" s="746"/>
      <c r="Y1" s="746"/>
      <c r="Z1" s="746"/>
      <c r="AA1" s="746">
        <f>SUBTOTAL(9,AA3:AA148)</f>
        <v>896</v>
      </c>
      <c r="AB1" s="746"/>
      <c r="AC1" s="746"/>
      <c r="AD1" s="746"/>
      <c r="AE1" s="746"/>
      <c r="AF1" s="746">
        <v>1</v>
      </c>
      <c r="AG1" s="746">
        <v>3</v>
      </c>
      <c r="AH1" s="746">
        <v>7</v>
      </c>
      <c r="AI1" s="746">
        <v>60</v>
      </c>
      <c r="AJ1" s="746">
        <f>SUBTOTAL(9,AJ3:AJ148)</f>
        <v>11618</v>
      </c>
      <c r="AK1" s="746">
        <v>1</v>
      </c>
      <c r="AL1" s="746">
        <v>3</v>
      </c>
      <c r="AM1" s="746">
        <v>7</v>
      </c>
      <c r="AN1" s="746">
        <v>60</v>
      </c>
      <c r="AO1" s="746">
        <f>SUBTOTAL(9,AO3:AO148)</f>
        <v>6631</v>
      </c>
    </row>
    <row r="2" spans="1:51" ht="45">
      <c r="A2" s="750" t="s">
        <v>709</v>
      </c>
      <c r="B2" s="750" t="s">
        <v>522</v>
      </c>
      <c r="C2" s="750" t="s">
        <v>710</v>
      </c>
      <c r="D2" s="750" t="s">
        <v>711</v>
      </c>
      <c r="E2" s="751" t="s">
        <v>712</v>
      </c>
      <c r="F2" s="750" t="s">
        <v>713</v>
      </c>
      <c r="G2" s="750" t="s">
        <v>714</v>
      </c>
      <c r="H2" s="750" t="s">
        <v>715</v>
      </c>
      <c r="I2" s="752" t="s">
        <v>716</v>
      </c>
      <c r="J2" s="752" t="s">
        <v>717</v>
      </c>
      <c r="K2" s="752" t="s">
        <v>718</v>
      </c>
      <c r="L2" s="752" t="s">
        <v>719</v>
      </c>
      <c r="M2" s="752" t="s">
        <v>720</v>
      </c>
      <c r="N2" s="752" t="s">
        <v>721</v>
      </c>
      <c r="O2" s="752" t="s">
        <v>722</v>
      </c>
      <c r="P2" s="752" t="s">
        <v>723</v>
      </c>
      <c r="Q2" s="753" t="s">
        <v>721</v>
      </c>
      <c r="R2" s="753" t="s">
        <v>722</v>
      </c>
      <c r="S2" s="753" t="s">
        <v>723</v>
      </c>
      <c r="T2" s="753" t="s">
        <v>724</v>
      </c>
      <c r="U2" s="753" t="s">
        <v>721</v>
      </c>
      <c r="V2" s="753" t="s">
        <v>722</v>
      </c>
      <c r="W2" s="753" t="s">
        <v>723</v>
      </c>
      <c r="X2" s="753" t="s">
        <v>229</v>
      </c>
      <c r="Y2" s="753" t="s">
        <v>725</v>
      </c>
      <c r="Z2" s="753" t="s">
        <v>726</v>
      </c>
      <c r="AA2" s="753" t="s">
        <v>720</v>
      </c>
      <c r="AB2" s="753" t="s">
        <v>594</v>
      </c>
      <c r="AC2" s="753" t="s">
        <v>161</v>
      </c>
      <c r="AD2" s="753" t="s">
        <v>655</v>
      </c>
      <c r="AE2" s="753" t="s">
        <v>727</v>
      </c>
      <c r="AF2" s="754">
        <v>0.5</v>
      </c>
      <c r="AG2" s="754">
        <v>0.2</v>
      </c>
      <c r="AH2" s="754">
        <v>0.2</v>
      </c>
      <c r="AI2" s="754">
        <v>0.1</v>
      </c>
      <c r="AJ2" s="753" t="s">
        <v>728</v>
      </c>
      <c r="AK2" s="755" t="s">
        <v>610</v>
      </c>
      <c r="AL2" s="755" t="s">
        <v>610</v>
      </c>
      <c r="AM2" s="755" t="s">
        <v>610</v>
      </c>
      <c r="AN2" s="755" t="s">
        <v>610</v>
      </c>
      <c r="AO2" s="755" t="s">
        <v>729</v>
      </c>
      <c r="AP2" s="755"/>
      <c r="AQ2" s="755"/>
      <c r="AR2" s="755"/>
      <c r="AS2" s="755"/>
      <c r="AU2" s="756" t="s">
        <v>730</v>
      </c>
      <c r="AV2" s="756"/>
    </row>
    <row r="3" spans="1:51">
      <c r="A3" s="746" t="s">
        <v>731</v>
      </c>
      <c r="B3" s="746">
        <v>250378</v>
      </c>
      <c r="C3" s="747">
        <v>20921.833333333332</v>
      </c>
      <c r="D3" s="747">
        <f t="shared" ref="D3:D66" si="0">ROUNDUP(C3,0)</f>
        <v>20922</v>
      </c>
      <c r="E3" s="299">
        <v>23187</v>
      </c>
      <c r="F3" s="757">
        <f t="shared" ref="F3:F66" si="1">D3/$D$1</f>
        <v>8.0959659475669923E-2</v>
      </c>
      <c r="G3" s="746">
        <v>26</v>
      </c>
      <c r="H3" s="746">
        <f>ROUNDUP(E3/G3,0)</f>
        <v>892</v>
      </c>
      <c r="I3" s="746">
        <v>15</v>
      </c>
      <c r="J3" s="747">
        <f>AC3*7.5</f>
        <v>15.178543931562928</v>
      </c>
      <c r="K3" s="746">
        <f t="shared" ref="K3:K66" si="2">H3*I3</f>
        <v>13380</v>
      </c>
      <c r="L3" s="746">
        <v>600</v>
      </c>
      <c r="M3" s="746">
        <f t="shared" ref="M3:M66" si="3">ROUNDUP(K3/L3,0)</f>
        <v>23</v>
      </c>
      <c r="N3" s="746">
        <v>457</v>
      </c>
      <c r="O3" s="746">
        <v>380</v>
      </c>
      <c r="P3" s="746">
        <v>330</v>
      </c>
      <c r="Q3" s="746">
        <v>1200</v>
      </c>
      <c r="R3" s="746">
        <v>1080</v>
      </c>
      <c r="S3" s="746">
        <v>1200</v>
      </c>
      <c r="T3" s="746">
        <f>W3</f>
        <v>4</v>
      </c>
      <c r="U3" s="746">
        <f>ROUNDDOWN(Q3/N3,0)</f>
        <v>2</v>
      </c>
      <c r="V3" s="746">
        <f>ROUNDDOWN(R3/O3,0)</f>
        <v>2</v>
      </c>
      <c r="W3" s="746">
        <f>ROUND(S3/P3,0)</f>
        <v>4</v>
      </c>
      <c r="X3" s="746">
        <f>U3*V3*W3</f>
        <v>16</v>
      </c>
      <c r="Y3" s="758">
        <f>J3*X3</f>
        <v>242.85670290500684</v>
      </c>
      <c r="Z3" s="747">
        <f>CONVERT(S3,"mm","ft")</f>
        <v>3.9370078740157481</v>
      </c>
      <c r="AA3" s="746">
        <f>IFERROR(ROUNDUP(H3/X3*1.05,0),0)</f>
        <v>59</v>
      </c>
      <c r="AB3" s="746">
        <f>N3*O3*P3</f>
        <v>57307800</v>
      </c>
      <c r="AC3" s="746">
        <f>CONVERT(AB3,"mm^3","ft^3")</f>
        <v>2.0238058575417237</v>
      </c>
      <c r="AD3" s="759" t="s">
        <v>594</v>
      </c>
      <c r="AE3" s="746">
        <f>AA3*5</f>
        <v>295</v>
      </c>
      <c r="AF3" s="758">
        <f>(H3*$AF$2)</f>
        <v>446</v>
      </c>
      <c r="AG3" s="758">
        <f>(H3*$AG$2)</f>
        <v>178.4</v>
      </c>
      <c r="AH3" s="758">
        <f>(H3*$AH$2)</f>
        <v>178.4</v>
      </c>
      <c r="AI3" s="758">
        <f>(H3*$AI$2)</f>
        <v>89.2</v>
      </c>
      <c r="AJ3" s="758">
        <f>SUM(AF3:AI3)</f>
        <v>892</v>
      </c>
      <c r="AK3" s="4">
        <f>IFERROR(ROUND(AF3/X3*$AK$1,0),0)</f>
        <v>28</v>
      </c>
      <c r="AL3" s="4">
        <f>IFERROR(ROUND(AG3/X3*$AL$1,0),0)</f>
        <v>33</v>
      </c>
      <c r="AM3" s="4">
        <f>IFERROR(ROUND(AH3/X3*$AM$1,0),0)</f>
        <v>78</v>
      </c>
      <c r="AN3" s="4">
        <f>IFERROR(ROUND(AI3/X3*$AN$1,0),0)</f>
        <v>335</v>
      </c>
      <c r="AO3" s="4">
        <f>SUM(AK3:AN3)</f>
        <v>474</v>
      </c>
      <c r="AP3" s="4"/>
      <c r="AQ3" s="4"/>
      <c r="AR3" s="4"/>
      <c r="AS3" s="4"/>
      <c r="AU3" s="760" t="s">
        <v>709</v>
      </c>
      <c r="AV3" s="746" t="s">
        <v>732</v>
      </c>
      <c r="AX3" s="240" t="s">
        <v>709</v>
      </c>
      <c r="AY3" t="s">
        <v>733</v>
      </c>
    </row>
    <row r="4" spans="1:51">
      <c r="A4" s="746" t="s">
        <v>734</v>
      </c>
      <c r="B4" s="746">
        <v>20816</v>
      </c>
      <c r="C4" s="747">
        <v>17819</v>
      </c>
      <c r="D4" s="746">
        <f t="shared" si="0"/>
        <v>17819</v>
      </c>
      <c r="E4" s="299">
        <v>19121</v>
      </c>
      <c r="F4" s="757">
        <f t="shared" si="1"/>
        <v>6.8952307245815997E-2</v>
      </c>
      <c r="G4" s="746">
        <v>26</v>
      </c>
      <c r="H4" s="746">
        <f t="shared" ref="H4:H67" si="4">ROUNDUP(E4/G4,0)</f>
        <v>736</v>
      </c>
      <c r="I4" s="746">
        <v>15</v>
      </c>
      <c r="J4" s="747">
        <f t="shared" ref="J4:J67" si="5">AC4*7.5</f>
        <v>15.234375</v>
      </c>
      <c r="K4" s="746">
        <f t="shared" si="2"/>
        <v>11040</v>
      </c>
      <c r="L4" s="746">
        <v>600</v>
      </c>
      <c r="M4" s="746">
        <f t="shared" si="3"/>
        <v>19</v>
      </c>
      <c r="N4" s="746">
        <v>457.2</v>
      </c>
      <c r="O4" s="746">
        <v>381</v>
      </c>
      <c r="P4" s="746">
        <v>330.2</v>
      </c>
      <c r="Q4" s="746">
        <v>1200</v>
      </c>
      <c r="R4" s="746">
        <v>1080</v>
      </c>
      <c r="S4" s="746">
        <v>1200</v>
      </c>
      <c r="T4" s="746">
        <f t="shared" ref="T4:T67" si="6">W4</f>
        <v>4</v>
      </c>
      <c r="U4" s="746">
        <f t="shared" ref="U4:V66" si="7">ROUNDDOWN(Q4/N4,0)</f>
        <v>2</v>
      </c>
      <c r="V4" s="746">
        <f t="shared" si="7"/>
        <v>2</v>
      </c>
      <c r="W4" s="746">
        <f t="shared" ref="W4:W67" si="8">ROUND(S4/P4,0)</f>
        <v>4</v>
      </c>
      <c r="X4" s="746">
        <f t="shared" ref="X4:X67" si="9">U4*V4*W4</f>
        <v>16</v>
      </c>
      <c r="Y4" s="758">
        <f t="shared" ref="Y4:Y67" si="10">J4*X4</f>
        <v>243.75</v>
      </c>
      <c r="Z4" s="747">
        <f t="shared" ref="Z4:Z67" si="11">CONVERT(S4,"mm","ft")</f>
        <v>3.9370078740157481</v>
      </c>
      <c r="AA4" s="746">
        <f t="shared" ref="AA4:AA67" si="12">IFERROR(ROUNDUP(H4/X4*1.05,0),0)</f>
        <v>49</v>
      </c>
      <c r="AB4" s="746">
        <f t="shared" ref="AB4:AB67" si="13">N4*O4*P4</f>
        <v>57518594.639999993</v>
      </c>
      <c r="AC4" s="746">
        <f t="shared" ref="AC4:AC67" si="14">CONVERT(AB4,"mm^3","ft^3")</f>
        <v>2.03125</v>
      </c>
      <c r="AD4" s="759" t="s">
        <v>594</v>
      </c>
      <c r="AE4" s="746">
        <f t="shared" ref="AE4:AE17" si="15">AA4*5</f>
        <v>245</v>
      </c>
      <c r="AF4" s="758">
        <f t="shared" ref="AF4:AF67" si="16">(H4*$AF$2)</f>
        <v>368</v>
      </c>
      <c r="AG4" s="758">
        <f t="shared" ref="AG4:AG67" si="17">(H4*$AG$2)</f>
        <v>147.20000000000002</v>
      </c>
      <c r="AH4" s="758">
        <f t="shared" ref="AH4:AH67" si="18">(H4*$AH$2)</f>
        <v>147.20000000000002</v>
      </c>
      <c r="AI4" s="758">
        <f t="shared" ref="AI4:AI67" si="19">(H4*$AI$2)</f>
        <v>73.600000000000009</v>
      </c>
      <c r="AJ4" s="746">
        <f t="shared" ref="AJ4:AJ67" si="20">SUM(AF4:AI4)</f>
        <v>736.00000000000011</v>
      </c>
      <c r="AK4" s="4">
        <f t="shared" ref="AK4:AK67" si="21">IFERROR(ROUND(AF4/X4*$AK$1,0),0)</f>
        <v>23</v>
      </c>
      <c r="AL4" s="4">
        <f t="shared" ref="AL4:AL67" si="22">IFERROR(ROUND(AG4/X4*$AL$1,0),0)</f>
        <v>28</v>
      </c>
      <c r="AM4" s="4">
        <f t="shared" ref="AM4:AM67" si="23">IFERROR(ROUND(AH4/X4*$AM$1,0),0)</f>
        <v>64</v>
      </c>
      <c r="AN4" s="4">
        <f t="shared" ref="AN4:AN67" si="24">IFERROR(ROUND(AI4/X4*$AN$1,0),0)</f>
        <v>276</v>
      </c>
      <c r="AO4" s="4">
        <f t="shared" ref="AO4:AO67" si="25">SUM(AK4:AN4)</f>
        <v>391</v>
      </c>
      <c r="AP4" s="4"/>
      <c r="AQ4" s="4"/>
      <c r="AR4" s="4"/>
      <c r="AU4" s="761" t="s">
        <v>594</v>
      </c>
      <c r="AV4" s="746">
        <v>4355</v>
      </c>
      <c r="AX4" s="6" t="s">
        <v>594</v>
      </c>
      <c r="AY4" s="4">
        <v>6474</v>
      </c>
    </row>
    <row r="5" spans="1:51">
      <c r="A5" s="746" t="s">
        <v>735</v>
      </c>
      <c r="B5" s="746">
        <v>205779</v>
      </c>
      <c r="C5" s="747">
        <v>17683.933333333331</v>
      </c>
      <c r="D5" s="746">
        <f t="shared" si="0"/>
        <v>17684</v>
      </c>
      <c r="E5" s="299">
        <v>20615</v>
      </c>
      <c r="F5" s="757">
        <f t="shared" si="1"/>
        <v>6.8429911966721491E-2</v>
      </c>
      <c r="G5" s="746">
        <v>26</v>
      </c>
      <c r="H5" s="746">
        <f t="shared" si="4"/>
        <v>793</v>
      </c>
      <c r="I5" s="746">
        <v>15</v>
      </c>
      <c r="J5" s="747">
        <f t="shared" si="5"/>
        <v>28.282810283905786</v>
      </c>
      <c r="K5" s="746">
        <f t="shared" si="2"/>
        <v>11895</v>
      </c>
      <c r="L5" s="746">
        <v>600</v>
      </c>
      <c r="M5" s="746">
        <f t="shared" si="3"/>
        <v>20</v>
      </c>
      <c r="N5" s="746">
        <v>940</v>
      </c>
      <c r="O5" s="746">
        <v>355</v>
      </c>
      <c r="P5" s="746">
        <v>320</v>
      </c>
      <c r="Q5" s="746">
        <v>1200</v>
      </c>
      <c r="R5" s="746">
        <v>1080</v>
      </c>
      <c r="S5" s="746">
        <v>1200</v>
      </c>
      <c r="T5" s="746">
        <f t="shared" si="6"/>
        <v>4</v>
      </c>
      <c r="U5" s="746">
        <f t="shared" si="7"/>
        <v>1</v>
      </c>
      <c r="V5" s="746">
        <f t="shared" si="7"/>
        <v>3</v>
      </c>
      <c r="W5" s="746">
        <f t="shared" si="8"/>
        <v>4</v>
      </c>
      <c r="X5" s="746">
        <f t="shared" si="9"/>
        <v>12</v>
      </c>
      <c r="Y5" s="758">
        <f t="shared" si="10"/>
        <v>339.39372340686941</v>
      </c>
      <c r="Z5" s="747">
        <f t="shared" si="11"/>
        <v>3.9370078740157481</v>
      </c>
      <c r="AA5" s="746">
        <f t="shared" si="12"/>
        <v>70</v>
      </c>
      <c r="AB5" s="746">
        <f t="shared" si="13"/>
        <v>106784000</v>
      </c>
      <c r="AC5" s="746">
        <f t="shared" si="14"/>
        <v>3.771041371187438</v>
      </c>
      <c r="AD5" s="759" t="s">
        <v>594</v>
      </c>
      <c r="AE5" s="746">
        <f t="shared" si="15"/>
        <v>350</v>
      </c>
      <c r="AF5" s="758">
        <f t="shared" si="16"/>
        <v>396.5</v>
      </c>
      <c r="AG5" s="758">
        <f t="shared" si="17"/>
        <v>158.60000000000002</v>
      </c>
      <c r="AH5" s="758">
        <f t="shared" si="18"/>
        <v>158.60000000000002</v>
      </c>
      <c r="AI5" s="758">
        <f t="shared" si="19"/>
        <v>79.300000000000011</v>
      </c>
      <c r="AJ5" s="746">
        <f t="shared" si="20"/>
        <v>793</v>
      </c>
      <c r="AK5" s="4">
        <f t="shared" si="21"/>
        <v>33</v>
      </c>
      <c r="AL5" s="4">
        <f t="shared" si="22"/>
        <v>40</v>
      </c>
      <c r="AM5" s="4">
        <f t="shared" si="23"/>
        <v>93</v>
      </c>
      <c r="AN5" s="4">
        <f t="shared" si="24"/>
        <v>397</v>
      </c>
      <c r="AO5" s="4">
        <f t="shared" si="25"/>
        <v>563</v>
      </c>
      <c r="AP5" s="4"/>
      <c r="AQ5" s="4"/>
      <c r="AR5" s="4"/>
      <c r="AU5" s="761" t="s">
        <v>595</v>
      </c>
      <c r="AV5" s="746">
        <v>240</v>
      </c>
      <c r="AX5" s="6" t="s">
        <v>595</v>
      </c>
      <c r="AY5" s="4">
        <v>152</v>
      </c>
    </row>
    <row r="6" spans="1:51">
      <c r="A6" s="746" t="s">
        <v>736</v>
      </c>
      <c r="B6" s="746">
        <v>19224</v>
      </c>
      <c r="C6" s="747">
        <v>10494.1</v>
      </c>
      <c r="D6" s="746">
        <f t="shared" si="0"/>
        <v>10495</v>
      </c>
      <c r="E6" s="299">
        <v>13564</v>
      </c>
      <c r="F6" s="757">
        <f t="shared" si="1"/>
        <v>4.0611395956273583E-2</v>
      </c>
      <c r="G6" s="746">
        <v>26</v>
      </c>
      <c r="H6" s="746">
        <f t="shared" si="4"/>
        <v>522</v>
      </c>
      <c r="I6" s="746">
        <v>15</v>
      </c>
      <c r="J6" s="747">
        <f t="shared" si="5"/>
        <v>28.103298611111114</v>
      </c>
      <c r="K6" s="746">
        <f t="shared" si="2"/>
        <v>7830</v>
      </c>
      <c r="L6" s="746">
        <v>600</v>
      </c>
      <c r="M6" s="746">
        <f t="shared" si="3"/>
        <v>14</v>
      </c>
      <c r="N6" s="746">
        <v>939.8</v>
      </c>
      <c r="O6" s="746">
        <v>355.6</v>
      </c>
      <c r="P6" s="746">
        <v>317.5</v>
      </c>
      <c r="Q6" s="746">
        <v>1200</v>
      </c>
      <c r="R6" s="746">
        <v>1080</v>
      </c>
      <c r="S6" s="746">
        <v>1200</v>
      </c>
      <c r="T6" s="746">
        <f t="shared" si="6"/>
        <v>4</v>
      </c>
      <c r="U6" s="746">
        <f t="shared" si="7"/>
        <v>1</v>
      </c>
      <c r="V6" s="746">
        <f t="shared" si="7"/>
        <v>3</v>
      </c>
      <c r="W6" s="746">
        <f t="shared" si="8"/>
        <v>4</v>
      </c>
      <c r="X6" s="746">
        <f t="shared" si="9"/>
        <v>12</v>
      </c>
      <c r="Y6" s="758">
        <f t="shared" si="10"/>
        <v>337.23958333333337</v>
      </c>
      <c r="Z6" s="747">
        <f t="shared" si="11"/>
        <v>3.9370078740157481</v>
      </c>
      <c r="AA6" s="746">
        <f t="shared" si="12"/>
        <v>46</v>
      </c>
      <c r="AB6" s="746">
        <f t="shared" si="13"/>
        <v>106106239.40000001</v>
      </c>
      <c r="AC6" s="746">
        <f t="shared" si="14"/>
        <v>3.7471064814814818</v>
      </c>
      <c r="AD6" s="759" t="s">
        <v>594</v>
      </c>
      <c r="AE6" s="746">
        <f t="shared" si="15"/>
        <v>230</v>
      </c>
      <c r="AF6" s="758">
        <f t="shared" si="16"/>
        <v>261</v>
      </c>
      <c r="AG6" s="758">
        <f t="shared" si="17"/>
        <v>104.4</v>
      </c>
      <c r="AH6" s="758">
        <f t="shared" si="18"/>
        <v>104.4</v>
      </c>
      <c r="AI6" s="758">
        <f t="shared" si="19"/>
        <v>52.2</v>
      </c>
      <c r="AJ6" s="746">
        <f t="shared" si="20"/>
        <v>522</v>
      </c>
      <c r="AK6" s="4">
        <f t="shared" si="21"/>
        <v>22</v>
      </c>
      <c r="AL6" s="4">
        <f t="shared" si="22"/>
        <v>26</v>
      </c>
      <c r="AM6" s="4">
        <f t="shared" si="23"/>
        <v>61</v>
      </c>
      <c r="AN6" s="4">
        <f t="shared" si="24"/>
        <v>261</v>
      </c>
      <c r="AO6" s="4">
        <f t="shared" si="25"/>
        <v>370</v>
      </c>
      <c r="AP6" s="4"/>
      <c r="AQ6" s="4"/>
      <c r="AR6" s="4"/>
      <c r="AU6" s="761" t="s">
        <v>596</v>
      </c>
      <c r="AV6" s="746">
        <v>10</v>
      </c>
      <c r="AX6" s="6" t="s">
        <v>596</v>
      </c>
      <c r="AY6" s="4">
        <v>5</v>
      </c>
    </row>
    <row r="7" spans="1:51">
      <c r="A7" s="746" t="s">
        <v>737</v>
      </c>
      <c r="B7" s="746">
        <v>66682</v>
      </c>
      <c r="C7" s="747">
        <v>6488.7603535353537</v>
      </c>
      <c r="D7" s="746">
        <f t="shared" si="0"/>
        <v>6489</v>
      </c>
      <c r="E7" s="299">
        <v>8372</v>
      </c>
      <c r="F7" s="757">
        <f t="shared" si="1"/>
        <v>2.5109799748476345E-2</v>
      </c>
      <c r="G7" s="746">
        <v>26</v>
      </c>
      <c r="H7" s="746">
        <f t="shared" si="4"/>
        <v>322</v>
      </c>
      <c r="I7" s="746">
        <v>15</v>
      </c>
      <c r="J7" s="747">
        <f t="shared" si="5"/>
        <v>8.4126687350596931</v>
      </c>
      <c r="K7" s="746">
        <f t="shared" si="2"/>
        <v>4830</v>
      </c>
      <c r="L7" s="746">
        <v>600</v>
      </c>
      <c r="M7" s="746">
        <f t="shared" si="3"/>
        <v>9</v>
      </c>
      <c r="N7" s="746">
        <v>508</v>
      </c>
      <c r="O7" s="746">
        <v>305</v>
      </c>
      <c r="P7" s="746">
        <v>205</v>
      </c>
      <c r="Q7" s="746">
        <v>1200</v>
      </c>
      <c r="R7" s="746">
        <v>1080</v>
      </c>
      <c r="S7" s="746">
        <v>1200</v>
      </c>
      <c r="T7" s="746">
        <f t="shared" si="6"/>
        <v>6</v>
      </c>
      <c r="U7" s="746">
        <f t="shared" si="7"/>
        <v>2</v>
      </c>
      <c r="V7" s="746">
        <f t="shared" si="7"/>
        <v>3</v>
      </c>
      <c r="W7" s="746">
        <f t="shared" si="8"/>
        <v>6</v>
      </c>
      <c r="X7" s="746">
        <f t="shared" si="9"/>
        <v>36</v>
      </c>
      <c r="Y7" s="758">
        <f t="shared" si="10"/>
        <v>302.85607446214897</v>
      </c>
      <c r="Z7" s="747">
        <f t="shared" si="11"/>
        <v>3.9370078740157481</v>
      </c>
      <c r="AA7" s="746">
        <f t="shared" si="12"/>
        <v>10</v>
      </c>
      <c r="AB7" s="746">
        <f t="shared" si="13"/>
        <v>31762700</v>
      </c>
      <c r="AC7" s="746">
        <f t="shared" si="14"/>
        <v>1.1216891646746256</v>
      </c>
      <c r="AD7" s="759" t="s">
        <v>594</v>
      </c>
      <c r="AE7" s="746">
        <f t="shared" si="15"/>
        <v>50</v>
      </c>
      <c r="AF7" s="758">
        <f t="shared" si="16"/>
        <v>161</v>
      </c>
      <c r="AG7" s="758">
        <f t="shared" si="17"/>
        <v>64.400000000000006</v>
      </c>
      <c r="AH7" s="758">
        <f t="shared" si="18"/>
        <v>64.400000000000006</v>
      </c>
      <c r="AI7" s="758">
        <f t="shared" si="19"/>
        <v>32.200000000000003</v>
      </c>
      <c r="AJ7" s="746">
        <f t="shared" si="20"/>
        <v>322</v>
      </c>
      <c r="AK7" s="4">
        <f t="shared" si="21"/>
        <v>4</v>
      </c>
      <c r="AL7" s="4">
        <f t="shared" si="22"/>
        <v>5</v>
      </c>
      <c r="AM7" s="4">
        <f t="shared" si="23"/>
        <v>13</v>
      </c>
      <c r="AN7" s="4">
        <f t="shared" si="24"/>
        <v>54</v>
      </c>
      <c r="AO7" s="4">
        <f t="shared" si="25"/>
        <v>76</v>
      </c>
      <c r="AP7" s="4"/>
      <c r="AQ7" s="4"/>
      <c r="AR7" s="4"/>
      <c r="AU7" s="761" t="s">
        <v>597</v>
      </c>
      <c r="AV7" s="746">
        <v>0</v>
      </c>
      <c r="AX7" s="6" t="s">
        <v>597</v>
      </c>
      <c r="AY7" s="4">
        <v>0</v>
      </c>
    </row>
    <row r="8" spans="1:51">
      <c r="A8" s="746" t="s">
        <v>738</v>
      </c>
      <c r="B8" s="746">
        <v>77868</v>
      </c>
      <c r="C8" s="747">
        <v>5989.8461538461534</v>
      </c>
      <c r="D8" s="746">
        <f t="shared" si="0"/>
        <v>5990</v>
      </c>
      <c r="E8" s="299">
        <v>7215</v>
      </c>
      <c r="F8" s="757">
        <f t="shared" si="1"/>
        <v>2.3178872013156621E-2</v>
      </c>
      <c r="G8" s="746">
        <v>26</v>
      </c>
      <c r="H8" s="746">
        <f t="shared" si="4"/>
        <v>278</v>
      </c>
      <c r="I8" s="746">
        <v>15</v>
      </c>
      <c r="J8" s="747">
        <f t="shared" si="5"/>
        <v>28.125000000000004</v>
      </c>
      <c r="K8" s="746">
        <f t="shared" si="2"/>
        <v>4170</v>
      </c>
      <c r="L8" s="746">
        <v>600</v>
      </c>
      <c r="M8" s="746">
        <f t="shared" si="3"/>
        <v>7</v>
      </c>
      <c r="N8" s="746">
        <v>914.4</v>
      </c>
      <c r="O8" s="746">
        <v>304.8</v>
      </c>
      <c r="P8" s="746">
        <v>381</v>
      </c>
      <c r="Q8" s="746">
        <v>1200</v>
      </c>
      <c r="R8" s="746">
        <v>1080</v>
      </c>
      <c r="S8" s="746">
        <v>1200</v>
      </c>
      <c r="T8" s="746">
        <f t="shared" si="6"/>
        <v>3</v>
      </c>
      <c r="U8" s="746">
        <f t="shared" si="7"/>
        <v>1</v>
      </c>
      <c r="V8" s="746">
        <f t="shared" si="7"/>
        <v>3</v>
      </c>
      <c r="W8" s="746">
        <f t="shared" si="8"/>
        <v>3</v>
      </c>
      <c r="X8" s="746">
        <f t="shared" si="9"/>
        <v>9</v>
      </c>
      <c r="Y8" s="758">
        <f t="shared" si="10"/>
        <v>253.12500000000003</v>
      </c>
      <c r="Z8" s="747">
        <f t="shared" si="11"/>
        <v>3.9370078740157481</v>
      </c>
      <c r="AA8" s="746">
        <f t="shared" si="12"/>
        <v>33</v>
      </c>
      <c r="AB8" s="746">
        <f t="shared" si="13"/>
        <v>106188174.72</v>
      </c>
      <c r="AC8" s="746">
        <f t="shared" si="14"/>
        <v>3.7500000000000004</v>
      </c>
      <c r="AD8" s="759" t="s">
        <v>594</v>
      </c>
      <c r="AE8" s="746">
        <f t="shared" si="15"/>
        <v>165</v>
      </c>
      <c r="AF8" s="758">
        <f t="shared" si="16"/>
        <v>139</v>
      </c>
      <c r="AG8" s="758">
        <f t="shared" si="17"/>
        <v>55.6</v>
      </c>
      <c r="AH8" s="758">
        <f t="shared" si="18"/>
        <v>55.6</v>
      </c>
      <c r="AI8" s="758">
        <f t="shared" si="19"/>
        <v>27.8</v>
      </c>
      <c r="AJ8" s="746">
        <f t="shared" si="20"/>
        <v>278</v>
      </c>
      <c r="AK8" s="4">
        <f t="shared" si="21"/>
        <v>15</v>
      </c>
      <c r="AL8" s="4">
        <f t="shared" si="22"/>
        <v>19</v>
      </c>
      <c r="AM8" s="4">
        <f t="shared" si="23"/>
        <v>43</v>
      </c>
      <c r="AN8" s="4">
        <f t="shared" si="24"/>
        <v>185</v>
      </c>
      <c r="AO8" s="4">
        <f t="shared" si="25"/>
        <v>262</v>
      </c>
      <c r="AP8" s="4"/>
      <c r="AQ8" s="4"/>
      <c r="AR8" s="4"/>
      <c r="AU8" s="761" t="s">
        <v>522</v>
      </c>
      <c r="AV8" s="746">
        <v>4605</v>
      </c>
      <c r="AX8" s="6" t="s">
        <v>522</v>
      </c>
      <c r="AY8" s="4">
        <v>6631</v>
      </c>
    </row>
    <row r="9" spans="1:51">
      <c r="A9" s="746" t="s">
        <v>739</v>
      </c>
      <c r="B9" s="746">
        <v>66718</v>
      </c>
      <c r="C9" s="747">
        <v>5776.9290709290708</v>
      </c>
      <c r="D9" s="746">
        <f t="shared" si="0"/>
        <v>5777</v>
      </c>
      <c r="E9" s="299">
        <v>6705</v>
      </c>
      <c r="F9" s="757">
        <f t="shared" si="1"/>
        <v>2.2354648350585277E-2</v>
      </c>
      <c r="G9" s="746">
        <v>26</v>
      </c>
      <c r="H9" s="746">
        <f t="shared" si="4"/>
        <v>258</v>
      </c>
      <c r="I9" s="746">
        <v>15</v>
      </c>
      <c r="J9" s="747">
        <f t="shared" si="5"/>
        <v>15.625000000000002</v>
      </c>
      <c r="K9" s="746">
        <f t="shared" si="2"/>
        <v>3870</v>
      </c>
      <c r="L9" s="746">
        <v>600</v>
      </c>
      <c r="M9" s="746">
        <f t="shared" si="3"/>
        <v>7</v>
      </c>
      <c r="N9" s="746">
        <v>609.6</v>
      </c>
      <c r="O9" s="746">
        <v>381</v>
      </c>
      <c r="P9" s="746">
        <v>254</v>
      </c>
      <c r="Q9" s="746">
        <v>1200</v>
      </c>
      <c r="R9" s="746">
        <v>1080</v>
      </c>
      <c r="S9" s="746">
        <v>1200</v>
      </c>
      <c r="T9" s="746">
        <f t="shared" si="6"/>
        <v>5</v>
      </c>
      <c r="U9" s="746">
        <f t="shared" si="7"/>
        <v>1</v>
      </c>
      <c r="V9" s="746">
        <f t="shared" si="7"/>
        <v>2</v>
      </c>
      <c r="W9" s="746">
        <f t="shared" si="8"/>
        <v>5</v>
      </c>
      <c r="X9" s="746">
        <f t="shared" si="9"/>
        <v>10</v>
      </c>
      <c r="Y9" s="758">
        <f t="shared" si="10"/>
        <v>156.25000000000003</v>
      </c>
      <c r="Z9" s="747">
        <f t="shared" si="11"/>
        <v>3.9370078740157481</v>
      </c>
      <c r="AA9" s="746">
        <f t="shared" si="12"/>
        <v>28</v>
      </c>
      <c r="AB9" s="746">
        <f t="shared" si="13"/>
        <v>58993430.399999999</v>
      </c>
      <c r="AC9" s="746">
        <f t="shared" si="14"/>
        <v>2.0833333333333335</v>
      </c>
      <c r="AD9" s="759" t="s">
        <v>594</v>
      </c>
      <c r="AE9" s="746">
        <f t="shared" si="15"/>
        <v>140</v>
      </c>
      <c r="AF9" s="758">
        <f t="shared" si="16"/>
        <v>129</v>
      </c>
      <c r="AG9" s="758">
        <f t="shared" si="17"/>
        <v>51.6</v>
      </c>
      <c r="AH9" s="758">
        <f t="shared" si="18"/>
        <v>51.6</v>
      </c>
      <c r="AI9" s="758">
        <f t="shared" si="19"/>
        <v>25.8</v>
      </c>
      <c r="AJ9" s="746">
        <f t="shared" si="20"/>
        <v>258</v>
      </c>
      <c r="AK9" s="4">
        <f t="shared" si="21"/>
        <v>13</v>
      </c>
      <c r="AL9" s="4">
        <f t="shared" si="22"/>
        <v>15</v>
      </c>
      <c r="AM9" s="4">
        <f t="shared" si="23"/>
        <v>36</v>
      </c>
      <c r="AN9" s="4">
        <f t="shared" si="24"/>
        <v>155</v>
      </c>
      <c r="AO9" s="4">
        <f t="shared" si="25"/>
        <v>219</v>
      </c>
      <c r="AP9" s="4"/>
      <c r="AQ9" s="4"/>
      <c r="AR9" s="4"/>
    </row>
    <row r="10" spans="1:51">
      <c r="A10" s="746" t="s">
        <v>740</v>
      </c>
      <c r="B10" s="746">
        <v>56294</v>
      </c>
      <c r="C10" s="747">
        <v>5564.9238095238097</v>
      </c>
      <c r="D10" s="746">
        <f t="shared" si="0"/>
        <v>5565</v>
      </c>
      <c r="E10" s="299">
        <v>7118</v>
      </c>
      <c r="F10" s="757">
        <f t="shared" si="1"/>
        <v>2.153429428267389E-2</v>
      </c>
      <c r="G10" s="746">
        <v>26</v>
      </c>
      <c r="H10" s="746">
        <f t="shared" si="4"/>
        <v>274</v>
      </c>
      <c r="I10" s="746">
        <v>15</v>
      </c>
      <c r="J10" s="747">
        <f t="shared" si="5"/>
        <v>4.169955846473373</v>
      </c>
      <c r="K10" s="746">
        <f t="shared" si="2"/>
        <v>4110</v>
      </c>
      <c r="L10" s="746">
        <v>600</v>
      </c>
      <c r="M10" s="746">
        <f t="shared" si="3"/>
        <v>7</v>
      </c>
      <c r="N10" s="746">
        <v>410</v>
      </c>
      <c r="O10" s="746">
        <v>240</v>
      </c>
      <c r="P10" s="746">
        <v>160</v>
      </c>
      <c r="Q10" s="746">
        <v>1200</v>
      </c>
      <c r="R10" s="746">
        <v>1080</v>
      </c>
      <c r="S10" s="746">
        <v>1200</v>
      </c>
      <c r="T10" s="746">
        <f t="shared" si="6"/>
        <v>8</v>
      </c>
      <c r="U10" s="746">
        <f t="shared" si="7"/>
        <v>2</v>
      </c>
      <c r="V10" s="746">
        <f t="shared" si="7"/>
        <v>4</v>
      </c>
      <c r="W10" s="746">
        <f t="shared" si="8"/>
        <v>8</v>
      </c>
      <c r="X10" s="746">
        <f t="shared" si="9"/>
        <v>64</v>
      </c>
      <c r="Y10" s="758">
        <f t="shared" si="10"/>
        <v>266.87717417429587</v>
      </c>
      <c r="Z10" s="747">
        <f t="shared" si="11"/>
        <v>3.9370078740157481</v>
      </c>
      <c r="AA10" s="746">
        <f t="shared" si="12"/>
        <v>5</v>
      </c>
      <c r="AB10" s="746">
        <f t="shared" si="13"/>
        <v>15744000</v>
      </c>
      <c r="AC10" s="746">
        <f t="shared" si="14"/>
        <v>0.5559941128631164</v>
      </c>
      <c r="AD10" s="759" t="s">
        <v>594</v>
      </c>
      <c r="AE10" s="746">
        <f t="shared" si="15"/>
        <v>25</v>
      </c>
      <c r="AF10" s="758">
        <f t="shared" si="16"/>
        <v>137</v>
      </c>
      <c r="AG10" s="758">
        <f t="shared" si="17"/>
        <v>54.800000000000004</v>
      </c>
      <c r="AH10" s="758">
        <f t="shared" si="18"/>
        <v>54.800000000000004</v>
      </c>
      <c r="AI10" s="758">
        <f t="shared" si="19"/>
        <v>27.400000000000002</v>
      </c>
      <c r="AJ10" s="746">
        <f t="shared" si="20"/>
        <v>274</v>
      </c>
      <c r="AK10" s="4">
        <f t="shared" si="21"/>
        <v>2</v>
      </c>
      <c r="AL10" s="4">
        <f t="shared" si="22"/>
        <v>3</v>
      </c>
      <c r="AM10" s="4">
        <f t="shared" si="23"/>
        <v>6</v>
      </c>
      <c r="AN10" s="4">
        <f t="shared" si="24"/>
        <v>26</v>
      </c>
      <c r="AO10" s="4">
        <f t="shared" si="25"/>
        <v>37</v>
      </c>
      <c r="AP10" s="4"/>
      <c r="AQ10" s="4"/>
      <c r="AR10" s="4"/>
      <c r="AU10" s="762" t="s">
        <v>741</v>
      </c>
      <c r="AV10" s="762"/>
    </row>
    <row r="11" spans="1:51">
      <c r="A11" s="746" t="s">
        <v>742</v>
      </c>
      <c r="B11" s="746">
        <v>52590</v>
      </c>
      <c r="C11" s="747">
        <v>5407.1846153846154</v>
      </c>
      <c r="D11" s="746">
        <f t="shared" si="0"/>
        <v>5408</v>
      </c>
      <c r="E11" s="299">
        <v>7524</v>
      </c>
      <c r="F11" s="757">
        <f t="shared" si="1"/>
        <v>2.0926767921060269E-2</v>
      </c>
      <c r="G11" s="746">
        <v>26</v>
      </c>
      <c r="H11" s="746">
        <f t="shared" si="4"/>
        <v>290</v>
      </c>
      <c r="I11" s="746">
        <v>15</v>
      </c>
      <c r="J11" s="747">
        <f t="shared" si="5"/>
        <v>16.371527777777779</v>
      </c>
      <c r="K11" s="746">
        <f t="shared" si="2"/>
        <v>4350</v>
      </c>
      <c r="L11" s="746">
        <v>600</v>
      </c>
      <c r="M11" s="746">
        <f t="shared" si="3"/>
        <v>8</v>
      </c>
      <c r="N11" s="746">
        <v>520.70000000000005</v>
      </c>
      <c r="O11" s="746">
        <v>406.4</v>
      </c>
      <c r="P11" s="746">
        <v>292.10000000000002</v>
      </c>
      <c r="Q11" s="746">
        <v>1200</v>
      </c>
      <c r="R11" s="746">
        <v>1080</v>
      </c>
      <c r="S11" s="746">
        <v>1200</v>
      </c>
      <c r="T11" s="746">
        <f t="shared" si="6"/>
        <v>4</v>
      </c>
      <c r="U11" s="746">
        <f t="shared" si="7"/>
        <v>2</v>
      </c>
      <c r="V11" s="746">
        <f t="shared" si="7"/>
        <v>2</v>
      </c>
      <c r="W11" s="746">
        <f t="shared" si="8"/>
        <v>4</v>
      </c>
      <c r="X11" s="746">
        <f t="shared" si="9"/>
        <v>16</v>
      </c>
      <c r="Y11" s="758">
        <f t="shared" si="10"/>
        <v>261.94444444444446</v>
      </c>
      <c r="Z11" s="747">
        <f t="shared" si="11"/>
        <v>3.9370078740157481</v>
      </c>
      <c r="AA11" s="746">
        <f t="shared" si="12"/>
        <v>20</v>
      </c>
      <c r="AB11" s="746">
        <f t="shared" si="13"/>
        <v>61812005.408000007</v>
      </c>
      <c r="AC11" s="746">
        <f t="shared" si="14"/>
        <v>2.1828703703703707</v>
      </c>
      <c r="AD11" s="759" t="s">
        <v>594</v>
      </c>
      <c r="AE11" s="746">
        <f t="shared" si="15"/>
        <v>100</v>
      </c>
      <c r="AF11" s="758">
        <f t="shared" si="16"/>
        <v>145</v>
      </c>
      <c r="AG11" s="758">
        <f t="shared" si="17"/>
        <v>58</v>
      </c>
      <c r="AH11" s="758">
        <f t="shared" si="18"/>
        <v>58</v>
      </c>
      <c r="AI11" s="758">
        <f t="shared" si="19"/>
        <v>29</v>
      </c>
      <c r="AJ11" s="746">
        <f t="shared" si="20"/>
        <v>290</v>
      </c>
      <c r="AK11" s="4">
        <f t="shared" si="21"/>
        <v>9</v>
      </c>
      <c r="AL11" s="4">
        <f t="shared" si="22"/>
        <v>11</v>
      </c>
      <c r="AM11" s="4">
        <f t="shared" si="23"/>
        <v>25</v>
      </c>
      <c r="AN11" s="4">
        <f t="shared" si="24"/>
        <v>109</v>
      </c>
      <c r="AO11" s="4">
        <f t="shared" si="25"/>
        <v>154</v>
      </c>
      <c r="AP11" s="4"/>
      <c r="AQ11" s="4"/>
      <c r="AR11" s="4"/>
      <c r="AU11" s="760" t="s">
        <v>709</v>
      </c>
      <c r="AV11" s="746" t="s">
        <v>743</v>
      </c>
    </row>
    <row r="12" spans="1:51">
      <c r="A12" s="746" t="s">
        <v>744</v>
      </c>
      <c r="B12" s="746">
        <v>5006</v>
      </c>
      <c r="C12" s="747">
        <v>5006</v>
      </c>
      <c r="D12" s="746">
        <f t="shared" si="0"/>
        <v>5006</v>
      </c>
      <c r="E12" s="299">
        <v>5006</v>
      </c>
      <c r="F12" s="757">
        <f t="shared" si="1"/>
        <v>1.9371190867756603E-2</v>
      </c>
      <c r="G12" s="746">
        <v>26</v>
      </c>
      <c r="H12" s="746">
        <f t="shared" si="4"/>
        <v>193</v>
      </c>
      <c r="I12" s="746">
        <v>15</v>
      </c>
      <c r="J12" s="747">
        <f t="shared" si="5"/>
        <v>0.49641385577062497</v>
      </c>
      <c r="K12" s="746">
        <f t="shared" si="2"/>
        <v>2895</v>
      </c>
      <c r="L12" s="746">
        <v>600</v>
      </c>
      <c r="M12" s="746">
        <f t="shared" si="3"/>
        <v>5</v>
      </c>
      <c r="N12" s="746">
        <v>105</v>
      </c>
      <c r="O12" s="746">
        <v>105</v>
      </c>
      <c r="P12" s="746">
        <v>170</v>
      </c>
      <c r="Q12" s="746">
        <v>1200</v>
      </c>
      <c r="R12" s="746">
        <v>1080</v>
      </c>
      <c r="S12" s="746">
        <v>1200</v>
      </c>
      <c r="T12" s="746">
        <f t="shared" si="6"/>
        <v>7</v>
      </c>
      <c r="U12" s="746">
        <f>ROUNDDOWN(Q12/N12,0)</f>
        <v>11</v>
      </c>
      <c r="V12" s="746">
        <f>ROUNDDOWN(R12/O12,0)</f>
        <v>10</v>
      </c>
      <c r="W12" s="746">
        <f t="shared" si="8"/>
        <v>7</v>
      </c>
      <c r="X12" s="746">
        <f>U12*V12*W12</f>
        <v>770</v>
      </c>
      <c r="Y12" s="758">
        <f t="shared" si="10"/>
        <v>382.23866894338124</v>
      </c>
      <c r="Z12" s="747">
        <f t="shared" si="11"/>
        <v>3.9370078740157481</v>
      </c>
      <c r="AA12" s="746">
        <f t="shared" si="12"/>
        <v>1</v>
      </c>
      <c r="AB12" s="746">
        <f t="shared" si="13"/>
        <v>1874250</v>
      </c>
      <c r="AC12" s="746">
        <f t="shared" si="14"/>
        <v>6.6188514102749993E-2</v>
      </c>
      <c r="AD12" s="759" t="s">
        <v>594</v>
      </c>
      <c r="AE12" s="746">
        <f t="shared" si="15"/>
        <v>5</v>
      </c>
      <c r="AF12" s="758">
        <f t="shared" si="16"/>
        <v>96.5</v>
      </c>
      <c r="AG12" s="758">
        <f t="shared" si="17"/>
        <v>38.6</v>
      </c>
      <c r="AH12" s="758">
        <f t="shared" si="18"/>
        <v>38.6</v>
      </c>
      <c r="AI12" s="758">
        <f t="shared" si="19"/>
        <v>19.3</v>
      </c>
      <c r="AJ12" s="746">
        <f t="shared" si="20"/>
        <v>193</v>
      </c>
      <c r="AK12" s="4">
        <f t="shared" si="21"/>
        <v>0</v>
      </c>
      <c r="AL12" s="4">
        <f t="shared" si="22"/>
        <v>0</v>
      </c>
      <c r="AM12" s="4">
        <f t="shared" si="23"/>
        <v>0</v>
      </c>
      <c r="AN12" s="4">
        <f t="shared" si="24"/>
        <v>2</v>
      </c>
      <c r="AO12" s="4">
        <f t="shared" si="25"/>
        <v>2</v>
      </c>
      <c r="AP12" s="4"/>
      <c r="AQ12" s="4"/>
      <c r="AR12" s="4"/>
      <c r="AU12" s="761" t="s">
        <v>594</v>
      </c>
      <c r="AV12" s="746">
        <v>871</v>
      </c>
    </row>
    <row r="13" spans="1:51">
      <c r="A13" s="746" t="s">
        <v>745</v>
      </c>
      <c r="B13" s="746">
        <v>47263</v>
      </c>
      <c r="C13" s="747">
        <v>4840.1219336219337</v>
      </c>
      <c r="D13" s="746">
        <f t="shared" si="0"/>
        <v>4841</v>
      </c>
      <c r="E13" s="299">
        <v>5896</v>
      </c>
      <c r="F13" s="757">
        <f t="shared" si="1"/>
        <v>1.8732707748863306E-2</v>
      </c>
      <c r="G13" s="746">
        <v>26</v>
      </c>
      <c r="H13" s="746">
        <f t="shared" si="4"/>
        <v>227</v>
      </c>
      <c r="I13" s="746">
        <v>15</v>
      </c>
      <c r="J13" s="747">
        <f t="shared" si="5"/>
        <v>23.282253476142998</v>
      </c>
      <c r="K13" s="746">
        <f t="shared" si="2"/>
        <v>3405</v>
      </c>
      <c r="L13" s="746">
        <v>600</v>
      </c>
      <c r="M13" s="746">
        <f t="shared" si="3"/>
        <v>6</v>
      </c>
      <c r="N13" s="746">
        <v>670</v>
      </c>
      <c r="O13" s="746">
        <v>410</v>
      </c>
      <c r="P13" s="746">
        <v>320</v>
      </c>
      <c r="Q13" s="746">
        <v>1200</v>
      </c>
      <c r="R13" s="746">
        <v>1080</v>
      </c>
      <c r="S13" s="746">
        <v>1200</v>
      </c>
      <c r="T13" s="746">
        <f t="shared" si="6"/>
        <v>4</v>
      </c>
      <c r="U13" s="746">
        <f t="shared" si="7"/>
        <v>1</v>
      </c>
      <c r="V13" s="746">
        <f t="shared" si="7"/>
        <v>2</v>
      </c>
      <c r="W13" s="746">
        <f t="shared" si="8"/>
        <v>4</v>
      </c>
      <c r="X13" s="746">
        <f t="shared" si="9"/>
        <v>8</v>
      </c>
      <c r="Y13" s="758">
        <f t="shared" si="10"/>
        <v>186.25802780914398</v>
      </c>
      <c r="Z13" s="747">
        <f t="shared" si="11"/>
        <v>3.9370078740157481</v>
      </c>
      <c r="AA13" s="746">
        <f t="shared" si="12"/>
        <v>30</v>
      </c>
      <c r="AB13" s="746">
        <f t="shared" si="13"/>
        <v>87904000</v>
      </c>
      <c r="AC13" s="746">
        <f t="shared" si="14"/>
        <v>3.1043004634857332</v>
      </c>
      <c r="AD13" s="759" t="s">
        <v>594</v>
      </c>
      <c r="AE13" s="746">
        <f t="shared" si="15"/>
        <v>150</v>
      </c>
      <c r="AF13" s="758">
        <f t="shared" si="16"/>
        <v>113.5</v>
      </c>
      <c r="AG13" s="758">
        <f t="shared" si="17"/>
        <v>45.400000000000006</v>
      </c>
      <c r="AH13" s="758">
        <f t="shared" si="18"/>
        <v>45.400000000000006</v>
      </c>
      <c r="AI13" s="758">
        <f t="shared" si="19"/>
        <v>22.700000000000003</v>
      </c>
      <c r="AJ13" s="746">
        <f t="shared" si="20"/>
        <v>227</v>
      </c>
      <c r="AK13" s="4">
        <f t="shared" si="21"/>
        <v>14</v>
      </c>
      <c r="AL13" s="4">
        <f t="shared" si="22"/>
        <v>17</v>
      </c>
      <c r="AM13" s="4">
        <f t="shared" si="23"/>
        <v>40</v>
      </c>
      <c r="AN13" s="4">
        <f t="shared" si="24"/>
        <v>170</v>
      </c>
      <c r="AO13" s="4">
        <f t="shared" si="25"/>
        <v>241</v>
      </c>
      <c r="AP13" s="4"/>
      <c r="AQ13" s="4"/>
      <c r="AR13" s="4"/>
      <c r="AU13" s="761" t="s">
        <v>595</v>
      </c>
      <c r="AV13" s="746">
        <v>24</v>
      </c>
    </row>
    <row r="14" spans="1:51">
      <c r="A14" s="746" t="s">
        <v>746</v>
      </c>
      <c r="B14" s="746">
        <v>5781</v>
      </c>
      <c r="C14" s="747">
        <v>4551</v>
      </c>
      <c r="D14" s="746">
        <f t="shared" si="0"/>
        <v>4551</v>
      </c>
      <c r="E14" s="299">
        <v>4562</v>
      </c>
      <c r="F14" s="757">
        <f t="shared" si="1"/>
        <v>1.7610525297475088E-2</v>
      </c>
      <c r="G14" s="746">
        <v>26</v>
      </c>
      <c r="H14" s="746">
        <f t="shared" si="4"/>
        <v>176</v>
      </c>
      <c r="I14" s="746">
        <v>15</v>
      </c>
      <c r="J14" s="747">
        <f t="shared" si="5"/>
        <v>23.282253476142998</v>
      </c>
      <c r="K14" s="746">
        <f t="shared" si="2"/>
        <v>2640</v>
      </c>
      <c r="L14" s="746">
        <v>600</v>
      </c>
      <c r="M14" s="746">
        <f t="shared" si="3"/>
        <v>5</v>
      </c>
      <c r="N14" s="746">
        <v>670</v>
      </c>
      <c r="O14" s="746">
        <v>410</v>
      </c>
      <c r="P14" s="746">
        <v>320</v>
      </c>
      <c r="Q14" s="746">
        <v>1200</v>
      </c>
      <c r="R14" s="746">
        <v>1080</v>
      </c>
      <c r="S14" s="746">
        <v>1200</v>
      </c>
      <c r="T14" s="746">
        <f t="shared" si="6"/>
        <v>4</v>
      </c>
      <c r="U14" s="746">
        <f t="shared" si="7"/>
        <v>1</v>
      </c>
      <c r="V14" s="746">
        <f t="shared" si="7"/>
        <v>2</v>
      </c>
      <c r="W14" s="746">
        <f t="shared" si="8"/>
        <v>4</v>
      </c>
      <c r="X14" s="746">
        <f t="shared" si="9"/>
        <v>8</v>
      </c>
      <c r="Y14" s="758">
        <f t="shared" si="10"/>
        <v>186.25802780914398</v>
      </c>
      <c r="Z14" s="747">
        <f t="shared" si="11"/>
        <v>3.9370078740157481</v>
      </c>
      <c r="AA14" s="746">
        <f t="shared" si="12"/>
        <v>24</v>
      </c>
      <c r="AB14" s="746">
        <f t="shared" si="13"/>
        <v>87904000</v>
      </c>
      <c r="AC14" s="746">
        <f t="shared" si="14"/>
        <v>3.1043004634857332</v>
      </c>
      <c r="AD14" s="759" t="s">
        <v>594</v>
      </c>
      <c r="AE14" s="746">
        <f t="shared" si="15"/>
        <v>120</v>
      </c>
      <c r="AF14" s="758">
        <f t="shared" si="16"/>
        <v>88</v>
      </c>
      <c r="AG14" s="758">
        <f t="shared" si="17"/>
        <v>35.200000000000003</v>
      </c>
      <c r="AH14" s="758">
        <f t="shared" si="18"/>
        <v>35.200000000000003</v>
      </c>
      <c r="AI14" s="758">
        <f t="shared" si="19"/>
        <v>17.600000000000001</v>
      </c>
      <c r="AJ14" s="746">
        <f t="shared" si="20"/>
        <v>176</v>
      </c>
      <c r="AK14" s="4">
        <f t="shared" si="21"/>
        <v>11</v>
      </c>
      <c r="AL14" s="4">
        <f t="shared" si="22"/>
        <v>13</v>
      </c>
      <c r="AM14" s="4">
        <f t="shared" si="23"/>
        <v>31</v>
      </c>
      <c r="AN14" s="4">
        <f t="shared" si="24"/>
        <v>132</v>
      </c>
      <c r="AO14" s="4">
        <f t="shared" si="25"/>
        <v>187</v>
      </c>
      <c r="AP14" s="4"/>
      <c r="AQ14" s="4"/>
      <c r="AR14" s="4"/>
      <c r="AU14" s="761" t="s">
        <v>596</v>
      </c>
      <c r="AV14" s="746">
        <v>1</v>
      </c>
    </row>
    <row r="15" spans="1:51">
      <c r="A15" s="759" t="s">
        <v>747</v>
      </c>
      <c r="B15" s="746">
        <v>54661</v>
      </c>
      <c r="C15" s="747">
        <v>4481.6153846153848</v>
      </c>
      <c r="D15" s="746">
        <f t="shared" si="0"/>
        <v>4482</v>
      </c>
      <c r="E15" s="299">
        <v>5455</v>
      </c>
      <c r="F15" s="757">
        <f t="shared" si="1"/>
        <v>1.7343523265937893E-2</v>
      </c>
      <c r="G15" s="746">
        <v>26</v>
      </c>
      <c r="H15" s="746">
        <f t="shared" si="4"/>
        <v>210</v>
      </c>
      <c r="I15" s="746">
        <v>15</v>
      </c>
      <c r="J15" s="747">
        <f t="shared" si="5"/>
        <v>8.7806387336309246</v>
      </c>
      <c r="K15" s="746">
        <f t="shared" si="2"/>
        <v>3150</v>
      </c>
      <c r="L15" s="746">
        <v>600</v>
      </c>
      <c r="M15" s="746">
        <f t="shared" si="3"/>
        <v>6</v>
      </c>
      <c r="N15" s="746">
        <v>560</v>
      </c>
      <c r="O15" s="746">
        <v>370</v>
      </c>
      <c r="P15" s="746">
        <v>160</v>
      </c>
      <c r="Q15" s="746">
        <v>1200</v>
      </c>
      <c r="R15" s="746">
        <v>1080</v>
      </c>
      <c r="S15" s="746">
        <v>1200</v>
      </c>
      <c r="T15" s="746">
        <f t="shared" si="6"/>
        <v>8</v>
      </c>
      <c r="U15" s="746">
        <f t="shared" si="7"/>
        <v>2</v>
      </c>
      <c r="V15" s="746">
        <f t="shared" si="7"/>
        <v>2</v>
      </c>
      <c r="W15" s="746">
        <f t="shared" si="8"/>
        <v>8</v>
      </c>
      <c r="X15" s="746">
        <f t="shared" si="9"/>
        <v>32</v>
      </c>
      <c r="Y15" s="758">
        <f t="shared" si="10"/>
        <v>280.98043947618959</v>
      </c>
      <c r="Z15" s="747">
        <f t="shared" si="11"/>
        <v>3.9370078740157481</v>
      </c>
      <c r="AA15" s="746">
        <f t="shared" si="12"/>
        <v>7</v>
      </c>
      <c r="AB15" s="746">
        <f t="shared" si="13"/>
        <v>33152000</v>
      </c>
      <c r="AC15" s="746">
        <f t="shared" si="14"/>
        <v>1.1707518311507898</v>
      </c>
      <c r="AD15" s="759" t="s">
        <v>594</v>
      </c>
      <c r="AE15" s="746">
        <f t="shared" si="15"/>
        <v>35</v>
      </c>
      <c r="AF15" s="758">
        <f t="shared" si="16"/>
        <v>105</v>
      </c>
      <c r="AG15" s="758">
        <f t="shared" si="17"/>
        <v>42</v>
      </c>
      <c r="AH15" s="758">
        <f t="shared" si="18"/>
        <v>42</v>
      </c>
      <c r="AI15" s="758">
        <f t="shared" si="19"/>
        <v>21</v>
      </c>
      <c r="AJ15" s="746">
        <f t="shared" si="20"/>
        <v>210</v>
      </c>
      <c r="AK15" s="4">
        <f t="shared" si="21"/>
        <v>3</v>
      </c>
      <c r="AL15" s="4">
        <f t="shared" si="22"/>
        <v>4</v>
      </c>
      <c r="AM15" s="4">
        <f t="shared" si="23"/>
        <v>9</v>
      </c>
      <c r="AN15" s="4">
        <f t="shared" si="24"/>
        <v>39</v>
      </c>
      <c r="AO15" s="4">
        <f t="shared" si="25"/>
        <v>55</v>
      </c>
      <c r="AP15" s="4"/>
      <c r="AQ15" s="4"/>
      <c r="AR15" s="4"/>
      <c r="AU15" s="761" t="s">
        <v>597</v>
      </c>
      <c r="AV15" s="746">
        <v>0</v>
      </c>
    </row>
    <row r="16" spans="1:51">
      <c r="A16" s="746" t="s">
        <v>748</v>
      </c>
      <c r="B16" s="746">
        <v>49876</v>
      </c>
      <c r="C16" s="747">
        <v>4431.3333333333339</v>
      </c>
      <c r="D16" s="746">
        <f t="shared" si="0"/>
        <v>4432</v>
      </c>
      <c r="E16" s="299">
        <v>5074</v>
      </c>
      <c r="F16" s="757">
        <f t="shared" si="1"/>
        <v>1.7150043532939925E-2</v>
      </c>
      <c r="G16" s="746">
        <v>26</v>
      </c>
      <c r="H16" s="746">
        <f t="shared" si="4"/>
        <v>196</v>
      </c>
      <c r="I16" s="746">
        <v>15</v>
      </c>
      <c r="J16" s="747">
        <f t="shared" si="5"/>
        <v>20.172039041994751</v>
      </c>
      <c r="K16" s="746">
        <f t="shared" si="2"/>
        <v>2940</v>
      </c>
      <c r="L16" s="746">
        <v>600</v>
      </c>
      <c r="M16" s="746">
        <f t="shared" si="3"/>
        <v>5</v>
      </c>
      <c r="N16" s="746">
        <v>787</v>
      </c>
      <c r="O16" s="746">
        <v>381</v>
      </c>
      <c r="P16" s="746">
        <v>254</v>
      </c>
      <c r="Q16" s="746">
        <v>1200</v>
      </c>
      <c r="R16" s="746">
        <v>1080</v>
      </c>
      <c r="S16" s="746">
        <v>1200</v>
      </c>
      <c r="T16" s="746">
        <f t="shared" si="6"/>
        <v>5</v>
      </c>
      <c r="U16" s="746">
        <f t="shared" si="7"/>
        <v>1</v>
      </c>
      <c r="V16" s="746">
        <f t="shared" si="7"/>
        <v>2</v>
      </c>
      <c r="W16" s="746">
        <f t="shared" si="8"/>
        <v>5</v>
      </c>
      <c r="X16" s="746">
        <f t="shared" si="9"/>
        <v>10</v>
      </c>
      <c r="Y16" s="758">
        <f t="shared" si="10"/>
        <v>201.72039041994751</v>
      </c>
      <c r="Z16" s="747">
        <f t="shared" si="11"/>
        <v>3.9370078740157481</v>
      </c>
      <c r="AA16" s="746">
        <f t="shared" si="12"/>
        <v>21</v>
      </c>
      <c r="AB16" s="746">
        <f t="shared" si="13"/>
        <v>76161138</v>
      </c>
      <c r="AC16" s="746">
        <f t="shared" si="14"/>
        <v>2.6896052055993001</v>
      </c>
      <c r="AD16" s="759" t="s">
        <v>594</v>
      </c>
      <c r="AE16" s="746">
        <f t="shared" si="15"/>
        <v>105</v>
      </c>
      <c r="AF16" s="758">
        <f t="shared" si="16"/>
        <v>98</v>
      </c>
      <c r="AG16" s="758">
        <f t="shared" si="17"/>
        <v>39.200000000000003</v>
      </c>
      <c r="AH16" s="758">
        <f t="shared" si="18"/>
        <v>39.200000000000003</v>
      </c>
      <c r="AI16" s="758">
        <f t="shared" si="19"/>
        <v>19.600000000000001</v>
      </c>
      <c r="AJ16" s="746">
        <f t="shared" si="20"/>
        <v>195.99999999999997</v>
      </c>
      <c r="AK16" s="4">
        <f t="shared" si="21"/>
        <v>10</v>
      </c>
      <c r="AL16" s="4">
        <f t="shared" si="22"/>
        <v>12</v>
      </c>
      <c r="AM16" s="4">
        <f t="shared" si="23"/>
        <v>27</v>
      </c>
      <c r="AN16" s="4">
        <f t="shared" si="24"/>
        <v>118</v>
      </c>
      <c r="AO16" s="4">
        <f t="shared" si="25"/>
        <v>167</v>
      </c>
      <c r="AP16" s="4"/>
      <c r="AQ16" s="4"/>
      <c r="AR16" s="4"/>
      <c r="AU16" s="761" t="s">
        <v>522</v>
      </c>
      <c r="AV16" s="746">
        <v>896</v>
      </c>
    </row>
    <row r="17" spans="1:44">
      <c r="A17" s="746" t="s">
        <v>749</v>
      </c>
      <c r="B17" s="746">
        <v>4201</v>
      </c>
      <c r="C17" s="747">
        <v>4201</v>
      </c>
      <c r="D17" s="746">
        <f t="shared" si="0"/>
        <v>4201</v>
      </c>
      <c r="E17" s="299">
        <v>4201</v>
      </c>
      <c r="F17" s="757">
        <f t="shared" si="1"/>
        <v>1.625616716648931E-2</v>
      </c>
      <c r="G17" s="746">
        <v>26</v>
      </c>
      <c r="H17" s="746">
        <f t="shared" si="4"/>
        <v>162</v>
      </c>
      <c r="I17" s="746">
        <v>15</v>
      </c>
      <c r="J17" s="747">
        <f t="shared" si="5"/>
        <v>4.169955846473373</v>
      </c>
      <c r="K17" s="746">
        <f t="shared" si="2"/>
        <v>2430</v>
      </c>
      <c r="L17" s="746">
        <v>600</v>
      </c>
      <c r="M17" s="746">
        <f t="shared" si="3"/>
        <v>5</v>
      </c>
      <c r="N17" s="746">
        <v>410</v>
      </c>
      <c r="O17" s="746">
        <v>240</v>
      </c>
      <c r="P17" s="746">
        <v>160</v>
      </c>
      <c r="Q17" s="746">
        <v>1200</v>
      </c>
      <c r="R17" s="746">
        <v>1080</v>
      </c>
      <c r="S17" s="746">
        <v>1200</v>
      </c>
      <c r="T17" s="746">
        <f t="shared" si="6"/>
        <v>8</v>
      </c>
      <c r="U17" s="746">
        <f t="shared" si="7"/>
        <v>2</v>
      </c>
      <c r="V17" s="746">
        <f t="shared" si="7"/>
        <v>4</v>
      </c>
      <c r="W17" s="746">
        <f t="shared" si="8"/>
        <v>8</v>
      </c>
      <c r="X17" s="746">
        <f t="shared" si="9"/>
        <v>64</v>
      </c>
      <c r="Y17" s="758">
        <f t="shared" si="10"/>
        <v>266.87717417429587</v>
      </c>
      <c r="Z17" s="747">
        <f t="shared" si="11"/>
        <v>3.9370078740157481</v>
      </c>
      <c r="AA17" s="746">
        <f t="shared" si="12"/>
        <v>3</v>
      </c>
      <c r="AB17" s="746">
        <f t="shared" si="13"/>
        <v>15744000</v>
      </c>
      <c r="AC17" s="746">
        <f t="shared" si="14"/>
        <v>0.5559941128631164</v>
      </c>
      <c r="AD17" s="759" t="s">
        <v>594</v>
      </c>
      <c r="AE17" s="746">
        <f t="shared" si="15"/>
        <v>15</v>
      </c>
      <c r="AF17" s="758">
        <f t="shared" si="16"/>
        <v>81</v>
      </c>
      <c r="AG17" s="758">
        <f t="shared" si="17"/>
        <v>32.4</v>
      </c>
      <c r="AH17" s="758">
        <f t="shared" si="18"/>
        <v>32.4</v>
      </c>
      <c r="AI17" s="758">
        <f t="shared" si="19"/>
        <v>16.2</v>
      </c>
      <c r="AJ17" s="746">
        <f t="shared" si="20"/>
        <v>162</v>
      </c>
      <c r="AK17" s="4">
        <f t="shared" si="21"/>
        <v>1</v>
      </c>
      <c r="AL17" s="4">
        <f t="shared" si="22"/>
        <v>2</v>
      </c>
      <c r="AM17" s="4">
        <f t="shared" si="23"/>
        <v>4</v>
      </c>
      <c r="AN17" s="4">
        <f t="shared" si="24"/>
        <v>15</v>
      </c>
      <c r="AO17" s="4">
        <f t="shared" si="25"/>
        <v>22</v>
      </c>
      <c r="AP17" s="4"/>
      <c r="AQ17" s="4"/>
      <c r="AR17" s="4"/>
    </row>
    <row r="18" spans="1:44">
      <c r="A18" s="763" t="s">
        <v>750</v>
      </c>
      <c r="B18" s="746">
        <v>12587</v>
      </c>
      <c r="C18" s="747">
        <v>4195.666666666667</v>
      </c>
      <c r="D18" s="746">
        <f t="shared" si="0"/>
        <v>4196</v>
      </c>
      <c r="E18" s="299">
        <v>4794</v>
      </c>
      <c r="F18" s="757">
        <f t="shared" si="1"/>
        <v>1.6236819193189513E-2</v>
      </c>
      <c r="G18" s="746">
        <v>26</v>
      </c>
      <c r="H18" s="746">
        <f t="shared" si="4"/>
        <v>185</v>
      </c>
      <c r="I18" s="746">
        <v>15</v>
      </c>
      <c r="J18" s="747">
        <f t="shared" si="5"/>
        <v>0</v>
      </c>
      <c r="K18" s="746">
        <f t="shared" si="2"/>
        <v>2775</v>
      </c>
      <c r="L18" s="746">
        <v>600</v>
      </c>
      <c r="M18" s="746">
        <f t="shared" si="3"/>
        <v>5</v>
      </c>
      <c r="N18" s="746">
        <v>2032</v>
      </c>
      <c r="O18" s="746">
        <v>1955.8</v>
      </c>
      <c r="P18" s="746">
        <v>3048</v>
      </c>
      <c r="Q18" s="746">
        <v>2050</v>
      </c>
      <c r="R18" s="746">
        <v>2000</v>
      </c>
      <c r="S18" s="746">
        <v>1200</v>
      </c>
      <c r="T18" s="746">
        <f t="shared" si="6"/>
        <v>0</v>
      </c>
      <c r="U18" s="746">
        <f>ROUNDDOWN(Q18/N18,0)</f>
        <v>1</v>
      </c>
      <c r="V18" s="746">
        <f t="shared" si="7"/>
        <v>1</v>
      </c>
      <c r="W18" s="746">
        <f>ROUND(S18/P18,0)</f>
        <v>0</v>
      </c>
      <c r="X18" s="746">
        <f>U18*V18*W18</f>
        <v>0</v>
      </c>
      <c r="Y18" s="758">
        <f t="shared" si="10"/>
        <v>0</v>
      </c>
      <c r="Z18" s="747">
        <f>CONVERT(S18,"mm","ft")</f>
        <v>3.9370078740157481</v>
      </c>
      <c r="AA18" s="746">
        <f t="shared" si="12"/>
        <v>0</v>
      </c>
      <c r="AB18" s="746">
        <f t="shared" si="13"/>
        <v>12113317708.800001</v>
      </c>
      <c r="AC18" s="746">
        <f>CONVERT(AB18,"mm^3","ft^3")*0</f>
        <v>0</v>
      </c>
      <c r="AD18" s="759" t="s">
        <v>597</v>
      </c>
      <c r="AE18" s="746">
        <f t="shared" ref="AE18" si="26">AA18*10</f>
        <v>0</v>
      </c>
      <c r="AF18" s="758">
        <f t="shared" si="16"/>
        <v>92.5</v>
      </c>
      <c r="AG18" s="758">
        <f t="shared" si="17"/>
        <v>37</v>
      </c>
      <c r="AH18" s="758">
        <f t="shared" si="18"/>
        <v>37</v>
      </c>
      <c r="AI18" s="758">
        <f t="shared" si="19"/>
        <v>18.5</v>
      </c>
      <c r="AJ18" s="746">
        <f t="shared" si="20"/>
        <v>185</v>
      </c>
      <c r="AK18" s="4">
        <f t="shared" si="21"/>
        <v>0</v>
      </c>
      <c r="AL18" s="4">
        <f t="shared" si="22"/>
        <v>0</v>
      </c>
      <c r="AM18" s="4">
        <f t="shared" si="23"/>
        <v>0</v>
      </c>
      <c r="AN18" s="4">
        <f t="shared" si="24"/>
        <v>0</v>
      </c>
      <c r="AO18" s="4">
        <f t="shared" si="25"/>
        <v>0</v>
      </c>
      <c r="AP18" s="4"/>
      <c r="AQ18" s="4"/>
      <c r="AR18" s="4"/>
    </row>
    <row r="19" spans="1:44">
      <c r="A19" s="746" t="s">
        <v>751</v>
      </c>
      <c r="B19" s="746">
        <v>5100</v>
      </c>
      <c r="C19" s="747">
        <v>3975</v>
      </c>
      <c r="D19" s="746">
        <f t="shared" si="0"/>
        <v>3975</v>
      </c>
      <c r="E19" s="299">
        <v>4038</v>
      </c>
      <c r="F19" s="757">
        <f t="shared" si="1"/>
        <v>1.5381638773338493E-2</v>
      </c>
      <c r="G19" s="746">
        <v>26</v>
      </c>
      <c r="H19" s="746">
        <f t="shared" si="4"/>
        <v>156</v>
      </c>
      <c r="I19" s="746">
        <v>15</v>
      </c>
      <c r="J19" s="747">
        <f t="shared" si="5"/>
        <v>8.3333333333333321</v>
      </c>
      <c r="K19" s="746">
        <f t="shared" si="2"/>
        <v>2340</v>
      </c>
      <c r="L19" s="746">
        <v>600</v>
      </c>
      <c r="M19" s="746">
        <f t="shared" si="3"/>
        <v>4</v>
      </c>
      <c r="N19" s="746">
        <v>508</v>
      </c>
      <c r="O19" s="746">
        <v>304.8</v>
      </c>
      <c r="P19" s="746">
        <v>203.2</v>
      </c>
      <c r="Q19" s="746">
        <v>1200</v>
      </c>
      <c r="R19" s="746">
        <v>1080</v>
      </c>
      <c r="S19" s="746">
        <v>1200</v>
      </c>
      <c r="T19" s="746">
        <f t="shared" si="6"/>
        <v>6</v>
      </c>
      <c r="U19" s="746">
        <f t="shared" si="7"/>
        <v>2</v>
      </c>
      <c r="V19" s="746">
        <f t="shared" si="7"/>
        <v>3</v>
      </c>
      <c r="W19" s="746">
        <f t="shared" si="8"/>
        <v>6</v>
      </c>
      <c r="X19" s="746">
        <f t="shared" si="9"/>
        <v>36</v>
      </c>
      <c r="Y19" s="758">
        <f t="shared" si="10"/>
        <v>299.99999999999994</v>
      </c>
      <c r="Z19" s="747">
        <f t="shared" si="11"/>
        <v>3.9370078740157481</v>
      </c>
      <c r="AA19" s="746">
        <f t="shared" si="12"/>
        <v>5</v>
      </c>
      <c r="AB19" s="746">
        <f t="shared" si="13"/>
        <v>31463162.879999995</v>
      </c>
      <c r="AC19" s="746">
        <f t="shared" si="14"/>
        <v>1.1111111111111109</v>
      </c>
      <c r="AD19" s="759" t="s">
        <v>594</v>
      </c>
      <c r="AE19" s="746">
        <f t="shared" ref="AE19:AE74" si="27">AA19*5</f>
        <v>25</v>
      </c>
      <c r="AF19" s="758">
        <f t="shared" si="16"/>
        <v>78</v>
      </c>
      <c r="AG19" s="758">
        <f t="shared" si="17"/>
        <v>31.200000000000003</v>
      </c>
      <c r="AH19" s="758">
        <f t="shared" si="18"/>
        <v>31.200000000000003</v>
      </c>
      <c r="AI19" s="758">
        <f t="shared" si="19"/>
        <v>15.600000000000001</v>
      </c>
      <c r="AJ19" s="746">
        <f t="shared" si="20"/>
        <v>156</v>
      </c>
      <c r="AK19" s="4">
        <f t="shared" si="21"/>
        <v>2</v>
      </c>
      <c r="AL19" s="4">
        <f t="shared" si="22"/>
        <v>3</v>
      </c>
      <c r="AM19" s="4">
        <f t="shared" si="23"/>
        <v>6</v>
      </c>
      <c r="AN19" s="4">
        <f t="shared" si="24"/>
        <v>26</v>
      </c>
      <c r="AO19" s="4">
        <f t="shared" si="25"/>
        <v>37</v>
      </c>
      <c r="AP19" s="4"/>
      <c r="AQ19" s="4"/>
      <c r="AR19" s="4"/>
    </row>
    <row r="20" spans="1:44">
      <c r="A20" s="746" t="s">
        <v>752</v>
      </c>
      <c r="B20" s="746">
        <v>47379</v>
      </c>
      <c r="C20" s="747">
        <v>3644.5384615384614</v>
      </c>
      <c r="D20" s="746">
        <f t="shared" si="0"/>
        <v>3645</v>
      </c>
      <c r="E20" s="299">
        <v>4087</v>
      </c>
      <c r="F20" s="757">
        <f t="shared" si="1"/>
        <v>1.41046725355519E-2</v>
      </c>
      <c r="G20" s="746">
        <v>26</v>
      </c>
      <c r="H20" s="746">
        <f t="shared" si="4"/>
        <v>158</v>
      </c>
      <c r="I20" s="746">
        <v>15</v>
      </c>
      <c r="J20" s="747">
        <f t="shared" si="5"/>
        <v>8.7287326388888875</v>
      </c>
      <c r="K20" s="746">
        <f t="shared" si="2"/>
        <v>2370</v>
      </c>
      <c r="L20" s="746">
        <v>600</v>
      </c>
      <c r="M20" s="746">
        <f t="shared" si="3"/>
        <v>4</v>
      </c>
      <c r="N20" s="746">
        <v>561.33999999999992</v>
      </c>
      <c r="O20" s="746">
        <v>330.2</v>
      </c>
      <c r="P20" s="746">
        <v>177.8</v>
      </c>
      <c r="Q20" s="746">
        <v>1200</v>
      </c>
      <c r="R20" s="746">
        <v>1080</v>
      </c>
      <c r="S20" s="746">
        <v>1200</v>
      </c>
      <c r="T20" s="746">
        <f t="shared" si="6"/>
        <v>7</v>
      </c>
      <c r="U20" s="746">
        <f t="shared" si="7"/>
        <v>2</v>
      </c>
      <c r="V20" s="746">
        <f t="shared" si="7"/>
        <v>3</v>
      </c>
      <c r="W20" s="746">
        <f t="shared" si="8"/>
        <v>7</v>
      </c>
      <c r="X20" s="746">
        <f t="shared" si="9"/>
        <v>42</v>
      </c>
      <c r="Y20" s="758">
        <f t="shared" si="10"/>
        <v>366.60677083333326</v>
      </c>
      <c r="Z20" s="747">
        <f t="shared" si="11"/>
        <v>3.9370078740157481</v>
      </c>
      <c r="AA20" s="746">
        <f t="shared" si="12"/>
        <v>4</v>
      </c>
      <c r="AB20" s="746">
        <f t="shared" si="13"/>
        <v>32956024.410399996</v>
      </c>
      <c r="AC20" s="746">
        <f t="shared" si="14"/>
        <v>1.1638310185185183</v>
      </c>
      <c r="AD20" s="759" t="s">
        <v>594</v>
      </c>
      <c r="AE20" s="746">
        <f t="shared" si="27"/>
        <v>20</v>
      </c>
      <c r="AF20" s="758">
        <f t="shared" si="16"/>
        <v>79</v>
      </c>
      <c r="AG20" s="758">
        <f t="shared" si="17"/>
        <v>31.6</v>
      </c>
      <c r="AH20" s="758">
        <f t="shared" si="18"/>
        <v>31.6</v>
      </c>
      <c r="AI20" s="758">
        <f t="shared" si="19"/>
        <v>15.8</v>
      </c>
      <c r="AJ20" s="746">
        <f t="shared" si="20"/>
        <v>158</v>
      </c>
      <c r="AK20" s="4">
        <f t="shared" si="21"/>
        <v>2</v>
      </c>
      <c r="AL20" s="4">
        <f t="shared" si="22"/>
        <v>2</v>
      </c>
      <c r="AM20" s="4">
        <f t="shared" si="23"/>
        <v>5</v>
      </c>
      <c r="AN20" s="4">
        <f t="shared" si="24"/>
        <v>23</v>
      </c>
      <c r="AO20" s="4">
        <f t="shared" si="25"/>
        <v>32</v>
      </c>
      <c r="AP20" s="4"/>
      <c r="AQ20" s="4"/>
      <c r="AR20" s="4"/>
    </row>
    <row r="21" spans="1:44">
      <c r="A21" s="746" t="s">
        <v>753</v>
      </c>
      <c r="B21" s="746">
        <v>6400</v>
      </c>
      <c r="C21" s="747">
        <v>3200</v>
      </c>
      <c r="D21" s="746">
        <f t="shared" si="0"/>
        <v>3200</v>
      </c>
      <c r="E21" s="299">
        <v>3200</v>
      </c>
      <c r="F21" s="757">
        <f t="shared" si="1"/>
        <v>1.2382702911869981E-2</v>
      </c>
      <c r="G21" s="746">
        <v>26</v>
      </c>
      <c r="H21" s="746">
        <f t="shared" si="4"/>
        <v>124</v>
      </c>
      <c r="I21" s="746">
        <v>15</v>
      </c>
      <c r="J21" s="747">
        <f t="shared" si="5"/>
        <v>0.43934976868203957</v>
      </c>
      <c r="K21" s="746">
        <f t="shared" si="2"/>
        <v>1860</v>
      </c>
      <c r="L21" s="746">
        <v>600</v>
      </c>
      <c r="M21" s="746">
        <f t="shared" si="3"/>
        <v>4</v>
      </c>
      <c r="N21" s="746">
        <v>220</v>
      </c>
      <c r="O21" s="746">
        <v>130</v>
      </c>
      <c r="P21" s="746">
        <v>58</v>
      </c>
      <c r="Q21" s="746">
        <v>1200</v>
      </c>
      <c r="R21" s="746">
        <v>1080</v>
      </c>
      <c r="S21" s="746">
        <v>1200</v>
      </c>
      <c r="T21" s="746">
        <f t="shared" si="6"/>
        <v>21</v>
      </c>
      <c r="U21" s="746">
        <f>ROUNDDOWN(Q21/N21,0)-1</f>
        <v>4</v>
      </c>
      <c r="V21" s="746">
        <f>ROUNDDOWN(R21/O21,0)-5</f>
        <v>3</v>
      </c>
      <c r="W21" s="746">
        <f t="shared" si="8"/>
        <v>21</v>
      </c>
      <c r="X21" s="746">
        <f t="shared" si="9"/>
        <v>252</v>
      </c>
      <c r="Y21" s="758">
        <f t="shared" si="10"/>
        <v>110.71614170787397</v>
      </c>
      <c r="Z21" s="747">
        <f t="shared" si="11"/>
        <v>3.9370078740157481</v>
      </c>
      <c r="AA21" s="746">
        <f t="shared" si="12"/>
        <v>1</v>
      </c>
      <c r="AB21" s="746">
        <f t="shared" si="13"/>
        <v>1658800</v>
      </c>
      <c r="AC21" s="746">
        <f t="shared" si="14"/>
        <v>5.8579969157605272E-2</v>
      </c>
      <c r="AD21" s="759" t="s">
        <v>594</v>
      </c>
      <c r="AE21" s="746">
        <f t="shared" si="27"/>
        <v>5</v>
      </c>
      <c r="AF21" s="758">
        <f t="shared" si="16"/>
        <v>62</v>
      </c>
      <c r="AG21" s="758">
        <f t="shared" si="17"/>
        <v>24.8</v>
      </c>
      <c r="AH21" s="758">
        <f t="shared" si="18"/>
        <v>24.8</v>
      </c>
      <c r="AI21" s="758">
        <f t="shared" si="19"/>
        <v>12.4</v>
      </c>
      <c r="AJ21" s="746">
        <f t="shared" si="20"/>
        <v>124</v>
      </c>
      <c r="AK21" s="4">
        <f t="shared" si="21"/>
        <v>0</v>
      </c>
      <c r="AL21" s="4">
        <f t="shared" si="22"/>
        <v>0</v>
      </c>
      <c r="AM21" s="4">
        <f t="shared" si="23"/>
        <v>1</v>
      </c>
      <c r="AN21" s="4">
        <f t="shared" si="24"/>
        <v>3</v>
      </c>
      <c r="AO21" s="4">
        <f t="shared" si="25"/>
        <v>4</v>
      </c>
      <c r="AP21" s="4"/>
      <c r="AQ21" s="4"/>
      <c r="AR21" s="4"/>
    </row>
    <row r="22" spans="1:44">
      <c r="A22" s="746" t="s">
        <v>754</v>
      </c>
      <c r="B22" s="746">
        <v>7719</v>
      </c>
      <c r="C22" s="747">
        <v>3154.2272727272725</v>
      </c>
      <c r="D22" s="746">
        <f t="shared" si="0"/>
        <v>3155</v>
      </c>
      <c r="E22" s="299">
        <v>4425</v>
      </c>
      <c r="F22" s="757">
        <f t="shared" si="1"/>
        <v>1.220857115217181E-2</v>
      </c>
      <c r="G22" s="746">
        <v>26</v>
      </c>
      <c r="H22" s="746">
        <f t="shared" si="4"/>
        <v>171</v>
      </c>
      <c r="I22" s="746">
        <v>15</v>
      </c>
      <c r="J22" s="747">
        <f t="shared" si="5"/>
        <v>13.406153780811499</v>
      </c>
      <c r="K22" s="746">
        <f t="shared" si="2"/>
        <v>2565</v>
      </c>
      <c r="L22" s="746">
        <v>600</v>
      </c>
      <c r="M22" s="746">
        <f t="shared" si="3"/>
        <v>5</v>
      </c>
      <c r="N22" s="746">
        <v>760</v>
      </c>
      <c r="O22" s="746">
        <v>370</v>
      </c>
      <c r="P22" s="746">
        <v>180</v>
      </c>
      <c r="Q22" s="746">
        <v>1200</v>
      </c>
      <c r="R22" s="746">
        <v>1080</v>
      </c>
      <c r="S22" s="746">
        <v>1200</v>
      </c>
      <c r="T22" s="746">
        <f t="shared" si="6"/>
        <v>7</v>
      </c>
      <c r="U22" s="746">
        <f t="shared" si="7"/>
        <v>1</v>
      </c>
      <c r="V22" s="746">
        <f t="shared" si="7"/>
        <v>2</v>
      </c>
      <c r="W22" s="746">
        <f t="shared" si="8"/>
        <v>7</v>
      </c>
      <c r="X22" s="746">
        <f t="shared" si="9"/>
        <v>14</v>
      </c>
      <c r="Y22" s="758">
        <f t="shared" si="10"/>
        <v>187.68615293136099</v>
      </c>
      <c r="Z22" s="747">
        <f t="shared" si="11"/>
        <v>3.9370078740157481</v>
      </c>
      <c r="AA22" s="746">
        <f t="shared" si="12"/>
        <v>13</v>
      </c>
      <c r="AB22" s="746">
        <f t="shared" si="13"/>
        <v>50616000</v>
      </c>
      <c r="AC22" s="746">
        <f t="shared" si="14"/>
        <v>1.7874871707748665</v>
      </c>
      <c r="AD22" s="759" t="s">
        <v>594</v>
      </c>
      <c r="AE22" s="746">
        <f t="shared" si="27"/>
        <v>65</v>
      </c>
      <c r="AF22" s="758">
        <f t="shared" si="16"/>
        <v>85.5</v>
      </c>
      <c r="AG22" s="758">
        <f t="shared" si="17"/>
        <v>34.200000000000003</v>
      </c>
      <c r="AH22" s="758">
        <f t="shared" si="18"/>
        <v>34.200000000000003</v>
      </c>
      <c r="AI22" s="758">
        <f t="shared" si="19"/>
        <v>17.100000000000001</v>
      </c>
      <c r="AJ22" s="746">
        <f t="shared" si="20"/>
        <v>171</v>
      </c>
      <c r="AK22" s="4">
        <f t="shared" si="21"/>
        <v>6</v>
      </c>
      <c r="AL22" s="4">
        <f t="shared" si="22"/>
        <v>7</v>
      </c>
      <c r="AM22" s="4">
        <f t="shared" si="23"/>
        <v>17</v>
      </c>
      <c r="AN22" s="4">
        <f t="shared" si="24"/>
        <v>73</v>
      </c>
      <c r="AO22" s="4">
        <f t="shared" si="25"/>
        <v>103</v>
      </c>
      <c r="AP22" s="4"/>
      <c r="AQ22" s="4"/>
      <c r="AR22" s="4"/>
    </row>
    <row r="23" spans="1:44">
      <c r="A23" s="746" t="s">
        <v>755</v>
      </c>
      <c r="B23" s="746">
        <v>3040</v>
      </c>
      <c r="C23" s="747">
        <v>3040</v>
      </c>
      <c r="D23" s="746">
        <f t="shared" si="0"/>
        <v>3040</v>
      </c>
      <c r="E23" s="299">
        <v>3040</v>
      </c>
      <c r="F23" s="757">
        <f t="shared" si="1"/>
        <v>1.1763567766276482E-2</v>
      </c>
      <c r="G23" s="746">
        <v>26</v>
      </c>
      <c r="H23" s="746">
        <f t="shared" si="4"/>
        <v>117</v>
      </c>
      <c r="I23" s="746">
        <v>15</v>
      </c>
      <c r="J23" s="747">
        <f t="shared" si="5"/>
        <v>20.182291666666668</v>
      </c>
      <c r="K23" s="746">
        <f t="shared" si="2"/>
        <v>1755</v>
      </c>
      <c r="L23" s="746">
        <v>600</v>
      </c>
      <c r="M23" s="746">
        <f t="shared" si="3"/>
        <v>3</v>
      </c>
      <c r="N23" s="746">
        <v>787.4</v>
      </c>
      <c r="O23" s="746">
        <v>381</v>
      </c>
      <c r="P23" s="746">
        <v>254</v>
      </c>
      <c r="Q23" s="746">
        <v>1200</v>
      </c>
      <c r="R23" s="746">
        <v>1080</v>
      </c>
      <c r="S23" s="746">
        <v>1200</v>
      </c>
      <c r="T23" s="746">
        <f t="shared" si="6"/>
        <v>5</v>
      </c>
      <c r="U23" s="746">
        <f t="shared" si="7"/>
        <v>1</v>
      </c>
      <c r="V23" s="746">
        <f t="shared" si="7"/>
        <v>2</v>
      </c>
      <c r="W23" s="746">
        <f t="shared" si="8"/>
        <v>5</v>
      </c>
      <c r="X23" s="746">
        <f t="shared" si="9"/>
        <v>10</v>
      </c>
      <c r="Y23" s="758">
        <f t="shared" si="10"/>
        <v>201.82291666666669</v>
      </c>
      <c r="Z23" s="747">
        <f t="shared" si="11"/>
        <v>3.9370078740157481</v>
      </c>
      <c r="AA23" s="746">
        <f t="shared" si="12"/>
        <v>13</v>
      </c>
      <c r="AB23" s="746">
        <f t="shared" si="13"/>
        <v>76199847.599999994</v>
      </c>
      <c r="AC23" s="746">
        <f t="shared" si="14"/>
        <v>2.6909722222222223</v>
      </c>
      <c r="AD23" s="759" t="s">
        <v>594</v>
      </c>
      <c r="AE23" s="746">
        <f t="shared" si="27"/>
        <v>65</v>
      </c>
      <c r="AF23" s="758">
        <f t="shared" si="16"/>
        <v>58.5</v>
      </c>
      <c r="AG23" s="758">
        <f t="shared" si="17"/>
        <v>23.400000000000002</v>
      </c>
      <c r="AH23" s="758">
        <f t="shared" si="18"/>
        <v>23.400000000000002</v>
      </c>
      <c r="AI23" s="758">
        <f t="shared" si="19"/>
        <v>11.700000000000001</v>
      </c>
      <c r="AJ23" s="746">
        <f t="shared" si="20"/>
        <v>117.00000000000001</v>
      </c>
      <c r="AK23" s="4">
        <f t="shared" si="21"/>
        <v>6</v>
      </c>
      <c r="AL23" s="4">
        <f t="shared" si="22"/>
        <v>7</v>
      </c>
      <c r="AM23" s="4">
        <f t="shared" si="23"/>
        <v>16</v>
      </c>
      <c r="AN23" s="4">
        <f t="shared" si="24"/>
        <v>70</v>
      </c>
      <c r="AO23" s="4">
        <f t="shared" si="25"/>
        <v>99</v>
      </c>
      <c r="AP23" s="4"/>
      <c r="AQ23" s="4"/>
      <c r="AR23" s="4"/>
    </row>
    <row r="24" spans="1:44">
      <c r="A24" s="746" t="s">
        <v>756</v>
      </c>
      <c r="B24" s="746">
        <v>8270</v>
      </c>
      <c r="C24" s="747">
        <v>2756.6666666666665</v>
      </c>
      <c r="D24" s="746">
        <f t="shared" si="0"/>
        <v>2757</v>
      </c>
      <c r="E24" s="299">
        <v>3143</v>
      </c>
      <c r="F24" s="757">
        <f t="shared" si="1"/>
        <v>1.0668472477507981E-2</v>
      </c>
      <c r="G24" s="746">
        <v>26</v>
      </c>
      <c r="H24" s="746">
        <f t="shared" si="4"/>
        <v>121</v>
      </c>
      <c r="I24" s="746">
        <v>15</v>
      </c>
      <c r="J24" s="747">
        <f t="shared" si="5"/>
        <v>0.34087482052916862</v>
      </c>
      <c r="K24" s="746">
        <f t="shared" si="2"/>
        <v>1815</v>
      </c>
      <c r="L24" s="746">
        <v>600</v>
      </c>
      <c r="M24" s="746">
        <f t="shared" si="3"/>
        <v>4</v>
      </c>
      <c r="N24" s="746">
        <v>110</v>
      </c>
      <c r="O24" s="746">
        <v>90</v>
      </c>
      <c r="P24" s="746">
        <v>130</v>
      </c>
      <c r="Q24" s="746">
        <v>1200</v>
      </c>
      <c r="R24" s="746">
        <v>1080</v>
      </c>
      <c r="S24" s="746">
        <v>1200</v>
      </c>
      <c r="T24" s="746">
        <f t="shared" si="6"/>
        <v>9</v>
      </c>
      <c r="U24" s="746">
        <f>ROUNDDOWN(Q24/N24,0)-7</f>
        <v>3</v>
      </c>
      <c r="V24" s="746">
        <f>ROUNDDOWN(R24/O24,0)-7</f>
        <v>5</v>
      </c>
      <c r="W24" s="746">
        <f t="shared" si="8"/>
        <v>9</v>
      </c>
      <c r="X24" s="746">
        <f t="shared" si="9"/>
        <v>135</v>
      </c>
      <c r="Y24" s="758">
        <f t="shared" si="10"/>
        <v>46.018100771437766</v>
      </c>
      <c r="Z24" s="747">
        <f t="shared" si="11"/>
        <v>3.9370078740157481</v>
      </c>
      <c r="AA24" s="746">
        <f t="shared" si="12"/>
        <v>1</v>
      </c>
      <c r="AB24" s="746">
        <f t="shared" si="13"/>
        <v>1287000</v>
      </c>
      <c r="AC24" s="746">
        <f t="shared" si="14"/>
        <v>4.5449976070555814E-2</v>
      </c>
      <c r="AD24" s="759" t="s">
        <v>594</v>
      </c>
      <c r="AE24" s="746">
        <f t="shared" si="27"/>
        <v>5</v>
      </c>
      <c r="AF24" s="758">
        <f t="shared" si="16"/>
        <v>60.5</v>
      </c>
      <c r="AG24" s="758">
        <f t="shared" si="17"/>
        <v>24.200000000000003</v>
      </c>
      <c r="AH24" s="758">
        <f t="shared" si="18"/>
        <v>24.200000000000003</v>
      </c>
      <c r="AI24" s="758">
        <f t="shared" si="19"/>
        <v>12.100000000000001</v>
      </c>
      <c r="AJ24" s="746">
        <f t="shared" si="20"/>
        <v>121</v>
      </c>
      <c r="AK24" s="4">
        <f t="shared" si="21"/>
        <v>0</v>
      </c>
      <c r="AL24" s="4">
        <f t="shared" si="22"/>
        <v>1</v>
      </c>
      <c r="AM24" s="4">
        <f t="shared" si="23"/>
        <v>1</v>
      </c>
      <c r="AN24" s="4">
        <f t="shared" si="24"/>
        <v>5</v>
      </c>
      <c r="AO24" s="4">
        <f t="shared" si="25"/>
        <v>7</v>
      </c>
      <c r="AP24" s="4"/>
      <c r="AQ24" s="4"/>
      <c r="AR24" s="4"/>
    </row>
    <row r="25" spans="1:44">
      <c r="A25" s="746" t="s">
        <v>757</v>
      </c>
      <c r="B25" s="746">
        <v>28782</v>
      </c>
      <c r="C25" s="747">
        <v>2659.2051282051279</v>
      </c>
      <c r="D25" s="746">
        <f t="shared" si="0"/>
        <v>2660</v>
      </c>
      <c r="E25" s="299">
        <v>3283</v>
      </c>
      <c r="F25" s="757">
        <f t="shared" si="1"/>
        <v>1.0293121795491923E-2</v>
      </c>
      <c r="G25" s="746">
        <v>26</v>
      </c>
      <c r="H25" s="746">
        <f t="shared" si="4"/>
        <v>127</v>
      </c>
      <c r="I25" s="746">
        <v>15</v>
      </c>
      <c r="J25" s="747">
        <f t="shared" si="5"/>
        <v>30.46875</v>
      </c>
      <c r="K25" s="746">
        <f t="shared" si="2"/>
        <v>1905</v>
      </c>
      <c r="L25" s="746">
        <v>600</v>
      </c>
      <c r="M25" s="746">
        <f t="shared" si="3"/>
        <v>4</v>
      </c>
      <c r="N25" s="746">
        <v>1143</v>
      </c>
      <c r="O25" s="746">
        <v>330.2</v>
      </c>
      <c r="P25" s="746">
        <v>304.8</v>
      </c>
      <c r="Q25" s="746">
        <v>1200</v>
      </c>
      <c r="R25" s="746">
        <v>1080</v>
      </c>
      <c r="S25" s="746">
        <v>1200</v>
      </c>
      <c r="T25" s="746">
        <f t="shared" si="6"/>
        <v>4</v>
      </c>
      <c r="U25" s="746">
        <f t="shared" si="7"/>
        <v>1</v>
      </c>
      <c r="V25" s="746">
        <f t="shared" si="7"/>
        <v>3</v>
      </c>
      <c r="W25" s="746">
        <f t="shared" si="8"/>
        <v>4</v>
      </c>
      <c r="X25" s="746">
        <f t="shared" si="9"/>
        <v>12</v>
      </c>
      <c r="Y25" s="758">
        <f t="shared" si="10"/>
        <v>365.625</v>
      </c>
      <c r="Z25" s="747">
        <f t="shared" si="11"/>
        <v>3.9370078740157481</v>
      </c>
      <c r="AA25" s="746">
        <f t="shared" si="12"/>
        <v>12</v>
      </c>
      <c r="AB25" s="746">
        <f t="shared" si="13"/>
        <v>115037189.28</v>
      </c>
      <c r="AC25" s="746">
        <f t="shared" si="14"/>
        <v>4.0625</v>
      </c>
      <c r="AD25" s="759" t="s">
        <v>594</v>
      </c>
      <c r="AE25" s="746">
        <f t="shared" si="27"/>
        <v>60</v>
      </c>
      <c r="AF25" s="758">
        <f t="shared" si="16"/>
        <v>63.5</v>
      </c>
      <c r="AG25" s="758">
        <f t="shared" si="17"/>
        <v>25.400000000000002</v>
      </c>
      <c r="AH25" s="758">
        <f t="shared" si="18"/>
        <v>25.400000000000002</v>
      </c>
      <c r="AI25" s="758">
        <f t="shared" si="19"/>
        <v>12.700000000000001</v>
      </c>
      <c r="AJ25" s="746">
        <f t="shared" si="20"/>
        <v>127.00000000000001</v>
      </c>
      <c r="AK25" s="4">
        <f t="shared" si="21"/>
        <v>5</v>
      </c>
      <c r="AL25" s="4">
        <f t="shared" si="22"/>
        <v>6</v>
      </c>
      <c r="AM25" s="4">
        <f t="shared" si="23"/>
        <v>15</v>
      </c>
      <c r="AN25" s="4">
        <f t="shared" si="24"/>
        <v>64</v>
      </c>
      <c r="AO25" s="4">
        <f t="shared" si="25"/>
        <v>90</v>
      </c>
      <c r="AP25" s="4"/>
      <c r="AQ25" s="4"/>
      <c r="AR25" s="4"/>
    </row>
    <row r="26" spans="1:44">
      <c r="A26" s="746" t="s">
        <v>758</v>
      </c>
      <c r="B26" s="746">
        <v>31379</v>
      </c>
      <c r="C26" s="747">
        <v>2614.9166666666665</v>
      </c>
      <c r="D26" s="746">
        <f t="shared" si="0"/>
        <v>2615</v>
      </c>
      <c r="E26" s="299">
        <v>3202</v>
      </c>
      <c r="F26" s="757">
        <f t="shared" si="1"/>
        <v>1.0118990035793751E-2</v>
      </c>
      <c r="G26" s="746">
        <v>26</v>
      </c>
      <c r="H26" s="746">
        <f t="shared" si="4"/>
        <v>124</v>
      </c>
      <c r="I26" s="746">
        <v>15</v>
      </c>
      <c r="J26" s="747">
        <f t="shared" si="5"/>
        <v>18.118675338127144</v>
      </c>
      <c r="K26" s="746">
        <f t="shared" si="2"/>
        <v>1860</v>
      </c>
      <c r="L26" s="746">
        <v>600</v>
      </c>
      <c r="M26" s="746">
        <f t="shared" si="3"/>
        <v>4</v>
      </c>
      <c r="N26" s="746">
        <v>940</v>
      </c>
      <c r="O26" s="746">
        <v>355</v>
      </c>
      <c r="P26" s="746">
        <v>205</v>
      </c>
      <c r="Q26" s="746">
        <v>1200</v>
      </c>
      <c r="R26" s="746">
        <v>1080</v>
      </c>
      <c r="S26" s="746">
        <v>1200</v>
      </c>
      <c r="T26" s="746">
        <f t="shared" si="6"/>
        <v>6</v>
      </c>
      <c r="U26" s="746">
        <f t="shared" si="7"/>
        <v>1</v>
      </c>
      <c r="V26" s="746">
        <f t="shared" si="7"/>
        <v>3</v>
      </c>
      <c r="W26" s="746">
        <f t="shared" si="8"/>
        <v>6</v>
      </c>
      <c r="X26" s="746">
        <f t="shared" si="9"/>
        <v>18</v>
      </c>
      <c r="Y26" s="758">
        <f t="shared" si="10"/>
        <v>326.13615608628857</v>
      </c>
      <c r="Z26" s="747">
        <f t="shared" si="11"/>
        <v>3.9370078740157481</v>
      </c>
      <c r="AA26" s="746">
        <f t="shared" si="12"/>
        <v>8</v>
      </c>
      <c r="AB26" s="746">
        <f t="shared" si="13"/>
        <v>68408500</v>
      </c>
      <c r="AC26" s="746">
        <f t="shared" si="14"/>
        <v>2.4158233784169525</v>
      </c>
      <c r="AD26" s="759" t="s">
        <v>594</v>
      </c>
      <c r="AE26" s="746">
        <f t="shared" si="27"/>
        <v>40</v>
      </c>
      <c r="AF26" s="758">
        <f t="shared" si="16"/>
        <v>62</v>
      </c>
      <c r="AG26" s="758">
        <f t="shared" si="17"/>
        <v>24.8</v>
      </c>
      <c r="AH26" s="758">
        <f t="shared" si="18"/>
        <v>24.8</v>
      </c>
      <c r="AI26" s="758">
        <f t="shared" si="19"/>
        <v>12.4</v>
      </c>
      <c r="AJ26" s="746">
        <f t="shared" si="20"/>
        <v>124</v>
      </c>
      <c r="AK26" s="4">
        <f t="shared" si="21"/>
        <v>3</v>
      </c>
      <c r="AL26" s="4">
        <f t="shared" si="22"/>
        <v>4</v>
      </c>
      <c r="AM26" s="4">
        <f t="shared" si="23"/>
        <v>10</v>
      </c>
      <c r="AN26" s="4">
        <f t="shared" si="24"/>
        <v>41</v>
      </c>
      <c r="AO26" s="4">
        <f t="shared" si="25"/>
        <v>58</v>
      </c>
      <c r="AP26" s="4"/>
      <c r="AQ26" s="4"/>
      <c r="AR26" s="4"/>
    </row>
    <row r="27" spans="1:44">
      <c r="A27" s="746" t="s">
        <v>759</v>
      </c>
      <c r="B27" s="746">
        <v>33094</v>
      </c>
      <c r="C27" s="747">
        <v>2545.6923076923076</v>
      </c>
      <c r="D27" s="746">
        <f t="shared" si="0"/>
        <v>2546</v>
      </c>
      <c r="E27" s="299">
        <v>3020</v>
      </c>
      <c r="F27" s="757">
        <f t="shared" si="1"/>
        <v>9.8519880042565542E-3</v>
      </c>
      <c r="G27" s="746">
        <v>26</v>
      </c>
      <c r="H27" s="746">
        <f t="shared" si="4"/>
        <v>117</v>
      </c>
      <c r="I27" s="746">
        <v>15</v>
      </c>
      <c r="J27" s="747">
        <f t="shared" si="5"/>
        <v>5.1041666666666679</v>
      </c>
      <c r="K27" s="746">
        <f t="shared" si="2"/>
        <v>1755</v>
      </c>
      <c r="L27" s="746">
        <v>600</v>
      </c>
      <c r="M27" s="746">
        <f t="shared" si="3"/>
        <v>3</v>
      </c>
      <c r="N27" s="746">
        <v>355.6</v>
      </c>
      <c r="O27" s="746">
        <v>355.6</v>
      </c>
      <c r="P27" s="746">
        <v>152.4</v>
      </c>
      <c r="Q27" s="746">
        <v>1200</v>
      </c>
      <c r="R27" s="746">
        <v>1080</v>
      </c>
      <c r="S27" s="746">
        <v>1200</v>
      </c>
      <c r="T27" s="746">
        <f t="shared" si="6"/>
        <v>8</v>
      </c>
      <c r="U27" s="746">
        <f t="shared" si="7"/>
        <v>3</v>
      </c>
      <c r="V27" s="746">
        <f t="shared" si="7"/>
        <v>3</v>
      </c>
      <c r="W27" s="746">
        <f t="shared" si="8"/>
        <v>8</v>
      </c>
      <c r="X27" s="746">
        <f t="shared" si="9"/>
        <v>72</v>
      </c>
      <c r="Y27" s="758">
        <f t="shared" si="10"/>
        <v>367.50000000000011</v>
      </c>
      <c r="Z27" s="747">
        <f t="shared" si="11"/>
        <v>3.9370078740157481</v>
      </c>
      <c r="AA27" s="746">
        <f t="shared" si="12"/>
        <v>2</v>
      </c>
      <c r="AB27" s="746">
        <f t="shared" si="13"/>
        <v>19271187.264000002</v>
      </c>
      <c r="AC27" s="746">
        <f t="shared" si="14"/>
        <v>0.68055555555555569</v>
      </c>
      <c r="AD27" s="759" t="s">
        <v>594</v>
      </c>
      <c r="AE27" s="746">
        <f t="shared" si="27"/>
        <v>10</v>
      </c>
      <c r="AF27" s="758">
        <f t="shared" si="16"/>
        <v>58.5</v>
      </c>
      <c r="AG27" s="758">
        <f t="shared" si="17"/>
        <v>23.400000000000002</v>
      </c>
      <c r="AH27" s="758">
        <f t="shared" si="18"/>
        <v>23.400000000000002</v>
      </c>
      <c r="AI27" s="758">
        <f t="shared" si="19"/>
        <v>11.700000000000001</v>
      </c>
      <c r="AJ27" s="746">
        <f t="shared" si="20"/>
        <v>117.00000000000001</v>
      </c>
      <c r="AK27" s="4">
        <f t="shared" si="21"/>
        <v>1</v>
      </c>
      <c r="AL27" s="4">
        <f t="shared" si="22"/>
        <v>1</v>
      </c>
      <c r="AM27" s="4">
        <f t="shared" si="23"/>
        <v>2</v>
      </c>
      <c r="AN27" s="4">
        <f t="shared" si="24"/>
        <v>10</v>
      </c>
      <c r="AO27" s="4">
        <f t="shared" si="25"/>
        <v>14</v>
      </c>
      <c r="AP27" s="4"/>
      <c r="AQ27" s="4"/>
      <c r="AR27" s="4"/>
    </row>
    <row r="28" spans="1:44">
      <c r="A28" s="746" t="s">
        <v>760</v>
      </c>
      <c r="B28" s="746">
        <v>30076</v>
      </c>
      <c r="C28" s="747">
        <v>2506.3333333333335</v>
      </c>
      <c r="D28" s="746">
        <f t="shared" si="0"/>
        <v>2507</v>
      </c>
      <c r="E28" s="299">
        <v>3562</v>
      </c>
      <c r="F28" s="757">
        <f t="shared" si="1"/>
        <v>9.7010738125181389E-3</v>
      </c>
      <c r="G28" s="746">
        <v>26</v>
      </c>
      <c r="H28" s="746">
        <f t="shared" si="4"/>
        <v>137</v>
      </c>
      <c r="I28" s="746">
        <v>15</v>
      </c>
      <c r="J28" s="747">
        <f t="shared" si="5"/>
        <v>13.406153780811499</v>
      </c>
      <c r="K28" s="746">
        <f t="shared" si="2"/>
        <v>2055</v>
      </c>
      <c r="L28" s="746">
        <v>600</v>
      </c>
      <c r="M28" s="746">
        <f t="shared" si="3"/>
        <v>4</v>
      </c>
      <c r="N28" s="746">
        <v>760</v>
      </c>
      <c r="O28" s="746">
        <v>370</v>
      </c>
      <c r="P28" s="746">
        <v>180</v>
      </c>
      <c r="Q28" s="746">
        <v>1200</v>
      </c>
      <c r="R28" s="746">
        <v>1080</v>
      </c>
      <c r="S28" s="746">
        <v>1200</v>
      </c>
      <c r="T28" s="746">
        <f t="shared" si="6"/>
        <v>7</v>
      </c>
      <c r="U28" s="746">
        <f t="shared" si="7"/>
        <v>1</v>
      </c>
      <c r="V28" s="746">
        <f t="shared" si="7"/>
        <v>2</v>
      </c>
      <c r="W28" s="746">
        <f t="shared" si="8"/>
        <v>7</v>
      </c>
      <c r="X28" s="746">
        <f t="shared" si="9"/>
        <v>14</v>
      </c>
      <c r="Y28" s="758">
        <f t="shared" si="10"/>
        <v>187.68615293136099</v>
      </c>
      <c r="Z28" s="747">
        <f t="shared" si="11"/>
        <v>3.9370078740157481</v>
      </c>
      <c r="AA28" s="746">
        <f t="shared" si="12"/>
        <v>11</v>
      </c>
      <c r="AB28" s="746">
        <f t="shared" si="13"/>
        <v>50616000</v>
      </c>
      <c r="AC28" s="746">
        <f t="shared" si="14"/>
        <v>1.7874871707748665</v>
      </c>
      <c r="AD28" s="759" t="s">
        <v>594</v>
      </c>
      <c r="AE28" s="746">
        <f t="shared" si="27"/>
        <v>55</v>
      </c>
      <c r="AF28" s="758">
        <f t="shared" si="16"/>
        <v>68.5</v>
      </c>
      <c r="AG28" s="758">
        <f t="shared" si="17"/>
        <v>27.400000000000002</v>
      </c>
      <c r="AH28" s="758">
        <f t="shared" si="18"/>
        <v>27.400000000000002</v>
      </c>
      <c r="AI28" s="758">
        <f t="shared" si="19"/>
        <v>13.700000000000001</v>
      </c>
      <c r="AJ28" s="746">
        <f t="shared" si="20"/>
        <v>137</v>
      </c>
      <c r="AK28" s="4">
        <f t="shared" si="21"/>
        <v>5</v>
      </c>
      <c r="AL28" s="4">
        <f t="shared" si="22"/>
        <v>6</v>
      </c>
      <c r="AM28" s="4">
        <f t="shared" si="23"/>
        <v>14</v>
      </c>
      <c r="AN28" s="4">
        <f t="shared" si="24"/>
        <v>59</v>
      </c>
      <c r="AO28" s="4">
        <f t="shared" si="25"/>
        <v>84</v>
      </c>
      <c r="AP28" s="4"/>
      <c r="AQ28" s="4"/>
      <c r="AR28" s="4"/>
    </row>
    <row r="29" spans="1:44">
      <c r="A29" s="746" t="s">
        <v>761</v>
      </c>
      <c r="B29" s="746">
        <v>30027</v>
      </c>
      <c r="C29" s="747">
        <v>2502.25</v>
      </c>
      <c r="D29" s="746">
        <f t="shared" si="0"/>
        <v>2503</v>
      </c>
      <c r="E29" s="299">
        <v>2943</v>
      </c>
      <c r="F29" s="757">
        <f t="shared" si="1"/>
        <v>9.6855954338783013E-3</v>
      </c>
      <c r="G29" s="746">
        <v>26</v>
      </c>
      <c r="H29" s="746">
        <f t="shared" si="4"/>
        <v>114</v>
      </c>
      <c r="I29" s="746">
        <v>15</v>
      </c>
      <c r="J29" s="747">
        <f t="shared" si="5"/>
        <v>0.69062245107211129</v>
      </c>
      <c r="K29" s="746">
        <f t="shared" si="2"/>
        <v>1710</v>
      </c>
      <c r="L29" s="746">
        <v>600</v>
      </c>
      <c r="M29" s="746">
        <f t="shared" si="3"/>
        <v>3</v>
      </c>
      <c r="N29" s="746">
        <v>745</v>
      </c>
      <c r="O29" s="746">
        <v>500</v>
      </c>
      <c r="P29" s="746">
        <v>7</v>
      </c>
      <c r="Q29" s="746">
        <v>1200</v>
      </c>
      <c r="R29" s="746">
        <v>1080</v>
      </c>
      <c r="S29" s="746">
        <v>1200</v>
      </c>
      <c r="T29" s="746">
        <f t="shared" si="6"/>
        <v>171</v>
      </c>
      <c r="U29" s="746">
        <f t="shared" si="7"/>
        <v>1</v>
      </c>
      <c r="V29" s="746">
        <f t="shared" si="7"/>
        <v>2</v>
      </c>
      <c r="W29" s="746">
        <f t="shared" si="8"/>
        <v>171</v>
      </c>
      <c r="X29" s="746">
        <f t="shared" si="9"/>
        <v>342</v>
      </c>
      <c r="Y29" s="758">
        <f t="shared" si="10"/>
        <v>236.19287826666206</v>
      </c>
      <c r="Z29" s="747">
        <f t="shared" si="11"/>
        <v>3.9370078740157481</v>
      </c>
      <c r="AA29" s="746">
        <f t="shared" si="12"/>
        <v>1</v>
      </c>
      <c r="AB29" s="746">
        <f t="shared" si="13"/>
        <v>2607500</v>
      </c>
      <c r="AC29" s="746">
        <f t="shared" si="14"/>
        <v>9.2082993476281502E-2</v>
      </c>
      <c r="AD29" s="759" t="s">
        <v>594</v>
      </c>
      <c r="AE29" s="746">
        <f t="shared" si="27"/>
        <v>5</v>
      </c>
      <c r="AF29" s="758">
        <f t="shared" si="16"/>
        <v>57</v>
      </c>
      <c r="AG29" s="758">
        <f t="shared" si="17"/>
        <v>22.8</v>
      </c>
      <c r="AH29" s="758">
        <f t="shared" si="18"/>
        <v>22.8</v>
      </c>
      <c r="AI29" s="758">
        <f t="shared" si="19"/>
        <v>11.4</v>
      </c>
      <c r="AJ29" s="746">
        <f t="shared" si="20"/>
        <v>114</v>
      </c>
      <c r="AK29" s="4">
        <f t="shared" si="21"/>
        <v>0</v>
      </c>
      <c r="AL29" s="4">
        <f t="shared" si="22"/>
        <v>0</v>
      </c>
      <c r="AM29" s="4">
        <f t="shared" si="23"/>
        <v>0</v>
      </c>
      <c r="AN29" s="4">
        <f t="shared" si="24"/>
        <v>2</v>
      </c>
      <c r="AO29" s="4">
        <f t="shared" si="25"/>
        <v>2</v>
      </c>
      <c r="AP29" s="4"/>
      <c r="AQ29" s="4"/>
      <c r="AR29" s="4"/>
    </row>
    <row r="30" spans="1:44">
      <c r="A30" s="746" t="s">
        <v>762</v>
      </c>
      <c r="B30" s="746">
        <v>27546</v>
      </c>
      <c r="C30" s="747">
        <v>2461.1205128205124</v>
      </c>
      <c r="D30" s="746">
        <f t="shared" si="0"/>
        <v>2462</v>
      </c>
      <c r="E30" s="299">
        <v>2827</v>
      </c>
      <c r="F30" s="757">
        <f t="shared" si="1"/>
        <v>9.5269420528199672E-3</v>
      </c>
      <c r="G30" s="746">
        <v>26</v>
      </c>
      <c r="H30" s="746">
        <f t="shared" si="4"/>
        <v>109</v>
      </c>
      <c r="I30" s="746">
        <v>15</v>
      </c>
      <c r="J30" s="747">
        <f t="shared" si="5"/>
        <v>15.625000000000002</v>
      </c>
      <c r="K30" s="746">
        <f t="shared" si="2"/>
        <v>1635</v>
      </c>
      <c r="L30" s="746">
        <v>600</v>
      </c>
      <c r="M30" s="746">
        <f t="shared" si="3"/>
        <v>3</v>
      </c>
      <c r="N30" s="746">
        <v>609.6</v>
      </c>
      <c r="O30" s="746">
        <v>381</v>
      </c>
      <c r="P30" s="746">
        <v>254</v>
      </c>
      <c r="Q30" s="746">
        <v>1200</v>
      </c>
      <c r="R30" s="746">
        <v>1080</v>
      </c>
      <c r="S30" s="746">
        <v>1200</v>
      </c>
      <c r="T30" s="746">
        <f t="shared" si="6"/>
        <v>5</v>
      </c>
      <c r="U30" s="746">
        <f t="shared" si="7"/>
        <v>1</v>
      </c>
      <c r="V30" s="746">
        <f t="shared" si="7"/>
        <v>2</v>
      </c>
      <c r="W30" s="746">
        <f t="shared" si="8"/>
        <v>5</v>
      </c>
      <c r="X30" s="746">
        <f t="shared" si="9"/>
        <v>10</v>
      </c>
      <c r="Y30" s="758">
        <f t="shared" si="10"/>
        <v>156.25000000000003</v>
      </c>
      <c r="Z30" s="747">
        <f t="shared" si="11"/>
        <v>3.9370078740157481</v>
      </c>
      <c r="AA30" s="746">
        <f t="shared" si="12"/>
        <v>12</v>
      </c>
      <c r="AB30" s="746">
        <f t="shared" si="13"/>
        <v>58993430.399999999</v>
      </c>
      <c r="AC30" s="746">
        <f t="shared" si="14"/>
        <v>2.0833333333333335</v>
      </c>
      <c r="AD30" s="759" t="s">
        <v>594</v>
      </c>
      <c r="AE30" s="746">
        <f t="shared" si="27"/>
        <v>60</v>
      </c>
      <c r="AF30" s="758">
        <f t="shared" si="16"/>
        <v>54.5</v>
      </c>
      <c r="AG30" s="758">
        <f t="shared" si="17"/>
        <v>21.8</v>
      </c>
      <c r="AH30" s="758">
        <f t="shared" si="18"/>
        <v>21.8</v>
      </c>
      <c r="AI30" s="758">
        <f t="shared" si="19"/>
        <v>10.9</v>
      </c>
      <c r="AJ30" s="746">
        <f t="shared" si="20"/>
        <v>109</v>
      </c>
      <c r="AK30" s="4">
        <f t="shared" si="21"/>
        <v>5</v>
      </c>
      <c r="AL30" s="4">
        <f t="shared" si="22"/>
        <v>7</v>
      </c>
      <c r="AM30" s="4">
        <f t="shared" si="23"/>
        <v>15</v>
      </c>
      <c r="AN30" s="4">
        <f t="shared" si="24"/>
        <v>65</v>
      </c>
      <c r="AO30" s="4">
        <f t="shared" si="25"/>
        <v>92</v>
      </c>
      <c r="AP30" s="4"/>
      <c r="AQ30" s="4"/>
      <c r="AR30" s="4"/>
    </row>
    <row r="31" spans="1:44">
      <c r="A31" s="746" t="s">
        <v>763</v>
      </c>
      <c r="B31" s="746">
        <v>2400</v>
      </c>
      <c r="C31" s="747">
        <v>2400</v>
      </c>
      <c r="D31" s="746">
        <f t="shared" si="0"/>
        <v>2400</v>
      </c>
      <c r="E31" s="299">
        <v>2400</v>
      </c>
      <c r="F31" s="757">
        <f t="shared" si="1"/>
        <v>9.2870271839024868E-3</v>
      </c>
      <c r="G31" s="746">
        <v>26</v>
      </c>
      <c r="H31" s="746">
        <f t="shared" si="4"/>
        <v>93</v>
      </c>
      <c r="I31" s="746">
        <v>15</v>
      </c>
      <c r="J31" s="747">
        <f t="shared" si="5"/>
        <v>5.2887244882101312</v>
      </c>
      <c r="K31" s="746">
        <f t="shared" si="2"/>
        <v>1395</v>
      </c>
      <c r="L31" s="746">
        <v>600</v>
      </c>
      <c r="M31" s="746">
        <f t="shared" si="3"/>
        <v>3</v>
      </c>
      <c r="N31" s="746">
        <v>520</v>
      </c>
      <c r="O31" s="746">
        <v>240</v>
      </c>
      <c r="P31" s="746">
        <v>160</v>
      </c>
      <c r="Q31" s="746">
        <v>1200</v>
      </c>
      <c r="R31" s="746">
        <v>1080</v>
      </c>
      <c r="S31" s="746">
        <v>1200</v>
      </c>
      <c r="T31" s="746">
        <f t="shared" si="6"/>
        <v>8</v>
      </c>
      <c r="U31" s="746">
        <f t="shared" si="7"/>
        <v>2</v>
      </c>
      <c r="V31" s="746">
        <f t="shared" si="7"/>
        <v>4</v>
      </c>
      <c r="W31" s="746">
        <f t="shared" si="8"/>
        <v>8</v>
      </c>
      <c r="X31" s="746">
        <f t="shared" si="9"/>
        <v>64</v>
      </c>
      <c r="Y31" s="758">
        <f t="shared" si="10"/>
        <v>338.4783672454484</v>
      </c>
      <c r="Z31" s="747">
        <f t="shared" si="11"/>
        <v>3.9370078740157481</v>
      </c>
      <c r="AA31" s="746">
        <f t="shared" si="12"/>
        <v>2</v>
      </c>
      <c r="AB31" s="746">
        <f t="shared" si="13"/>
        <v>19968000</v>
      </c>
      <c r="AC31" s="746">
        <f t="shared" si="14"/>
        <v>0.70516326509468419</v>
      </c>
      <c r="AD31" s="759" t="s">
        <v>594</v>
      </c>
      <c r="AE31" s="746">
        <f t="shared" si="27"/>
        <v>10</v>
      </c>
      <c r="AF31" s="758">
        <f t="shared" si="16"/>
        <v>46.5</v>
      </c>
      <c r="AG31" s="758">
        <f t="shared" si="17"/>
        <v>18.600000000000001</v>
      </c>
      <c r="AH31" s="758">
        <f t="shared" si="18"/>
        <v>18.600000000000001</v>
      </c>
      <c r="AI31" s="758">
        <f t="shared" si="19"/>
        <v>9.3000000000000007</v>
      </c>
      <c r="AJ31" s="746">
        <f t="shared" si="20"/>
        <v>92.999999999999986</v>
      </c>
      <c r="AK31" s="4">
        <f t="shared" si="21"/>
        <v>1</v>
      </c>
      <c r="AL31" s="4">
        <f t="shared" si="22"/>
        <v>1</v>
      </c>
      <c r="AM31" s="4">
        <f t="shared" si="23"/>
        <v>2</v>
      </c>
      <c r="AN31" s="4">
        <f t="shared" si="24"/>
        <v>9</v>
      </c>
      <c r="AO31" s="4">
        <f t="shared" si="25"/>
        <v>13</v>
      </c>
      <c r="AP31" s="4"/>
      <c r="AQ31" s="4"/>
      <c r="AR31" s="4"/>
    </row>
    <row r="32" spans="1:44">
      <c r="A32" s="746" t="s">
        <v>764</v>
      </c>
      <c r="B32" s="746">
        <v>21512</v>
      </c>
      <c r="C32" s="747">
        <v>2367.9807692307695</v>
      </c>
      <c r="D32" s="746">
        <f t="shared" si="0"/>
        <v>2368</v>
      </c>
      <c r="E32" s="299">
        <v>3055</v>
      </c>
      <c r="F32" s="757">
        <f t="shared" si="1"/>
        <v>9.1632001547837863E-3</v>
      </c>
      <c r="G32" s="746">
        <v>26</v>
      </c>
      <c r="H32" s="746">
        <f t="shared" si="4"/>
        <v>118</v>
      </c>
      <c r="I32" s="746">
        <v>15</v>
      </c>
      <c r="J32" s="747">
        <f t="shared" si="5"/>
        <v>10.522622956335152</v>
      </c>
      <c r="K32" s="746">
        <f t="shared" si="2"/>
        <v>1770</v>
      </c>
      <c r="L32" s="746">
        <v>600</v>
      </c>
      <c r="M32" s="746">
        <f t="shared" si="3"/>
        <v>3</v>
      </c>
      <c r="N32" s="746">
        <v>510</v>
      </c>
      <c r="O32" s="746">
        <v>380</v>
      </c>
      <c r="P32" s="746">
        <v>205</v>
      </c>
      <c r="Q32" s="746">
        <v>1200</v>
      </c>
      <c r="R32" s="746">
        <v>1080</v>
      </c>
      <c r="S32" s="746">
        <v>1200</v>
      </c>
      <c r="T32" s="746">
        <f t="shared" si="6"/>
        <v>6</v>
      </c>
      <c r="U32" s="746">
        <f t="shared" si="7"/>
        <v>2</v>
      </c>
      <c r="V32" s="746">
        <f t="shared" si="7"/>
        <v>2</v>
      </c>
      <c r="W32" s="746">
        <f t="shared" si="8"/>
        <v>6</v>
      </c>
      <c r="X32" s="746">
        <f t="shared" si="9"/>
        <v>24</v>
      </c>
      <c r="Y32" s="758">
        <f t="shared" si="10"/>
        <v>252.54295095204364</v>
      </c>
      <c r="Z32" s="747">
        <f t="shared" si="11"/>
        <v>3.9370078740157481</v>
      </c>
      <c r="AA32" s="746">
        <f t="shared" si="12"/>
        <v>6</v>
      </c>
      <c r="AB32" s="746">
        <f t="shared" si="13"/>
        <v>39729000</v>
      </c>
      <c r="AC32" s="746">
        <f t="shared" si="14"/>
        <v>1.4030163941780203</v>
      </c>
      <c r="AD32" s="759" t="s">
        <v>594</v>
      </c>
      <c r="AE32" s="746">
        <f t="shared" si="27"/>
        <v>30</v>
      </c>
      <c r="AF32" s="758">
        <f t="shared" si="16"/>
        <v>59</v>
      </c>
      <c r="AG32" s="758">
        <f t="shared" si="17"/>
        <v>23.6</v>
      </c>
      <c r="AH32" s="758">
        <f t="shared" si="18"/>
        <v>23.6</v>
      </c>
      <c r="AI32" s="758">
        <f t="shared" si="19"/>
        <v>11.8</v>
      </c>
      <c r="AJ32" s="746">
        <f t="shared" si="20"/>
        <v>117.99999999999999</v>
      </c>
      <c r="AK32" s="4">
        <f t="shared" si="21"/>
        <v>2</v>
      </c>
      <c r="AL32" s="4">
        <f t="shared" si="22"/>
        <v>3</v>
      </c>
      <c r="AM32" s="4">
        <f t="shared" si="23"/>
        <v>7</v>
      </c>
      <c r="AN32" s="4">
        <f t="shared" si="24"/>
        <v>30</v>
      </c>
      <c r="AO32" s="4">
        <f t="shared" si="25"/>
        <v>42</v>
      </c>
      <c r="AP32" s="4"/>
      <c r="AQ32" s="4"/>
      <c r="AR32" s="4"/>
    </row>
    <row r="33" spans="1:44">
      <c r="A33" s="746" t="s">
        <v>765</v>
      </c>
      <c r="B33" s="746">
        <v>4722</v>
      </c>
      <c r="C33" s="747">
        <v>2361</v>
      </c>
      <c r="D33" s="746">
        <f t="shared" si="0"/>
        <v>2361</v>
      </c>
      <c r="E33" s="299">
        <v>2361</v>
      </c>
      <c r="F33" s="757">
        <f t="shared" si="1"/>
        <v>9.1361129921640714E-3</v>
      </c>
      <c r="G33" s="746">
        <v>26</v>
      </c>
      <c r="H33" s="746">
        <f t="shared" si="4"/>
        <v>91</v>
      </c>
      <c r="I33" s="746">
        <v>15</v>
      </c>
      <c r="J33" s="747">
        <f t="shared" si="5"/>
        <v>0.69062245107211129</v>
      </c>
      <c r="K33" s="746">
        <f t="shared" si="2"/>
        <v>1365</v>
      </c>
      <c r="L33" s="746">
        <v>600</v>
      </c>
      <c r="M33" s="746">
        <f t="shared" si="3"/>
        <v>3</v>
      </c>
      <c r="N33" s="746">
        <v>745</v>
      </c>
      <c r="O33" s="746">
        <v>500</v>
      </c>
      <c r="P33" s="746">
        <v>7</v>
      </c>
      <c r="Q33" s="746">
        <v>1200</v>
      </c>
      <c r="R33" s="746">
        <v>1080</v>
      </c>
      <c r="S33" s="746">
        <v>1200</v>
      </c>
      <c r="T33" s="746">
        <f t="shared" si="6"/>
        <v>171</v>
      </c>
      <c r="U33" s="746">
        <f t="shared" si="7"/>
        <v>1</v>
      </c>
      <c r="V33" s="746">
        <f t="shared" si="7"/>
        <v>2</v>
      </c>
      <c r="W33" s="746">
        <f t="shared" si="8"/>
        <v>171</v>
      </c>
      <c r="X33" s="746">
        <f t="shared" si="9"/>
        <v>342</v>
      </c>
      <c r="Y33" s="758">
        <f t="shared" si="10"/>
        <v>236.19287826666206</v>
      </c>
      <c r="Z33" s="747">
        <f t="shared" si="11"/>
        <v>3.9370078740157481</v>
      </c>
      <c r="AA33" s="746">
        <f t="shared" si="12"/>
        <v>1</v>
      </c>
      <c r="AB33" s="746">
        <f t="shared" si="13"/>
        <v>2607500</v>
      </c>
      <c r="AC33" s="746">
        <f t="shared" si="14"/>
        <v>9.2082993476281502E-2</v>
      </c>
      <c r="AD33" s="759" t="s">
        <v>594</v>
      </c>
      <c r="AE33" s="746">
        <f t="shared" si="27"/>
        <v>5</v>
      </c>
      <c r="AF33" s="758">
        <f t="shared" si="16"/>
        <v>45.5</v>
      </c>
      <c r="AG33" s="758">
        <f t="shared" si="17"/>
        <v>18.2</v>
      </c>
      <c r="AH33" s="758">
        <f t="shared" si="18"/>
        <v>18.2</v>
      </c>
      <c r="AI33" s="758">
        <f t="shared" si="19"/>
        <v>9.1</v>
      </c>
      <c r="AJ33" s="746">
        <f t="shared" si="20"/>
        <v>91</v>
      </c>
      <c r="AK33" s="4">
        <f t="shared" si="21"/>
        <v>0</v>
      </c>
      <c r="AL33" s="4">
        <f t="shared" si="22"/>
        <v>0</v>
      </c>
      <c r="AM33" s="4">
        <f t="shared" si="23"/>
        <v>0</v>
      </c>
      <c r="AN33" s="4">
        <f t="shared" si="24"/>
        <v>2</v>
      </c>
      <c r="AO33" s="4">
        <f t="shared" si="25"/>
        <v>2</v>
      </c>
      <c r="AP33" s="4"/>
      <c r="AQ33" s="4"/>
      <c r="AR33" s="4"/>
    </row>
    <row r="34" spans="1:44">
      <c r="A34" s="746" t="s">
        <v>766</v>
      </c>
      <c r="B34" s="746">
        <v>2361</v>
      </c>
      <c r="C34" s="747">
        <v>2361</v>
      </c>
      <c r="D34" s="746">
        <f t="shared" si="0"/>
        <v>2361</v>
      </c>
      <c r="E34" s="299">
        <v>3098</v>
      </c>
      <c r="F34" s="757">
        <f t="shared" si="1"/>
        <v>9.1361129921640714E-3</v>
      </c>
      <c r="G34" s="746">
        <v>26</v>
      </c>
      <c r="H34" s="746">
        <f t="shared" si="4"/>
        <v>120</v>
      </c>
      <c r="I34" s="746">
        <v>15</v>
      </c>
      <c r="J34" s="747">
        <f t="shared" si="5"/>
        <v>20.383625631643216</v>
      </c>
      <c r="K34" s="746">
        <f t="shared" si="2"/>
        <v>1800</v>
      </c>
      <c r="L34" s="746">
        <v>600</v>
      </c>
      <c r="M34" s="746">
        <f t="shared" si="3"/>
        <v>3</v>
      </c>
      <c r="N34" s="746">
        <v>650</v>
      </c>
      <c r="O34" s="746">
        <v>370</v>
      </c>
      <c r="P34" s="746">
        <v>320</v>
      </c>
      <c r="Q34" s="746">
        <v>1200</v>
      </c>
      <c r="R34" s="746">
        <v>1080</v>
      </c>
      <c r="S34" s="746">
        <v>1200</v>
      </c>
      <c r="T34" s="746">
        <f t="shared" si="6"/>
        <v>4</v>
      </c>
      <c r="U34" s="746">
        <f t="shared" si="7"/>
        <v>1</v>
      </c>
      <c r="V34" s="746">
        <f t="shared" si="7"/>
        <v>2</v>
      </c>
      <c r="W34" s="746">
        <f t="shared" si="8"/>
        <v>4</v>
      </c>
      <c r="X34" s="746">
        <f t="shared" si="9"/>
        <v>8</v>
      </c>
      <c r="Y34" s="758">
        <f t="shared" si="10"/>
        <v>163.06900505314573</v>
      </c>
      <c r="Z34" s="747">
        <f t="shared" si="11"/>
        <v>3.9370078740157481</v>
      </c>
      <c r="AA34" s="746">
        <f t="shared" si="12"/>
        <v>16</v>
      </c>
      <c r="AB34" s="746">
        <f t="shared" si="13"/>
        <v>76960000</v>
      </c>
      <c r="AC34" s="746">
        <f t="shared" si="14"/>
        <v>2.717816750885762</v>
      </c>
      <c r="AD34" s="759" t="s">
        <v>594</v>
      </c>
      <c r="AE34" s="746">
        <f t="shared" si="27"/>
        <v>80</v>
      </c>
      <c r="AF34" s="758">
        <f t="shared" si="16"/>
        <v>60</v>
      </c>
      <c r="AG34" s="758">
        <f t="shared" si="17"/>
        <v>24</v>
      </c>
      <c r="AH34" s="758">
        <f t="shared" si="18"/>
        <v>24</v>
      </c>
      <c r="AI34" s="758">
        <f t="shared" si="19"/>
        <v>12</v>
      </c>
      <c r="AJ34" s="746">
        <f t="shared" si="20"/>
        <v>120</v>
      </c>
      <c r="AK34" s="4">
        <f t="shared" si="21"/>
        <v>8</v>
      </c>
      <c r="AL34" s="4">
        <f t="shared" si="22"/>
        <v>9</v>
      </c>
      <c r="AM34" s="4">
        <f t="shared" si="23"/>
        <v>21</v>
      </c>
      <c r="AN34" s="4">
        <f t="shared" si="24"/>
        <v>90</v>
      </c>
      <c r="AO34" s="4">
        <f t="shared" si="25"/>
        <v>128</v>
      </c>
      <c r="AP34" s="4"/>
      <c r="AQ34" s="4"/>
      <c r="AR34" s="4"/>
    </row>
    <row r="35" spans="1:44">
      <c r="A35" s="746" t="s">
        <v>767</v>
      </c>
      <c r="B35" s="746">
        <v>28215</v>
      </c>
      <c r="C35" s="747">
        <v>2351.25</v>
      </c>
      <c r="D35" s="746">
        <f t="shared" si="0"/>
        <v>2352</v>
      </c>
      <c r="E35" s="299">
        <v>3172</v>
      </c>
      <c r="F35" s="757">
        <f t="shared" si="1"/>
        <v>9.1012866402244361E-3</v>
      </c>
      <c r="G35" s="746">
        <v>26</v>
      </c>
      <c r="H35" s="746">
        <f t="shared" si="4"/>
        <v>122</v>
      </c>
      <c r="I35" s="746">
        <v>15</v>
      </c>
      <c r="J35" s="747">
        <f t="shared" si="5"/>
        <v>7.0312500000000009</v>
      </c>
      <c r="K35" s="746">
        <f t="shared" si="2"/>
        <v>1830</v>
      </c>
      <c r="L35" s="746">
        <v>600</v>
      </c>
      <c r="M35" s="746">
        <f t="shared" si="3"/>
        <v>4</v>
      </c>
      <c r="N35" s="746">
        <v>914.4</v>
      </c>
      <c r="O35" s="746">
        <v>228.6</v>
      </c>
      <c r="P35" s="746">
        <v>127</v>
      </c>
      <c r="Q35" s="746">
        <v>1200</v>
      </c>
      <c r="R35" s="746">
        <v>1080</v>
      </c>
      <c r="S35" s="746">
        <v>1200</v>
      </c>
      <c r="T35" s="746">
        <f t="shared" si="6"/>
        <v>9</v>
      </c>
      <c r="U35" s="746">
        <f t="shared" si="7"/>
        <v>1</v>
      </c>
      <c r="V35" s="746">
        <f t="shared" si="7"/>
        <v>4</v>
      </c>
      <c r="W35" s="746">
        <f t="shared" si="8"/>
        <v>9</v>
      </c>
      <c r="X35" s="746">
        <f t="shared" si="9"/>
        <v>36</v>
      </c>
      <c r="Y35" s="758">
        <f t="shared" si="10"/>
        <v>253.12500000000003</v>
      </c>
      <c r="Z35" s="747">
        <f t="shared" si="11"/>
        <v>3.9370078740157481</v>
      </c>
      <c r="AA35" s="746">
        <f t="shared" si="12"/>
        <v>4</v>
      </c>
      <c r="AB35" s="746">
        <f t="shared" si="13"/>
        <v>26547043.68</v>
      </c>
      <c r="AC35" s="746">
        <f t="shared" si="14"/>
        <v>0.93750000000000011</v>
      </c>
      <c r="AD35" s="759" t="s">
        <v>594</v>
      </c>
      <c r="AE35" s="746">
        <f t="shared" si="27"/>
        <v>20</v>
      </c>
      <c r="AF35" s="758">
        <f t="shared" si="16"/>
        <v>61</v>
      </c>
      <c r="AG35" s="758">
        <f t="shared" si="17"/>
        <v>24.400000000000002</v>
      </c>
      <c r="AH35" s="758">
        <f t="shared" si="18"/>
        <v>24.400000000000002</v>
      </c>
      <c r="AI35" s="758">
        <f t="shared" si="19"/>
        <v>12.200000000000001</v>
      </c>
      <c r="AJ35" s="746">
        <f t="shared" si="20"/>
        <v>122.00000000000001</v>
      </c>
      <c r="AK35" s="4">
        <f t="shared" si="21"/>
        <v>2</v>
      </c>
      <c r="AL35" s="4">
        <f t="shared" si="22"/>
        <v>2</v>
      </c>
      <c r="AM35" s="4">
        <f t="shared" si="23"/>
        <v>5</v>
      </c>
      <c r="AN35" s="4">
        <f t="shared" si="24"/>
        <v>20</v>
      </c>
      <c r="AO35" s="4">
        <f t="shared" si="25"/>
        <v>29</v>
      </c>
      <c r="AP35" s="4"/>
      <c r="AQ35" s="4"/>
      <c r="AR35" s="4"/>
    </row>
    <row r="36" spans="1:44">
      <c r="A36" s="746" t="s">
        <v>768</v>
      </c>
      <c r="B36" s="746">
        <v>25187</v>
      </c>
      <c r="C36" s="747">
        <v>2289.7272727272725</v>
      </c>
      <c r="D36" s="746">
        <f t="shared" si="0"/>
        <v>2290</v>
      </c>
      <c r="E36" s="299">
        <v>2900</v>
      </c>
      <c r="F36" s="757">
        <f t="shared" si="1"/>
        <v>8.8613717713069556E-3</v>
      </c>
      <c r="G36" s="746">
        <v>26</v>
      </c>
      <c r="H36" s="746">
        <f t="shared" si="4"/>
        <v>112</v>
      </c>
      <c r="I36" s="746">
        <v>15</v>
      </c>
      <c r="J36" s="747">
        <f t="shared" si="5"/>
        <v>17.23524305555555</v>
      </c>
      <c r="K36" s="746">
        <f t="shared" si="2"/>
        <v>1680</v>
      </c>
      <c r="L36" s="746">
        <v>600</v>
      </c>
      <c r="M36" s="746">
        <f t="shared" si="3"/>
        <v>3</v>
      </c>
      <c r="N36" s="746">
        <v>558.79999999999995</v>
      </c>
      <c r="O36" s="746">
        <v>482.59999999999997</v>
      </c>
      <c r="P36" s="746">
        <v>241.29999999999998</v>
      </c>
      <c r="Q36" s="746">
        <v>1200</v>
      </c>
      <c r="R36" s="746">
        <v>1080</v>
      </c>
      <c r="S36" s="746">
        <v>1200</v>
      </c>
      <c r="T36" s="746">
        <f t="shared" si="6"/>
        <v>5</v>
      </c>
      <c r="U36" s="746">
        <f t="shared" si="7"/>
        <v>2</v>
      </c>
      <c r="V36" s="746">
        <f t="shared" si="7"/>
        <v>2</v>
      </c>
      <c r="W36" s="746">
        <f t="shared" si="8"/>
        <v>5</v>
      </c>
      <c r="X36" s="746">
        <f t="shared" si="9"/>
        <v>20</v>
      </c>
      <c r="Y36" s="758">
        <f t="shared" si="10"/>
        <v>344.70486111111097</v>
      </c>
      <c r="Z36" s="747">
        <f t="shared" si="11"/>
        <v>3.9370078740157481</v>
      </c>
      <c r="AA36" s="746">
        <f t="shared" si="12"/>
        <v>6</v>
      </c>
      <c r="AB36" s="746">
        <f t="shared" si="13"/>
        <v>65073031.143999979</v>
      </c>
      <c r="AC36" s="746">
        <f t="shared" si="14"/>
        <v>2.2980324074074066</v>
      </c>
      <c r="AD36" s="759" t="s">
        <v>594</v>
      </c>
      <c r="AE36" s="746">
        <f t="shared" si="27"/>
        <v>30</v>
      </c>
      <c r="AF36" s="758">
        <f t="shared" si="16"/>
        <v>56</v>
      </c>
      <c r="AG36" s="758">
        <f t="shared" si="17"/>
        <v>22.400000000000002</v>
      </c>
      <c r="AH36" s="758">
        <f t="shared" si="18"/>
        <v>22.400000000000002</v>
      </c>
      <c r="AI36" s="758">
        <f t="shared" si="19"/>
        <v>11.200000000000001</v>
      </c>
      <c r="AJ36" s="746">
        <f t="shared" si="20"/>
        <v>112.00000000000001</v>
      </c>
      <c r="AK36" s="4">
        <f t="shared" si="21"/>
        <v>3</v>
      </c>
      <c r="AL36" s="4">
        <f t="shared" si="22"/>
        <v>3</v>
      </c>
      <c r="AM36" s="4">
        <f t="shared" si="23"/>
        <v>8</v>
      </c>
      <c r="AN36" s="4">
        <f t="shared" si="24"/>
        <v>34</v>
      </c>
      <c r="AO36" s="4">
        <f t="shared" si="25"/>
        <v>48</v>
      </c>
      <c r="AP36" s="4"/>
      <c r="AQ36" s="4"/>
      <c r="AR36" s="4"/>
    </row>
    <row r="37" spans="1:44">
      <c r="A37" s="746" t="s">
        <v>769</v>
      </c>
      <c r="B37" s="746">
        <v>6703</v>
      </c>
      <c r="C37" s="747">
        <v>2234.3333333333335</v>
      </c>
      <c r="D37" s="746">
        <f t="shared" si="0"/>
        <v>2235</v>
      </c>
      <c r="E37" s="299">
        <v>2442</v>
      </c>
      <c r="F37" s="757">
        <f t="shared" si="1"/>
        <v>8.6485440650091901E-3</v>
      </c>
      <c r="G37" s="746">
        <v>26</v>
      </c>
      <c r="H37" s="746">
        <f t="shared" si="4"/>
        <v>94</v>
      </c>
      <c r="I37" s="746">
        <v>15</v>
      </c>
      <c r="J37" s="747">
        <f t="shared" si="5"/>
        <v>11.325073537340863</v>
      </c>
      <c r="K37" s="746">
        <f t="shared" si="2"/>
        <v>1410</v>
      </c>
      <c r="L37" s="746">
        <v>600</v>
      </c>
      <c r="M37" s="746">
        <f t="shared" si="3"/>
        <v>3</v>
      </c>
      <c r="N37" s="746">
        <v>413</v>
      </c>
      <c r="O37" s="746">
        <v>362</v>
      </c>
      <c r="P37" s="746">
        <v>286</v>
      </c>
      <c r="Q37" s="746">
        <v>1200</v>
      </c>
      <c r="R37" s="746">
        <v>1080</v>
      </c>
      <c r="S37" s="746">
        <v>1200</v>
      </c>
      <c r="T37" s="746">
        <f t="shared" si="6"/>
        <v>4</v>
      </c>
      <c r="U37" s="746">
        <f t="shared" si="7"/>
        <v>2</v>
      </c>
      <c r="V37" s="746">
        <f t="shared" si="7"/>
        <v>2</v>
      </c>
      <c r="W37" s="746">
        <f t="shared" si="8"/>
        <v>4</v>
      </c>
      <c r="X37" s="746">
        <f t="shared" si="9"/>
        <v>16</v>
      </c>
      <c r="Y37" s="758">
        <f t="shared" si="10"/>
        <v>181.20117659745381</v>
      </c>
      <c r="Z37" s="747">
        <f t="shared" si="11"/>
        <v>3.9370078740157481</v>
      </c>
      <c r="AA37" s="746">
        <f t="shared" si="12"/>
        <v>7</v>
      </c>
      <c r="AB37" s="746">
        <f t="shared" si="13"/>
        <v>42758716</v>
      </c>
      <c r="AC37" s="746">
        <f t="shared" si="14"/>
        <v>1.5100098049787818</v>
      </c>
      <c r="AD37" s="759" t="s">
        <v>594</v>
      </c>
      <c r="AE37" s="746">
        <f t="shared" si="27"/>
        <v>35</v>
      </c>
      <c r="AF37" s="758">
        <f t="shared" si="16"/>
        <v>47</v>
      </c>
      <c r="AG37" s="758">
        <f t="shared" si="17"/>
        <v>18.8</v>
      </c>
      <c r="AH37" s="758">
        <f t="shared" si="18"/>
        <v>18.8</v>
      </c>
      <c r="AI37" s="758">
        <f t="shared" si="19"/>
        <v>9.4</v>
      </c>
      <c r="AJ37" s="746">
        <f t="shared" si="20"/>
        <v>94</v>
      </c>
      <c r="AK37" s="4">
        <f t="shared" si="21"/>
        <v>3</v>
      </c>
      <c r="AL37" s="4">
        <f t="shared" si="22"/>
        <v>4</v>
      </c>
      <c r="AM37" s="4">
        <f t="shared" si="23"/>
        <v>8</v>
      </c>
      <c r="AN37" s="4">
        <f t="shared" si="24"/>
        <v>35</v>
      </c>
      <c r="AO37" s="4">
        <f t="shared" si="25"/>
        <v>50</v>
      </c>
      <c r="AP37" s="4"/>
      <c r="AQ37" s="4"/>
      <c r="AR37" s="4"/>
    </row>
    <row r="38" spans="1:44">
      <c r="A38" s="746" t="s">
        <v>770</v>
      </c>
      <c r="B38" s="746">
        <v>22847</v>
      </c>
      <c r="C38" s="747">
        <v>2168.604487179487</v>
      </c>
      <c r="D38" s="746">
        <f t="shared" si="0"/>
        <v>2169</v>
      </c>
      <c r="E38" s="299">
        <v>2531</v>
      </c>
      <c r="F38" s="757">
        <f t="shared" si="1"/>
        <v>8.3931508174518721E-3</v>
      </c>
      <c r="G38" s="746">
        <v>26</v>
      </c>
      <c r="H38" s="746">
        <f t="shared" si="4"/>
        <v>98</v>
      </c>
      <c r="I38" s="746">
        <v>15</v>
      </c>
      <c r="J38" s="747">
        <f t="shared" si="5"/>
        <v>18.749999999999996</v>
      </c>
      <c r="K38" s="746">
        <f t="shared" si="2"/>
        <v>1470</v>
      </c>
      <c r="L38" s="746">
        <v>600</v>
      </c>
      <c r="M38" s="746">
        <f t="shared" si="3"/>
        <v>3</v>
      </c>
      <c r="N38" s="746">
        <v>762</v>
      </c>
      <c r="O38" s="746">
        <v>457.2</v>
      </c>
      <c r="P38" s="746">
        <v>203.2</v>
      </c>
      <c r="Q38" s="746">
        <v>1200</v>
      </c>
      <c r="R38" s="746">
        <v>1080</v>
      </c>
      <c r="S38" s="746">
        <v>1200</v>
      </c>
      <c r="T38" s="746">
        <f t="shared" si="6"/>
        <v>6</v>
      </c>
      <c r="U38" s="746">
        <f t="shared" si="7"/>
        <v>1</v>
      </c>
      <c r="V38" s="746">
        <f t="shared" si="7"/>
        <v>2</v>
      </c>
      <c r="W38" s="746">
        <f t="shared" si="8"/>
        <v>6</v>
      </c>
      <c r="X38" s="746">
        <f t="shared" si="9"/>
        <v>12</v>
      </c>
      <c r="Y38" s="758">
        <f t="shared" si="10"/>
        <v>224.99999999999994</v>
      </c>
      <c r="Z38" s="747">
        <f t="shared" si="11"/>
        <v>3.9370078740157481</v>
      </c>
      <c r="AA38" s="746">
        <f t="shared" si="12"/>
        <v>9</v>
      </c>
      <c r="AB38" s="746">
        <f t="shared" si="13"/>
        <v>70792116.479999989</v>
      </c>
      <c r="AC38" s="746">
        <f t="shared" si="14"/>
        <v>2.4999999999999996</v>
      </c>
      <c r="AD38" s="759" t="s">
        <v>594</v>
      </c>
      <c r="AE38" s="746">
        <f t="shared" si="27"/>
        <v>45</v>
      </c>
      <c r="AF38" s="758">
        <f t="shared" si="16"/>
        <v>49</v>
      </c>
      <c r="AG38" s="758">
        <f t="shared" si="17"/>
        <v>19.600000000000001</v>
      </c>
      <c r="AH38" s="758">
        <f t="shared" si="18"/>
        <v>19.600000000000001</v>
      </c>
      <c r="AI38" s="758">
        <f t="shared" si="19"/>
        <v>9.8000000000000007</v>
      </c>
      <c r="AJ38" s="746">
        <f t="shared" si="20"/>
        <v>97.999999999999986</v>
      </c>
      <c r="AK38" s="4">
        <f t="shared" si="21"/>
        <v>4</v>
      </c>
      <c r="AL38" s="4">
        <f t="shared" si="22"/>
        <v>5</v>
      </c>
      <c r="AM38" s="4">
        <f t="shared" si="23"/>
        <v>11</v>
      </c>
      <c r="AN38" s="4">
        <f t="shared" si="24"/>
        <v>49</v>
      </c>
      <c r="AO38" s="4">
        <f t="shared" si="25"/>
        <v>69</v>
      </c>
      <c r="AP38" s="4"/>
      <c r="AQ38" s="4"/>
      <c r="AR38" s="4"/>
    </row>
    <row r="39" spans="1:44">
      <c r="A39" s="746" t="s">
        <v>771</v>
      </c>
      <c r="B39" s="746">
        <v>2116</v>
      </c>
      <c r="C39" s="747">
        <v>2116</v>
      </c>
      <c r="D39" s="746">
        <f t="shared" si="0"/>
        <v>2116</v>
      </c>
      <c r="E39" s="299">
        <v>2116</v>
      </c>
      <c r="F39" s="757">
        <f t="shared" si="1"/>
        <v>8.1880623004740253E-3</v>
      </c>
      <c r="G39" s="746">
        <v>26</v>
      </c>
      <c r="H39" s="746">
        <f t="shared" si="4"/>
        <v>82</v>
      </c>
      <c r="I39" s="746">
        <v>15</v>
      </c>
      <c r="J39" s="747">
        <f t="shared" si="5"/>
        <v>14.019097222222221</v>
      </c>
      <c r="K39" s="746">
        <f t="shared" si="2"/>
        <v>1230</v>
      </c>
      <c r="L39" s="746">
        <v>600</v>
      </c>
      <c r="M39" s="746">
        <f t="shared" si="3"/>
        <v>3</v>
      </c>
      <c r="N39" s="746">
        <v>508</v>
      </c>
      <c r="O39" s="746">
        <v>431.8</v>
      </c>
      <c r="P39" s="746">
        <v>241.29999999999998</v>
      </c>
      <c r="Q39" s="746">
        <v>1200</v>
      </c>
      <c r="R39" s="746">
        <v>1080</v>
      </c>
      <c r="S39" s="746">
        <v>1200</v>
      </c>
      <c r="T39" s="746">
        <f t="shared" si="6"/>
        <v>5</v>
      </c>
      <c r="U39" s="746">
        <f t="shared" si="7"/>
        <v>2</v>
      </c>
      <c r="V39" s="746">
        <f t="shared" si="7"/>
        <v>2</v>
      </c>
      <c r="W39" s="746">
        <f t="shared" si="8"/>
        <v>5</v>
      </c>
      <c r="X39" s="746">
        <f t="shared" si="9"/>
        <v>20</v>
      </c>
      <c r="Y39" s="758">
        <f t="shared" si="10"/>
        <v>280.38194444444446</v>
      </c>
      <c r="Z39" s="747">
        <f t="shared" si="11"/>
        <v>3.9370078740157481</v>
      </c>
      <c r="AA39" s="746">
        <f t="shared" si="12"/>
        <v>5</v>
      </c>
      <c r="AB39" s="746">
        <f t="shared" si="13"/>
        <v>52930216.719999991</v>
      </c>
      <c r="AC39" s="746">
        <f t="shared" si="14"/>
        <v>1.8692129629629628</v>
      </c>
      <c r="AD39" s="759" t="s">
        <v>594</v>
      </c>
      <c r="AE39" s="746">
        <f t="shared" si="27"/>
        <v>25</v>
      </c>
      <c r="AF39" s="758">
        <f t="shared" si="16"/>
        <v>41</v>
      </c>
      <c r="AG39" s="758">
        <f t="shared" si="17"/>
        <v>16.400000000000002</v>
      </c>
      <c r="AH39" s="758">
        <f t="shared" si="18"/>
        <v>16.400000000000002</v>
      </c>
      <c r="AI39" s="758">
        <f t="shared" si="19"/>
        <v>8.2000000000000011</v>
      </c>
      <c r="AJ39" s="746">
        <f t="shared" si="20"/>
        <v>82.000000000000014</v>
      </c>
      <c r="AK39" s="4">
        <f t="shared" si="21"/>
        <v>2</v>
      </c>
      <c r="AL39" s="4">
        <f t="shared" si="22"/>
        <v>2</v>
      </c>
      <c r="AM39" s="4">
        <f t="shared" si="23"/>
        <v>6</v>
      </c>
      <c r="AN39" s="4">
        <f t="shared" si="24"/>
        <v>25</v>
      </c>
      <c r="AO39" s="4">
        <f t="shared" si="25"/>
        <v>35</v>
      </c>
      <c r="AP39" s="4"/>
      <c r="AQ39" s="4"/>
      <c r="AR39" s="4"/>
    </row>
    <row r="40" spans="1:44">
      <c r="A40" s="746" t="s">
        <v>772</v>
      </c>
      <c r="B40" s="746">
        <v>21670</v>
      </c>
      <c r="C40" s="747">
        <v>2071.6666666666665</v>
      </c>
      <c r="D40" s="746">
        <f t="shared" si="0"/>
        <v>2072</v>
      </c>
      <c r="E40" s="299">
        <v>2689</v>
      </c>
      <c r="F40" s="757">
        <f t="shared" si="1"/>
        <v>8.0178001354358139E-3</v>
      </c>
      <c r="G40" s="746">
        <v>26</v>
      </c>
      <c r="H40" s="746">
        <f t="shared" si="4"/>
        <v>104</v>
      </c>
      <c r="I40" s="746">
        <v>15</v>
      </c>
      <c r="J40" s="747">
        <f t="shared" si="5"/>
        <v>10.416666666666666</v>
      </c>
      <c r="K40" s="746">
        <f t="shared" si="2"/>
        <v>1560</v>
      </c>
      <c r="L40" s="746">
        <v>600</v>
      </c>
      <c r="M40" s="746">
        <f t="shared" si="3"/>
        <v>3</v>
      </c>
      <c r="N40" s="746">
        <v>508</v>
      </c>
      <c r="O40" s="746">
        <v>381</v>
      </c>
      <c r="P40" s="746">
        <v>203.2</v>
      </c>
      <c r="Q40" s="746">
        <v>1200</v>
      </c>
      <c r="R40" s="746">
        <v>1080</v>
      </c>
      <c r="S40" s="746">
        <v>1200</v>
      </c>
      <c r="T40" s="746">
        <f t="shared" si="6"/>
        <v>6</v>
      </c>
      <c r="U40" s="746">
        <f t="shared" si="7"/>
        <v>2</v>
      </c>
      <c r="V40" s="746">
        <f t="shared" si="7"/>
        <v>2</v>
      </c>
      <c r="W40" s="746">
        <f t="shared" si="8"/>
        <v>6</v>
      </c>
      <c r="X40" s="746">
        <f t="shared" si="9"/>
        <v>24</v>
      </c>
      <c r="Y40" s="758">
        <f t="shared" si="10"/>
        <v>250</v>
      </c>
      <c r="Z40" s="747">
        <f t="shared" si="11"/>
        <v>3.9370078740157481</v>
      </c>
      <c r="AA40" s="746">
        <f t="shared" si="12"/>
        <v>5</v>
      </c>
      <c r="AB40" s="746">
        <f t="shared" si="13"/>
        <v>39328953.600000001</v>
      </c>
      <c r="AC40" s="746">
        <f t="shared" si="14"/>
        <v>1.3888888888888888</v>
      </c>
      <c r="AD40" s="759" t="s">
        <v>594</v>
      </c>
      <c r="AE40" s="746">
        <f t="shared" si="27"/>
        <v>25</v>
      </c>
      <c r="AF40" s="758">
        <f t="shared" si="16"/>
        <v>52</v>
      </c>
      <c r="AG40" s="758">
        <f t="shared" si="17"/>
        <v>20.8</v>
      </c>
      <c r="AH40" s="758">
        <f t="shared" si="18"/>
        <v>20.8</v>
      </c>
      <c r="AI40" s="758">
        <f t="shared" si="19"/>
        <v>10.4</v>
      </c>
      <c r="AJ40" s="746">
        <f t="shared" si="20"/>
        <v>104</v>
      </c>
      <c r="AK40" s="4">
        <f t="shared" si="21"/>
        <v>2</v>
      </c>
      <c r="AL40" s="4">
        <f t="shared" si="22"/>
        <v>3</v>
      </c>
      <c r="AM40" s="4">
        <f t="shared" si="23"/>
        <v>6</v>
      </c>
      <c r="AN40" s="4">
        <f t="shared" si="24"/>
        <v>26</v>
      </c>
      <c r="AO40" s="4">
        <f t="shared" si="25"/>
        <v>37</v>
      </c>
      <c r="AP40" s="4"/>
      <c r="AQ40" s="4"/>
      <c r="AR40" s="4"/>
    </row>
    <row r="41" spans="1:44">
      <c r="A41" s="746" t="s">
        <v>773</v>
      </c>
      <c r="B41" s="746">
        <v>15764</v>
      </c>
      <c r="C41" s="747">
        <v>2037.3333333333333</v>
      </c>
      <c r="D41" s="746">
        <f t="shared" si="0"/>
        <v>2038</v>
      </c>
      <c r="E41" s="299">
        <v>2487</v>
      </c>
      <c r="F41" s="757">
        <f t="shared" si="1"/>
        <v>7.8862339169971946E-3</v>
      </c>
      <c r="G41" s="746">
        <v>26</v>
      </c>
      <c r="H41" s="746">
        <f t="shared" si="4"/>
        <v>96</v>
      </c>
      <c r="I41" s="746">
        <v>15</v>
      </c>
      <c r="J41" s="747">
        <f t="shared" si="5"/>
        <v>45.029510819903095</v>
      </c>
      <c r="K41" s="746">
        <f t="shared" si="2"/>
        <v>1440</v>
      </c>
      <c r="L41" s="746">
        <v>600</v>
      </c>
      <c r="M41" s="746">
        <f t="shared" si="3"/>
        <v>3</v>
      </c>
      <c r="N41" s="746">
        <v>725</v>
      </c>
      <c r="O41" s="746">
        <v>700</v>
      </c>
      <c r="P41" s="746">
        <v>335</v>
      </c>
      <c r="Q41" s="746">
        <v>1200</v>
      </c>
      <c r="R41" s="746">
        <v>1080</v>
      </c>
      <c r="S41" s="746">
        <v>1200</v>
      </c>
      <c r="T41" s="746">
        <f t="shared" si="6"/>
        <v>4</v>
      </c>
      <c r="U41" s="746">
        <f t="shared" si="7"/>
        <v>1</v>
      </c>
      <c r="V41" s="746">
        <f t="shared" si="7"/>
        <v>1</v>
      </c>
      <c r="W41" s="746">
        <f t="shared" si="8"/>
        <v>4</v>
      </c>
      <c r="X41" s="746">
        <f t="shared" si="9"/>
        <v>4</v>
      </c>
      <c r="Y41" s="758">
        <f t="shared" si="10"/>
        <v>180.11804327961238</v>
      </c>
      <c r="Z41" s="747">
        <f t="shared" si="11"/>
        <v>3.9370078740157481</v>
      </c>
      <c r="AA41" s="746">
        <f t="shared" si="12"/>
        <v>26</v>
      </c>
      <c r="AB41" s="746">
        <f t="shared" si="13"/>
        <v>170012500</v>
      </c>
      <c r="AC41" s="746">
        <f t="shared" si="14"/>
        <v>6.0039347759870791</v>
      </c>
      <c r="AD41" s="759" t="s">
        <v>594</v>
      </c>
      <c r="AE41" s="746">
        <f t="shared" si="27"/>
        <v>130</v>
      </c>
      <c r="AF41" s="758">
        <f t="shared" si="16"/>
        <v>48</v>
      </c>
      <c r="AG41" s="758">
        <f t="shared" si="17"/>
        <v>19.200000000000003</v>
      </c>
      <c r="AH41" s="758">
        <f t="shared" si="18"/>
        <v>19.200000000000003</v>
      </c>
      <c r="AI41" s="758">
        <f t="shared" si="19"/>
        <v>9.6000000000000014</v>
      </c>
      <c r="AJ41" s="746">
        <f t="shared" si="20"/>
        <v>96</v>
      </c>
      <c r="AK41" s="4">
        <f t="shared" si="21"/>
        <v>12</v>
      </c>
      <c r="AL41" s="4">
        <f t="shared" si="22"/>
        <v>14</v>
      </c>
      <c r="AM41" s="4">
        <f t="shared" si="23"/>
        <v>34</v>
      </c>
      <c r="AN41" s="4">
        <f t="shared" si="24"/>
        <v>144</v>
      </c>
      <c r="AO41" s="4">
        <f t="shared" si="25"/>
        <v>204</v>
      </c>
      <c r="AP41" s="4"/>
      <c r="AQ41" s="4"/>
      <c r="AR41" s="4"/>
    </row>
    <row r="42" spans="1:44">
      <c r="A42" s="746" t="s">
        <v>774</v>
      </c>
      <c r="B42" s="746">
        <v>23536</v>
      </c>
      <c r="C42" s="747">
        <v>2024.3015151515149</v>
      </c>
      <c r="D42" s="746">
        <f t="shared" si="0"/>
        <v>2025</v>
      </c>
      <c r="E42" s="299">
        <v>2417</v>
      </c>
      <c r="F42" s="757">
        <f t="shared" si="1"/>
        <v>7.8359291864177234E-3</v>
      </c>
      <c r="G42" s="746">
        <v>26</v>
      </c>
      <c r="H42" s="746">
        <f t="shared" si="4"/>
        <v>93</v>
      </c>
      <c r="I42" s="746">
        <v>15</v>
      </c>
      <c r="J42" s="747">
        <f t="shared" si="5"/>
        <v>18.513925916740721</v>
      </c>
      <c r="K42" s="746">
        <f t="shared" si="2"/>
        <v>1395</v>
      </c>
      <c r="L42" s="746">
        <v>600</v>
      </c>
      <c r="M42" s="746">
        <f t="shared" si="3"/>
        <v>3</v>
      </c>
      <c r="N42" s="746">
        <v>508</v>
      </c>
      <c r="O42" s="746">
        <v>430</v>
      </c>
      <c r="P42" s="746">
        <v>320</v>
      </c>
      <c r="Q42" s="746">
        <v>1200</v>
      </c>
      <c r="R42" s="746">
        <v>1080</v>
      </c>
      <c r="S42" s="746">
        <v>1200</v>
      </c>
      <c r="T42" s="746">
        <f t="shared" si="6"/>
        <v>4</v>
      </c>
      <c r="U42" s="746">
        <f t="shared" si="7"/>
        <v>2</v>
      </c>
      <c r="V42" s="746">
        <f t="shared" si="7"/>
        <v>2</v>
      </c>
      <c r="W42" s="746">
        <f t="shared" si="8"/>
        <v>4</v>
      </c>
      <c r="X42" s="746">
        <f t="shared" si="9"/>
        <v>16</v>
      </c>
      <c r="Y42" s="758">
        <f t="shared" si="10"/>
        <v>296.22281466785154</v>
      </c>
      <c r="Z42" s="747">
        <f t="shared" si="11"/>
        <v>3.9370078740157481</v>
      </c>
      <c r="AA42" s="746">
        <f t="shared" si="12"/>
        <v>7</v>
      </c>
      <c r="AB42" s="746">
        <f t="shared" si="13"/>
        <v>69900800</v>
      </c>
      <c r="AC42" s="746">
        <f t="shared" si="14"/>
        <v>2.4685234555654296</v>
      </c>
      <c r="AD42" s="759" t="s">
        <v>594</v>
      </c>
      <c r="AE42" s="746">
        <f t="shared" si="27"/>
        <v>35</v>
      </c>
      <c r="AF42" s="758">
        <f t="shared" si="16"/>
        <v>46.5</v>
      </c>
      <c r="AG42" s="758">
        <f t="shared" si="17"/>
        <v>18.600000000000001</v>
      </c>
      <c r="AH42" s="758">
        <f t="shared" si="18"/>
        <v>18.600000000000001</v>
      </c>
      <c r="AI42" s="758">
        <f t="shared" si="19"/>
        <v>9.3000000000000007</v>
      </c>
      <c r="AJ42" s="746">
        <f t="shared" si="20"/>
        <v>92.999999999999986</v>
      </c>
      <c r="AK42" s="4">
        <f t="shared" si="21"/>
        <v>3</v>
      </c>
      <c r="AL42" s="4">
        <f t="shared" si="22"/>
        <v>3</v>
      </c>
      <c r="AM42" s="4">
        <f t="shared" si="23"/>
        <v>8</v>
      </c>
      <c r="AN42" s="4">
        <f t="shared" si="24"/>
        <v>35</v>
      </c>
      <c r="AO42" s="4">
        <f t="shared" si="25"/>
        <v>49</v>
      </c>
      <c r="AP42" s="4"/>
      <c r="AQ42" s="4"/>
      <c r="AR42" s="4"/>
    </row>
    <row r="43" spans="1:44">
      <c r="A43" s="746" t="s">
        <v>775</v>
      </c>
      <c r="B43" s="746">
        <v>22277</v>
      </c>
      <c r="C43" s="747">
        <v>1883.9166666666667</v>
      </c>
      <c r="D43" s="746">
        <f t="shared" si="0"/>
        <v>1884</v>
      </c>
      <c r="E43" s="299">
        <v>2120</v>
      </c>
      <c r="F43" s="757">
        <f t="shared" si="1"/>
        <v>7.2903163393634521E-3</v>
      </c>
      <c r="G43" s="746">
        <v>26</v>
      </c>
      <c r="H43" s="746">
        <f t="shared" si="4"/>
        <v>82</v>
      </c>
      <c r="I43" s="746">
        <v>15</v>
      </c>
      <c r="J43" s="747">
        <f t="shared" si="5"/>
        <v>5.2887244882101312</v>
      </c>
      <c r="K43" s="746">
        <f t="shared" si="2"/>
        <v>1230</v>
      </c>
      <c r="L43" s="746">
        <v>600</v>
      </c>
      <c r="M43" s="746">
        <f t="shared" si="3"/>
        <v>3</v>
      </c>
      <c r="N43" s="746">
        <v>520</v>
      </c>
      <c r="O43" s="746">
        <v>240</v>
      </c>
      <c r="P43" s="746">
        <v>160</v>
      </c>
      <c r="Q43" s="746">
        <v>1200</v>
      </c>
      <c r="R43" s="746">
        <v>1080</v>
      </c>
      <c r="S43" s="746">
        <v>1200</v>
      </c>
      <c r="T43" s="746">
        <f t="shared" si="6"/>
        <v>8</v>
      </c>
      <c r="U43" s="746">
        <f t="shared" si="7"/>
        <v>2</v>
      </c>
      <c r="V43" s="746">
        <f t="shared" si="7"/>
        <v>4</v>
      </c>
      <c r="W43" s="746">
        <f t="shared" si="8"/>
        <v>8</v>
      </c>
      <c r="X43" s="746">
        <f t="shared" si="9"/>
        <v>64</v>
      </c>
      <c r="Y43" s="758">
        <f t="shared" si="10"/>
        <v>338.4783672454484</v>
      </c>
      <c r="Z43" s="747">
        <f t="shared" si="11"/>
        <v>3.9370078740157481</v>
      </c>
      <c r="AA43" s="746">
        <f t="shared" si="12"/>
        <v>2</v>
      </c>
      <c r="AB43" s="746">
        <f t="shared" si="13"/>
        <v>19968000</v>
      </c>
      <c r="AC43" s="746">
        <f t="shared" si="14"/>
        <v>0.70516326509468419</v>
      </c>
      <c r="AD43" s="759" t="s">
        <v>594</v>
      </c>
      <c r="AE43" s="746">
        <f t="shared" si="27"/>
        <v>10</v>
      </c>
      <c r="AF43" s="758">
        <f t="shared" si="16"/>
        <v>41</v>
      </c>
      <c r="AG43" s="758">
        <f t="shared" si="17"/>
        <v>16.400000000000002</v>
      </c>
      <c r="AH43" s="758">
        <f t="shared" si="18"/>
        <v>16.400000000000002</v>
      </c>
      <c r="AI43" s="758">
        <f t="shared" si="19"/>
        <v>8.2000000000000011</v>
      </c>
      <c r="AJ43" s="746">
        <f t="shared" si="20"/>
        <v>82.000000000000014</v>
      </c>
      <c r="AK43" s="4">
        <f t="shared" si="21"/>
        <v>1</v>
      </c>
      <c r="AL43" s="4">
        <f t="shared" si="22"/>
        <v>1</v>
      </c>
      <c r="AM43" s="4">
        <f t="shared" si="23"/>
        <v>2</v>
      </c>
      <c r="AN43" s="4">
        <f t="shared" si="24"/>
        <v>8</v>
      </c>
      <c r="AO43" s="4">
        <f t="shared" si="25"/>
        <v>12</v>
      </c>
      <c r="AP43" s="4"/>
      <c r="AQ43" s="4"/>
      <c r="AR43" s="4"/>
    </row>
    <row r="44" spans="1:44">
      <c r="A44" s="746" t="s">
        <v>776</v>
      </c>
      <c r="B44" s="746">
        <v>22096</v>
      </c>
      <c r="C44" s="747">
        <v>1841.3333333333333</v>
      </c>
      <c r="D44" s="746">
        <f t="shared" si="0"/>
        <v>1842</v>
      </c>
      <c r="E44" s="299">
        <v>2210</v>
      </c>
      <c r="F44" s="757">
        <f t="shared" si="1"/>
        <v>7.1277933636451586E-3</v>
      </c>
      <c r="G44" s="746">
        <v>26</v>
      </c>
      <c r="H44" s="746">
        <f t="shared" si="4"/>
        <v>85</v>
      </c>
      <c r="I44" s="746">
        <v>15</v>
      </c>
      <c r="J44" s="747">
        <f t="shared" si="5"/>
        <v>20.383625631643216</v>
      </c>
      <c r="K44" s="746">
        <f t="shared" si="2"/>
        <v>1275</v>
      </c>
      <c r="L44" s="746">
        <v>600</v>
      </c>
      <c r="M44" s="746">
        <f t="shared" si="3"/>
        <v>3</v>
      </c>
      <c r="N44" s="746">
        <v>650</v>
      </c>
      <c r="O44" s="746">
        <v>370</v>
      </c>
      <c r="P44" s="746">
        <v>320</v>
      </c>
      <c r="Q44" s="746">
        <v>1200</v>
      </c>
      <c r="R44" s="746">
        <v>1080</v>
      </c>
      <c r="S44" s="746">
        <v>1200</v>
      </c>
      <c r="T44" s="746">
        <f t="shared" si="6"/>
        <v>4</v>
      </c>
      <c r="U44" s="746">
        <f t="shared" si="7"/>
        <v>1</v>
      </c>
      <c r="V44" s="746">
        <f t="shared" si="7"/>
        <v>2</v>
      </c>
      <c r="W44" s="746">
        <f t="shared" si="8"/>
        <v>4</v>
      </c>
      <c r="X44" s="746">
        <f t="shared" si="9"/>
        <v>8</v>
      </c>
      <c r="Y44" s="758">
        <f t="shared" si="10"/>
        <v>163.06900505314573</v>
      </c>
      <c r="Z44" s="747">
        <f t="shared" si="11"/>
        <v>3.9370078740157481</v>
      </c>
      <c r="AA44" s="746">
        <f t="shared" si="12"/>
        <v>12</v>
      </c>
      <c r="AB44" s="746">
        <f t="shared" si="13"/>
        <v>76960000</v>
      </c>
      <c r="AC44" s="746">
        <f t="shared" si="14"/>
        <v>2.717816750885762</v>
      </c>
      <c r="AD44" s="759" t="s">
        <v>594</v>
      </c>
      <c r="AE44" s="746">
        <f t="shared" si="27"/>
        <v>60</v>
      </c>
      <c r="AF44" s="758">
        <f t="shared" si="16"/>
        <v>42.5</v>
      </c>
      <c r="AG44" s="758">
        <f t="shared" si="17"/>
        <v>17</v>
      </c>
      <c r="AH44" s="758">
        <f t="shared" si="18"/>
        <v>17</v>
      </c>
      <c r="AI44" s="758">
        <f t="shared" si="19"/>
        <v>8.5</v>
      </c>
      <c r="AJ44" s="746">
        <f t="shared" si="20"/>
        <v>85</v>
      </c>
      <c r="AK44" s="4">
        <f t="shared" si="21"/>
        <v>5</v>
      </c>
      <c r="AL44" s="4">
        <f t="shared" si="22"/>
        <v>6</v>
      </c>
      <c r="AM44" s="4">
        <f t="shared" si="23"/>
        <v>15</v>
      </c>
      <c r="AN44" s="4">
        <f t="shared" si="24"/>
        <v>64</v>
      </c>
      <c r="AO44" s="4">
        <f t="shared" si="25"/>
        <v>90</v>
      </c>
      <c r="AP44" s="4"/>
      <c r="AQ44" s="4"/>
      <c r="AR44" s="4"/>
    </row>
    <row r="45" spans="1:44">
      <c r="A45" s="746" t="s">
        <v>777</v>
      </c>
      <c r="B45" s="746">
        <v>19640</v>
      </c>
      <c r="C45" s="747">
        <v>1829.0476190476193</v>
      </c>
      <c r="D45" s="746">
        <f t="shared" si="0"/>
        <v>1830</v>
      </c>
      <c r="E45" s="299">
        <v>2194</v>
      </c>
      <c r="F45" s="757">
        <f t="shared" si="1"/>
        <v>7.0813582277256459E-3</v>
      </c>
      <c r="G45" s="746">
        <v>26</v>
      </c>
      <c r="H45" s="746">
        <f t="shared" si="4"/>
        <v>85</v>
      </c>
      <c r="I45" s="746">
        <v>15</v>
      </c>
      <c r="J45" s="747">
        <f t="shared" si="5"/>
        <v>10.464539158244984</v>
      </c>
      <c r="K45" s="746">
        <f t="shared" si="2"/>
        <v>1275</v>
      </c>
      <c r="L45" s="746">
        <v>600</v>
      </c>
      <c r="M45" s="746">
        <f t="shared" si="3"/>
        <v>3</v>
      </c>
      <c r="N45" s="746">
        <v>508</v>
      </c>
      <c r="O45" s="746">
        <v>305</v>
      </c>
      <c r="P45" s="746">
        <v>255</v>
      </c>
      <c r="Q45" s="746">
        <v>1200</v>
      </c>
      <c r="R45" s="746">
        <v>1080</v>
      </c>
      <c r="S45" s="746">
        <v>1200</v>
      </c>
      <c r="T45" s="746">
        <f t="shared" si="6"/>
        <v>5</v>
      </c>
      <c r="U45" s="746">
        <f t="shared" si="7"/>
        <v>2</v>
      </c>
      <c r="V45" s="746">
        <f t="shared" si="7"/>
        <v>3</v>
      </c>
      <c r="W45" s="746">
        <f t="shared" si="8"/>
        <v>5</v>
      </c>
      <c r="X45" s="746">
        <f t="shared" si="9"/>
        <v>30</v>
      </c>
      <c r="Y45" s="758">
        <f t="shared" si="10"/>
        <v>313.93617474734953</v>
      </c>
      <c r="Z45" s="747">
        <f t="shared" si="11"/>
        <v>3.9370078740157481</v>
      </c>
      <c r="AA45" s="746">
        <f t="shared" si="12"/>
        <v>3</v>
      </c>
      <c r="AB45" s="746">
        <f t="shared" si="13"/>
        <v>39509700</v>
      </c>
      <c r="AC45" s="746">
        <f t="shared" si="14"/>
        <v>1.3952718877659978</v>
      </c>
      <c r="AD45" s="759" t="s">
        <v>594</v>
      </c>
      <c r="AE45" s="746">
        <f t="shared" si="27"/>
        <v>15</v>
      </c>
      <c r="AF45" s="758">
        <f t="shared" si="16"/>
        <v>42.5</v>
      </c>
      <c r="AG45" s="758">
        <f t="shared" si="17"/>
        <v>17</v>
      </c>
      <c r="AH45" s="758">
        <f t="shared" si="18"/>
        <v>17</v>
      </c>
      <c r="AI45" s="758">
        <f t="shared" si="19"/>
        <v>8.5</v>
      </c>
      <c r="AJ45" s="746">
        <f t="shared" si="20"/>
        <v>85</v>
      </c>
      <c r="AK45" s="4">
        <f t="shared" si="21"/>
        <v>1</v>
      </c>
      <c r="AL45" s="4">
        <f t="shared" si="22"/>
        <v>2</v>
      </c>
      <c r="AM45" s="4">
        <f t="shared" si="23"/>
        <v>4</v>
      </c>
      <c r="AN45" s="4">
        <f t="shared" si="24"/>
        <v>17</v>
      </c>
      <c r="AO45" s="4">
        <f t="shared" si="25"/>
        <v>24</v>
      </c>
      <c r="AP45" s="4"/>
      <c r="AQ45" s="4"/>
      <c r="AR45" s="4"/>
    </row>
    <row r="46" spans="1:44">
      <c r="A46" s="746" t="s">
        <v>778</v>
      </c>
      <c r="B46" s="746">
        <v>22201</v>
      </c>
      <c r="C46" s="747">
        <v>1780.9560439560441</v>
      </c>
      <c r="D46" s="746">
        <f t="shared" si="0"/>
        <v>1781</v>
      </c>
      <c r="E46" s="299">
        <v>2030</v>
      </c>
      <c r="F46" s="757">
        <f t="shared" si="1"/>
        <v>6.8917480893876367E-3</v>
      </c>
      <c r="G46" s="746">
        <v>26</v>
      </c>
      <c r="H46" s="746">
        <f t="shared" si="4"/>
        <v>79</v>
      </c>
      <c r="I46" s="746">
        <v>15</v>
      </c>
      <c r="J46" s="747">
        <f t="shared" si="5"/>
        <v>6.3566400098679461</v>
      </c>
      <c r="K46" s="746">
        <f t="shared" si="2"/>
        <v>1185</v>
      </c>
      <c r="L46" s="746">
        <v>600</v>
      </c>
      <c r="M46" s="746">
        <f t="shared" si="3"/>
        <v>2</v>
      </c>
      <c r="N46" s="746">
        <v>400</v>
      </c>
      <c r="O46" s="746">
        <v>400</v>
      </c>
      <c r="P46" s="746">
        <v>150</v>
      </c>
      <c r="Q46" s="746">
        <v>1200</v>
      </c>
      <c r="R46" s="746">
        <v>1080</v>
      </c>
      <c r="S46" s="746">
        <v>1200</v>
      </c>
      <c r="T46" s="746">
        <f t="shared" si="6"/>
        <v>8</v>
      </c>
      <c r="U46" s="746">
        <f t="shared" si="7"/>
        <v>3</v>
      </c>
      <c r="V46" s="746">
        <f t="shared" si="7"/>
        <v>2</v>
      </c>
      <c r="W46" s="746">
        <f t="shared" si="8"/>
        <v>8</v>
      </c>
      <c r="X46" s="746">
        <f t="shared" si="9"/>
        <v>48</v>
      </c>
      <c r="Y46" s="758">
        <f t="shared" si="10"/>
        <v>305.11872047366143</v>
      </c>
      <c r="Z46" s="747">
        <f t="shared" si="11"/>
        <v>3.9370078740157481</v>
      </c>
      <c r="AA46" s="746">
        <f t="shared" si="12"/>
        <v>2</v>
      </c>
      <c r="AB46" s="746">
        <f t="shared" si="13"/>
        <v>24000000</v>
      </c>
      <c r="AC46" s="746">
        <f t="shared" si="14"/>
        <v>0.84755200131572617</v>
      </c>
      <c r="AD46" s="759" t="s">
        <v>594</v>
      </c>
      <c r="AE46" s="746">
        <f t="shared" si="27"/>
        <v>10</v>
      </c>
      <c r="AF46" s="758">
        <f t="shared" si="16"/>
        <v>39.5</v>
      </c>
      <c r="AG46" s="758">
        <f t="shared" si="17"/>
        <v>15.8</v>
      </c>
      <c r="AH46" s="758">
        <f t="shared" si="18"/>
        <v>15.8</v>
      </c>
      <c r="AI46" s="758">
        <f t="shared" si="19"/>
        <v>7.9</v>
      </c>
      <c r="AJ46" s="746">
        <f t="shared" si="20"/>
        <v>79</v>
      </c>
      <c r="AK46" s="4">
        <f t="shared" si="21"/>
        <v>1</v>
      </c>
      <c r="AL46" s="4">
        <f t="shared" si="22"/>
        <v>1</v>
      </c>
      <c r="AM46" s="4">
        <f t="shared" si="23"/>
        <v>2</v>
      </c>
      <c r="AN46" s="4">
        <f t="shared" si="24"/>
        <v>10</v>
      </c>
      <c r="AO46" s="4">
        <f t="shared" si="25"/>
        <v>14</v>
      </c>
      <c r="AP46" s="4"/>
      <c r="AQ46" s="4"/>
      <c r="AR46" s="4"/>
    </row>
    <row r="47" spans="1:44">
      <c r="A47" s="746" t="s">
        <v>779</v>
      </c>
      <c r="B47" s="746">
        <v>19538</v>
      </c>
      <c r="C47" s="747">
        <v>1750.1944444444443</v>
      </c>
      <c r="D47" s="746">
        <f t="shared" si="0"/>
        <v>1751</v>
      </c>
      <c r="E47" s="299">
        <v>2191</v>
      </c>
      <c r="F47" s="757">
        <f t="shared" si="1"/>
        <v>6.7756602495888558E-3</v>
      </c>
      <c r="G47" s="746">
        <v>26</v>
      </c>
      <c r="H47" s="746">
        <f t="shared" si="4"/>
        <v>85</v>
      </c>
      <c r="I47" s="746">
        <v>15</v>
      </c>
      <c r="J47" s="747">
        <f t="shared" si="5"/>
        <v>32.565066770553493</v>
      </c>
      <c r="K47" s="746">
        <f t="shared" si="2"/>
        <v>1275</v>
      </c>
      <c r="L47" s="746">
        <v>600</v>
      </c>
      <c r="M47" s="746">
        <f t="shared" si="3"/>
        <v>3</v>
      </c>
      <c r="N47" s="746">
        <v>1090</v>
      </c>
      <c r="O47" s="746">
        <v>470</v>
      </c>
      <c r="P47" s="746">
        <v>240</v>
      </c>
      <c r="Q47" s="746">
        <v>1200</v>
      </c>
      <c r="R47" s="746">
        <v>1080</v>
      </c>
      <c r="S47" s="746">
        <v>1200</v>
      </c>
      <c r="T47" s="746">
        <f t="shared" si="6"/>
        <v>5</v>
      </c>
      <c r="U47" s="746">
        <f t="shared" si="7"/>
        <v>1</v>
      </c>
      <c r="V47" s="746">
        <f t="shared" si="7"/>
        <v>2</v>
      </c>
      <c r="W47" s="746">
        <f t="shared" si="8"/>
        <v>5</v>
      </c>
      <c r="X47" s="746">
        <f t="shared" si="9"/>
        <v>10</v>
      </c>
      <c r="Y47" s="758">
        <f t="shared" si="10"/>
        <v>325.65066770553494</v>
      </c>
      <c r="Z47" s="747">
        <f t="shared" si="11"/>
        <v>3.9370078740157481</v>
      </c>
      <c r="AA47" s="746">
        <f t="shared" si="12"/>
        <v>9</v>
      </c>
      <c r="AB47" s="746">
        <f t="shared" si="13"/>
        <v>122952000</v>
      </c>
      <c r="AC47" s="746">
        <f t="shared" si="14"/>
        <v>4.3420089027404654</v>
      </c>
      <c r="AD47" s="759" t="s">
        <v>594</v>
      </c>
      <c r="AE47" s="746">
        <f t="shared" si="27"/>
        <v>45</v>
      </c>
      <c r="AF47" s="758">
        <f t="shared" si="16"/>
        <v>42.5</v>
      </c>
      <c r="AG47" s="758">
        <f t="shared" si="17"/>
        <v>17</v>
      </c>
      <c r="AH47" s="758">
        <f t="shared" si="18"/>
        <v>17</v>
      </c>
      <c r="AI47" s="758">
        <f t="shared" si="19"/>
        <v>8.5</v>
      </c>
      <c r="AJ47" s="746">
        <f t="shared" si="20"/>
        <v>85</v>
      </c>
      <c r="AK47" s="4">
        <f t="shared" si="21"/>
        <v>4</v>
      </c>
      <c r="AL47" s="4">
        <f t="shared" si="22"/>
        <v>5</v>
      </c>
      <c r="AM47" s="4">
        <f t="shared" si="23"/>
        <v>12</v>
      </c>
      <c r="AN47" s="4">
        <f t="shared" si="24"/>
        <v>51</v>
      </c>
      <c r="AO47" s="4">
        <f t="shared" si="25"/>
        <v>72</v>
      </c>
      <c r="AP47" s="4"/>
      <c r="AQ47" s="4"/>
      <c r="AR47" s="4"/>
    </row>
    <row r="48" spans="1:44">
      <c r="A48" s="746" t="s">
        <v>780</v>
      </c>
      <c r="B48" s="746">
        <v>19241</v>
      </c>
      <c r="C48" s="747">
        <v>1749.1818181818182</v>
      </c>
      <c r="D48" s="746">
        <f t="shared" si="0"/>
        <v>1750</v>
      </c>
      <c r="E48" s="299">
        <v>2003</v>
      </c>
      <c r="F48" s="757">
        <f t="shared" si="1"/>
        <v>6.7717906549288965E-3</v>
      </c>
      <c r="G48" s="746">
        <v>26</v>
      </c>
      <c r="H48" s="746">
        <f t="shared" si="4"/>
        <v>78</v>
      </c>
      <c r="I48" s="746">
        <v>15</v>
      </c>
      <c r="J48" s="747">
        <f t="shared" si="5"/>
        <v>17.301304133858263</v>
      </c>
      <c r="K48" s="746">
        <f t="shared" si="2"/>
        <v>1170</v>
      </c>
      <c r="L48" s="746">
        <v>600</v>
      </c>
      <c r="M48" s="746">
        <f t="shared" si="3"/>
        <v>2</v>
      </c>
      <c r="N48" s="746">
        <v>457.2</v>
      </c>
      <c r="O48" s="746">
        <v>381</v>
      </c>
      <c r="P48" s="763">
        <v>375</v>
      </c>
      <c r="Q48" s="746">
        <v>1200</v>
      </c>
      <c r="R48" s="746">
        <v>1080</v>
      </c>
      <c r="S48" s="746">
        <v>1200</v>
      </c>
      <c r="T48" s="746">
        <f t="shared" si="6"/>
        <v>3</v>
      </c>
      <c r="U48" s="746">
        <f t="shared" si="7"/>
        <v>2</v>
      </c>
      <c r="V48" s="746">
        <f t="shared" si="7"/>
        <v>2</v>
      </c>
      <c r="W48" s="746">
        <f t="shared" si="8"/>
        <v>3</v>
      </c>
      <c r="X48" s="746">
        <f t="shared" si="9"/>
        <v>12</v>
      </c>
      <c r="Y48" s="758">
        <f t="shared" si="10"/>
        <v>207.61564960629914</v>
      </c>
      <c r="Z48" s="747">
        <f t="shared" si="11"/>
        <v>3.9370078740157481</v>
      </c>
      <c r="AA48" s="746">
        <f t="shared" si="12"/>
        <v>7</v>
      </c>
      <c r="AB48" s="746">
        <f t="shared" si="13"/>
        <v>65322449.999999993</v>
      </c>
      <c r="AC48" s="746">
        <f t="shared" si="14"/>
        <v>2.3068405511811019</v>
      </c>
      <c r="AD48" s="759" t="s">
        <v>594</v>
      </c>
      <c r="AE48" s="746">
        <f t="shared" si="27"/>
        <v>35</v>
      </c>
      <c r="AF48" s="758">
        <f t="shared" si="16"/>
        <v>39</v>
      </c>
      <c r="AG48" s="758">
        <f t="shared" si="17"/>
        <v>15.600000000000001</v>
      </c>
      <c r="AH48" s="758">
        <f t="shared" si="18"/>
        <v>15.600000000000001</v>
      </c>
      <c r="AI48" s="758">
        <f t="shared" si="19"/>
        <v>7.8000000000000007</v>
      </c>
      <c r="AJ48" s="746">
        <f t="shared" si="20"/>
        <v>78</v>
      </c>
      <c r="AK48" s="4">
        <f t="shared" si="21"/>
        <v>3</v>
      </c>
      <c r="AL48" s="4">
        <f t="shared" si="22"/>
        <v>4</v>
      </c>
      <c r="AM48" s="4">
        <f t="shared" si="23"/>
        <v>9</v>
      </c>
      <c r="AN48" s="4">
        <f t="shared" si="24"/>
        <v>39</v>
      </c>
      <c r="AO48" s="4">
        <f t="shared" si="25"/>
        <v>55</v>
      </c>
      <c r="AP48" s="4"/>
      <c r="AQ48" s="4"/>
      <c r="AR48" s="4"/>
    </row>
    <row r="49" spans="1:44">
      <c r="A49" s="746" t="s">
        <v>781</v>
      </c>
      <c r="B49" s="746">
        <v>20478</v>
      </c>
      <c r="C49" s="747">
        <v>1706.5</v>
      </c>
      <c r="D49" s="746">
        <f t="shared" si="0"/>
        <v>1707</v>
      </c>
      <c r="E49" s="299">
        <v>1966</v>
      </c>
      <c r="F49" s="757">
        <f t="shared" si="1"/>
        <v>6.6053980845506436E-3</v>
      </c>
      <c r="G49" s="746">
        <v>26</v>
      </c>
      <c r="H49" s="746">
        <f t="shared" si="4"/>
        <v>76</v>
      </c>
      <c r="I49" s="746">
        <v>15</v>
      </c>
      <c r="J49" s="747">
        <f t="shared" si="5"/>
        <v>13.885444437555542</v>
      </c>
      <c r="K49" s="746">
        <f t="shared" si="2"/>
        <v>1140</v>
      </c>
      <c r="L49" s="746">
        <v>600</v>
      </c>
      <c r="M49" s="746">
        <f t="shared" si="3"/>
        <v>2</v>
      </c>
      <c r="N49" s="746">
        <v>508</v>
      </c>
      <c r="O49" s="746">
        <v>430</v>
      </c>
      <c r="P49" s="746">
        <v>240</v>
      </c>
      <c r="Q49" s="746">
        <v>1200</v>
      </c>
      <c r="R49" s="746">
        <v>1080</v>
      </c>
      <c r="S49" s="746">
        <v>1200</v>
      </c>
      <c r="T49" s="746">
        <f t="shared" si="6"/>
        <v>5</v>
      </c>
      <c r="U49" s="746">
        <f t="shared" si="7"/>
        <v>2</v>
      </c>
      <c r="V49" s="746">
        <f t="shared" si="7"/>
        <v>2</v>
      </c>
      <c r="W49" s="746">
        <f t="shared" si="8"/>
        <v>5</v>
      </c>
      <c r="X49" s="746">
        <f t="shared" si="9"/>
        <v>20</v>
      </c>
      <c r="Y49" s="758">
        <f t="shared" si="10"/>
        <v>277.70888875111086</v>
      </c>
      <c r="Z49" s="747">
        <f t="shared" si="11"/>
        <v>3.9370078740157481</v>
      </c>
      <c r="AA49" s="746">
        <f t="shared" si="12"/>
        <v>4</v>
      </c>
      <c r="AB49" s="746">
        <f t="shared" si="13"/>
        <v>52425600</v>
      </c>
      <c r="AC49" s="746">
        <f t="shared" si="14"/>
        <v>1.8513925916740723</v>
      </c>
      <c r="AD49" s="759" t="s">
        <v>594</v>
      </c>
      <c r="AE49" s="746">
        <f t="shared" si="27"/>
        <v>20</v>
      </c>
      <c r="AF49" s="758">
        <f t="shared" si="16"/>
        <v>38</v>
      </c>
      <c r="AG49" s="758">
        <f t="shared" si="17"/>
        <v>15.200000000000001</v>
      </c>
      <c r="AH49" s="758">
        <f t="shared" si="18"/>
        <v>15.200000000000001</v>
      </c>
      <c r="AI49" s="758">
        <f t="shared" si="19"/>
        <v>7.6000000000000005</v>
      </c>
      <c r="AJ49" s="746">
        <f t="shared" si="20"/>
        <v>76</v>
      </c>
      <c r="AK49" s="4">
        <f t="shared" si="21"/>
        <v>2</v>
      </c>
      <c r="AL49" s="4">
        <f t="shared" si="22"/>
        <v>2</v>
      </c>
      <c r="AM49" s="4">
        <f t="shared" si="23"/>
        <v>5</v>
      </c>
      <c r="AN49" s="4">
        <f t="shared" si="24"/>
        <v>23</v>
      </c>
      <c r="AO49" s="4">
        <f t="shared" si="25"/>
        <v>32</v>
      </c>
      <c r="AP49" s="4"/>
      <c r="AQ49" s="4"/>
      <c r="AR49" s="4"/>
    </row>
    <row r="50" spans="1:44">
      <c r="A50" s="746" t="s">
        <v>782</v>
      </c>
      <c r="B50" s="746">
        <v>20354</v>
      </c>
      <c r="C50" s="747">
        <v>1696.1666666666667</v>
      </c>
      <c r="D50" s="746">
        <f t="shared" si="0"/>
        <v>1697</v>
      </c>
      <c r="E50" s="299">
        <v>2180</v>
      </c>
      <c r="F50" s="757">
        <f t="shared" si="1"/>
        <v>6.5667021379510497E-3</v>
      </c>
      <c r="G50" s="746">
        <v>26</v>
      </c>
      <c r="H50" s="746">
        <f t="shared" si="4"/>
        <v>84</v>
      </c>
      <c r="I50" s="746">
        <v>15</v>
      </c>
      <c r="J50" s="747">
        <f t="shared" si="5"/>
        <v>9.8782185753347882</v>
      </c>
      <c r="K50" s="746">
        <f t="shared" si="2"/>
        <v>1260</v>
      </c>
      <c r="L50" s="746">
        <v>600</v>
      </c>
      <c r="M50" s="746">
        <f t="shared" si="3"/>
        <v>3</v>
      </c>
      <c r="N50" s="746">
        <v>560</v>
      </c>
      <c r="O50" s="746">
        <v>370</v>
      </c>
      <c r="P50" s="746">
        <v>180</v>
      </c>
      <c r="Q50" s="746">
        <v>1200</v>
      </c>
      <c r="R50" s="746">
        <v>1080</v>
      </c>
      <c r="S50" s="746">
        <v>1200</v>
      </c>
      <c r="T50" s="746">
        <f t="shared" si="6"/>
        <v>7</v>
      </c>
      <c r="U50" s="746">
        <f t="shared" si="7"/>
        <v>2</v>
      </c>
      <c r="V50" s="746">
        <f t="shared" si="7"/>
        <v>2</v>
      </c>
      <c r="W50" s="746">
        <f t="shared" si="8"/>
        <v>7</v>
      </c>
      <c r="X50" s="746">
        <f t="shared" si="9"/>
        <v>28</v>
      </c>
      <c r="Y50" s="758">
        <f t="shared" si="10"/>
        <v>276.59012010937408</v>
      </c>
      <c r="Z50" s="747">
        <f t="shared" si="11"/>
        <v>3.9370078740157481</v>
      </c>
      <c r="AA50" s="746">
        <f t="shared" si="12"/>
        <v>4</v>
      </c>
      <c r="AB50" s="746">
        <f t="shared" si="13"/>
        <v>37296000</v>
      </c>
      <c r="AC50" s="746">
        <f t="shared" si="14"/>
        <v>1.3170958100446384</v>
      </c>
      <c r="AD50" s="759" t="s">
        <v>594</v>
      </c>
      <c r="AE50" s="746">
        <f t="shared" si="27"/>
        <v>20</v>
      </c>
      <c r="AF50" s="758">
        <f t="shared" si="16"/>
        <v>42</v>
      </c>
      <c r="AG50" s="758">
        <f t="shared" si="17"/>
        <v>16.8</v>
      </c>
      <c r="AH50" s="758">
        <f t="shared" si="18"/>
        <v>16.8</v>
      </c>
      <c r="AI50" s="758">
        <f t="shared" si="19"/>
        <v>8.4</v>
      </c>
      <c r="AJ50" s="746">
        <f t="shared" si="20"/>
        <v>84</v>
      </c>
      <c r="AK50" s="4">
        <f t="shared" si="21"/>
        <v>2</v>
      </c>
      <c r="AL50" s="4">
        <f t="shared" si="22"/>
        <v>2</v>
      </c>
      <c r="AM50" s="4">
        <f t="shared" si="23"/>
        <v>4</v>
      </c>
      <c r="AN50" s="4">
        <f t="shared" si="24"/>
        <v>18</v>
      </c>
      <c r="AO50" s="4">
        <f t="shared" si="25"/>
        <v>26</v>
      </c>
      <c r="AP50" s="4"/>
      <c r="AQ50" s="4"/>
      <c r="AR50" s="4"/>
    </row>
    <row r="51" spans="1:44">
      <c r="A51" s="746" t="s">
        <v>783</v>
      </c>
      <c r="B51" s="746">
        <v>2260</v>
      </c>
      <c r="C51" s="747">
        <v>1586.5</v>
      </c>
      <c r="D51" s="746">
        <f t="shared" si="0"/>
        <v>1587</v>
      </c>
      <c r="E51" s="299">
        <v>1728</v>
      </c>
      <c r="F51" s="757">
        <f t="shared" si="1"/>
        <v>6.1410467253555194E-3</v>
      </c>
      <c r="G51" s="746">
        <v>26</v>
      </c>
      <c r="H51" s="746">
        <f t="shared" si="4"/>
        <v>67</v>
      </c>
      <c r="I51" s="746">
        <v>15</v>
      </c>
      <c r="J51" s="747">
        <f t="shared" si="5"/>
        <v>32.800564236111114</v>
      </c>
      <c r="K51" s="746">
        <f t="shared" si="2"/>
        <v>1005</v>
      </c>
      <c r="L51" s="746">
        <v>600</v>
      </c>
      <c r="M51" s="746">
        <f t="shared" si="3"/>
        <v>2</v>
      </c>
      <c r="N51" s="746">
        <v>1092.2</v>
      </c>
      <c r="O51" s="746">
        <v>469.9</v>
      </c>
      <c r="P51" s="746">
        <v>241.29999999999998</v>
      </c>
      <c r="Q51" s="746">
        <v>1200</v>
      </c>
      <c r="R51" s="746">
        <v>1080</v>
      </c>
      <c r="S51" s="746">
        <v>1200</v>
      </c>
      <c r="T51" s="746">
        <f t="shared" si="6"/>
        <v>5</v>
      </c>
      <c r="U51" s="746">
        <f t="shared" si="7"/>
        <v>1</v>
      </c>
      <c r="V51" s="746">
        <f t="shared" si="7"/>
        <v>2</v>
      </c>
      <c r="W51" s="746">
        <f t="shared" si="8"/>
        <v>5</v>
      </c>
      <c r="X51" s="746">
        <f t="shared" si="9"/>
        <v>10</v>
      </c>
      <c r="Y51" s="758">
        <f t="shared" si="10"/>
        <v>328.00564236111114</v>
      </c>
      <c r="Z51" s="747">
        <f t="shared" si="11"/>
        <v>3.9370078740157481</v>
      </c>
      <c r="AA51" s="746">
        <f t="shared" si="12"/>
        <v>8</v>
      </c>
      <c r="AB51" s="746">
        <f t="shared" si="13"/>
        <v>123841139.41399999</v>
      </c>
      <c r="AC51" s="746">
        <f t="shared" si="14"/>
        <v>4.3734085648148149</v>
      </c>
      <c r="AD51" s="759" t="s">
        <v>594</v>
      </c>
      <c r="AE51" s="746">
        <f t="shared" si="27"/>
        <v>40</v>
      </c>
      <c r="AF51" s="758">
        <f t="shared" si="16"/>
        <v>33.5</v>
      </c>
      <c r="AG51" s="758">
        <f t="shared" si="17"/>
        <v>13.4</v>
      </c>
      <c r="AH51" s="758">
        <f t="shared" si="18"/>
        <v>13.4</v>
      </c>
      <c r="AI51" s="758">
        <f t="shared" si="19"/>
        <v>6.7</v>
      </c>
      <c r="AJ51" s="746">
        <f t="shared" si="20"/>
        <v>67</v>
      </c>
      <c r="AK51" s="4">
        <f t="shared" si="21"/>
        <v>3</v>
      </c>
      <c r="AL51" s="4">
        <f t="shared" si="22"/>
        <v>4</v>
      </c>
      <c r="AM51" s="4">
        <f t="shared" si="23"/>
        <v>9</v>
      </c>
      <c r="AN51" s="4">
        <f t="shared" si="24"/>
        <v>40</v>
      </c>
      <c r="AO51" s="4">
        <f t="shared" si="25"/>
        <v>56</v>
      </c>
      <c r="AP51" s="4"/>
      <c r="AQ51" s="4"/>
      <c r="AR51" s="4"/>
    </row>
    <row r="52" spans="1:44">
      <c r="A52" s="746" t="s">
        <v>784</v>
      </c>
      <c r="B52" s="746">
        <v>1553</v>
      </c>
      <c r="C52" s="747">
        <v>1553</v>
      </c>
      <c r="D52" s="746">
        <f t="shared" si="0"/>
        <v>1553</v>
      </c>
      <c r="E52" s="299">
        <v>1553</v>
      </c>
      <c r="F52" s="757">
        <f t="shared" si="1"/>
        <v>6.0094805069169002E-3</v>
      </c>
      <c r="G52" s="746">
        <v>26</v>
      </c>
      <c r="H52" s="746">
        <f t="shared" si="4"/>
        <v>60</v>
      </c>
      <c r="I52" s="746">
        <v>15</v>
      </c>
      <c r="J52" s="747">
        <f t="shared" si="5"/>
        <v>10.628302096499207</v>
      </c>
      <c r="K52" s="746">
        <f t="shared" si="2"/>
        <v>900</v>
      </c>
      <c r="L52" s="746">
        <v>600</v>
      </c>
      <c r="M52" s="746">
        <f t="shared" si="3"/>
        <v>2</v>
      </c>
      <c r="N52" s="746">
        <v>660</v>
      </c>
      <c r="O52" s="746">
        <v>380</v>
      </c>
      <c r="P52" s="746">
        <v>160</v>
      </c>
      <c r="Q52" s="746">
        <v>1200</v>
      </c>
      <c r="R52" s="746">
        <v>1080</v>
      </c>
      <c r="S52" s="746">
        <v>1200</v>
      </c>
      <c r="T52" s="746">
        <f t="shared" si="6"/>
        <v>8</v>
      </c>
      <c r="U52" s="746">
        <f t="shared" si="7"/>
        <v>1</v>
      </c>
      <c r="V52" s="746">
        <f t="shared" si="7"/>
        <v>2</v>
      </c>
      <c r="W52" s="746">
        <f t="shared" si="8"/>
        <v>8</v>
      </c>
      <c r="X52" s="746">
        <f t="shared" si="9"/>
        <v>16</v>
      </c>
      <c r="Y52" s="758">
        <f t="shared" si="10"/>
        <v>170.0528335439873</v>
      </c>
      <c r="Z52" s="747">
        <f t="shared" si="11"/>
        <v>3.9370078740157481</v>
      </c>
      <c r="AA52" s="746">
        <f t="shared" si="12"/>
        <v>4</v>
      </c>
      <c r="AB52" s="746">
        <f t="shared" si="13"/>
        <v>40128000</v>
      </c>
      <c r="AC52" s="746">
        <f t="shared" si="14"/>
        <v>1.4171069461998942</v>
      </c>
      <c r="AD52" s="759" t="s">
        <v>594</v>
      </c>
      <c r="AE52" s="746">
        <f t="shared" si="27"/>
        <v>20</v>
      </c>
      <c r="AF52" s="758">
        <f t="shared" si="16"/>
        <v>30</v>
      </c>
      <c r="AG52" s="758">
        <f t="shared" si="17"/>
        <v>12</v>
      </c>
      <c r="AH52" s="758">
        <f t="shared" si="18"/>
        <v>12</v>
      </c>
      <c r="AI52" s="758">
        <f t="shared" si="19"/>
        <v>6</v>
      </c>
      <c r="AJ52" s="746">
        <f t="shared" si="20"/>
        <v>60</v>
      </c>
      <c r="AK52" s="4">
        <f t="shared" si="21"/>
        <v>2</v>
      </c>
      <c r="AL52" s="4">
        <f t="shared" si="22"/>
        <v>2</v>
      </c>
      <c r="AM52" s="4">
        <f t="shared" si="23"/>
        <v>5</v>
      </c>
      <c r="AN52" s="4">
        <f t="shared" si="24"/>
        <v>23</v>
      </c>
      <c r="AO52" s="4">
        <f t="shared" si="25"/>
        <v>32</v>
      </c>
      <c r="AP52" s="4"/>
      <c r="AQ52" s="4"/>
      <c r="AR52" s="4"/>
    </row>
    <row r="53" spans="1:44">
      <c r="A53" s="746" t="s">
        <v>785</v>
      </c>
      <c r="B53" s="746">
        <v>2950</v>
      </c>
      <c r="C53" s="747">
        <v>1500</v>
      </c>
      <c r="D53" s="746">
        <f t="shared" si="0"/>
        <v>1500</v>
      </c>
      <c r="E53" s="299">
        <v>1510</v>
      </c>
      <c r="F53" s="757">
        <f t="shared" si="1"/>
        <v>5.8043919899390542E-3</v>
      </c>
      <c r="G53" s="746">
        <v>26</v>
      </c>
      <c r="H53" s="746">
        <f t="shared" si="4"/>
        <v>59</v>
      </c>
      <c r="I53" s="746">
        <v>15</v>
      </c>
      <c r="J53" s="747">
        <f t="shared" si="5"/>
        <v>4.0830817663385108</v>
      </c>
      <c r="K53" s="746">
        <f t="shared" si="2"/>
        <v>885</v>
      </c>
      <c r="L53" s="746">
        <v>600</v>
      </c>
      <c r="M53" s="746">
        <f t="shared" si="3"/>
        <v>2</v>
      </c>
      <c r="N53" s="746">
        <v>410</v>
      </c>
      <c r="O53" s="746">
        <v>235</v>
      </c>
      <c r="P53" s="746">
        <v>160</v>
      </c>
      <c r="Q53" s="746">
        <v>1200</v>
      </c>
      <c r="R53" s="746">
        <v>1080</v>
      </c>
      <c r="S53" s="746">
        <v>1200</v>
      </c>
      <c r="T53" s="746">
        <f t="shared" si="6"/>
        <v>8</v>
      </c>
      <c r="U53" s="746">
        <f t="shared" si="7"/>
        <v>2</v>
      </c>
      <c r="V53" s="746">
        <f t="shared" si="7"/>
        <v>4</v>
      </c>
      <c r="W53" s="746">
        <f t="shared" si="8"/>
        <v>8</v>
      </c>
      <c r="X53" s="746">
        <f t="shared" si="9"/>
        <v>64</v>
      </c>
      <c r="Y53" s="758">
        <f t="shared" si="10"/>
        <v>261.31723304566469</v>
      </c>
      <c r="Z53" s="747">
        <f t="shared" si="11"/>
        <v>3.9370078740157481</v>
      </c>
      <c r="AA53" s="746">
        <f t="shared" si="12"/>
        <v>1</v>
      </c>
      <c r="AB53" s="746">
        <f t="shared" si="13"/>
        <v>15416000</v>
      </c>
      <c r="AC53" s="746">
        <f t="shared" si="14"/>
        <v>0.5444109021784681</v>
      </c>
      <c r="AD53" s="759" t="s">
        <v>594</v>
      </c>
      <c r="AE53" s="746">
        <f t="shared" si="27"/>
        <v>5</v>
      </c>
      <c r="AF53" s="758">
        <f t="shared" si="16"/>
        <v>29.5</v>
      </c>
      <c r="AG53" s="758">
        <f t="shared" si="17"/>
        <v>11.8</v>
      </c>
      <c r="AH53" s="758">
        <f t="shared" si="18"/>
        <v>11.8</v>
      </c>
      <c r="AI53" s="758">
        <f t="shared" si="19"/>
        <v>5.9</v>
      </c>
      <c r="AJ53" s="746">
        <f t="shared" si="20"/>
        <v>58.999999999999993</v>
      </c>
      <c r="AK53" s="4">
        <f t="shared" si="21"/>
        <v>0</v>
      </c>
      <c r="AL53" s="4">
        <f t="shared" si="22"/>
        <v>1</v>
      </c>
      <c r="AM53" s="4">
        <f t="shared" si="23"/>
        <v>1</v>
      </c>
      <c r="AN53" s="4">
        <f t="shared" si="24"/>
        <v>6</v>
      </c>
      <c r="AO53" s="4">
        <f t="shared" si="25"/>
        <v>8</v>
      </c>
      <c r="AP53" s="4"/>
      <c r="AQ53" s="4"/>
      <c r="AR53" s="4"/>
    </row>
    <row r="54" spans="1:44">
      <c r="A54" s="746" t="s">
        <v>786</v>
      </c>
      <c r="B54" s="746">
        <v>1495</v>
      </c>
      <c r="C54" s="747">
        <v>1495</v>
      </c>
      <c r="D54" s="746">
        <f t="shared" si="0"/>
        <v>1495</v>
      </c>
      <c r="E54" s="299">
        <v>1495</v>
      </c>
      <c r="F54" s="757">
        <f t="shared" si="1"/>
        <v>5.7850440166392573E-3</v>
      </c>
      <c r="G54" s="746">
        <v>26</v>
      </c>
      <c r="H54" s="746">
        <f t="shared" si="4"/>
        <v>58</v>
      </c>
      <c r="I54" s="746">
        <v>15</v>
      </c>
      <c r="J54" s="747">
        <f t="shared" si="5"/>
        <v>0.79815561123904399</v>
      </c>
      <c r="K54" s="746">
        <f t="shared" si="2"/>
        <v>870</v>
      </c>
      <c r="L54" s="746">
        <v>600</v>
      </c>
      <c r="M54" s="746">
        <f t="shared" si="3"/>
        <v>2</v>
      </c>
      <c r="N54" s="746">
        <v>205</v>
      </c>
      <c r="O54" s="746">
        <v>105</v>
      </c>
      <c r="P54" s="746">
        <v>140</v>
      </c>
      <c r="Q54" s="746">
        <v>1200</v>
      </c>
      <c r="R54" s="746">
        <v>1080</v>
      </c>
      <c r="S54" s="746">
        <v>1200</v>
      </c>
      <c r="T54" s="746">
        <f t="shared" si="6"/>
        <v>9</v>
      </c>
      <c r="U54" s="746">
        <f>ROUNDDOWN(Q54/N54,0)-2</f>
        <v>3</v>
      </c>
      <c r="V54" s="746">
        <f>ROUNDDOWN(R54/O54,0)-5</f>
        <v>5</v>
      </c>
      <c r="W54" s="746">
        <f t="shared" si="8"/>
        <v>9</v>
      </c>
      <c r="X54" s="746">
        <f t="shared" si="9"/>
        <v>135</v>
      </c>
      <c r="Y54" s="758">
        <f t="shared" si="10"/>
        <v>107.75100751727093</v>
      </c>
      <c r="Z54" s="747">
        <f t="shared" si="11"/>
        <v>3.9370078740157481</v>
      </c>
      <c r="AA54" s="746">
        <f t="shared" si="12"/>
        <v>1</v>
      </c>
      <c r="AB54" s="746">
        <f t="shared" si="13"/>
        <v>3013500</v>
      </c>
      <c r="AC54" s="746">
        <f t="shared" si="14"/>
        <v>0.10642074816520587</v>
      </c>
      <c r="AD54" s="759" t="s">
        <v>594</v>
      </c>
      <c r="AE54" s="746">
        <f t="shared" si="27"/>
        <v>5</v>
      </c>
      <c r="AF54" s="758">
        <f t="shared" si="16"/>
        <v>29</v>
      </c>
      <c r="AG54" s="758">
        <f t="shared" si="17"/>
        <v>11.600000000000001</v>
      </c>
      <c r="AH54" s="758">
        <f t="shared" si="18"/>
        <v>11.600000000000001</v>
      </c>
      <c r="AI54" s="758">
        <f t="shared" si="19"/>
        <v>5.8000000000000007</v>
      </c>
      <c r="AJ54" s="746">
        <f t="shared" si="20"/>
        <v>58</v>
      </c>
      <c r="AK54" s="4">
        <f t="shared" si="21"/>
        <v>0</v>
      </c>
      <c r="AL54" s="4">
        <f t="shared" si="22"/>
        <v>0</v>
      </c>
      <c r="AM54" s="4">
        <f t="shared" si="23"/>
        <v>1</v>
      </c>
      <c r="AN54" s="4">
        <f t="shared" si="24"/>
        <v>3</v>
      </c>
      <c r="AO54" s="4">
        <f t="shared" si="25"/>
        <v>4</v>
      </c>
      <c r="AP54" s="4"/>
      <c r="AQ54" s="4"/>
      <c r="AR54" s="4"/>
    </row>
    <row r="55" spans="1:44">
      <c r="A55" s="746" t="s">
        <v>787</v>
      </c>
      <c r="B55" s="746">
        <v>1482</v>
      </c>
      <c r="C55" s="747">
        <v>1482</v>
      </c>
      <c r="D55" s="746">
        <f t="shared" si="0"/>
        <v>1482</v>
      </c>
      <c r="E55" s="299">
        <v>1482</v>
      </c>
      <c r="F55" s="757">
        <f t="shared" si="1"/>
        <v>5.7347392860597852E-3</v>
      </c>
      <c r="G55" s="746">
        <v>26</v>
      </c>
      <c r="H55" s="746">
        <f t="shared" si="4"/>
        <v>57</v>
      </c>
      <c r="I55" s="746">
        <v>15</v>
      </c>
      <c r="J55" s="747">
        <f t="shared" si="5"/>
        <v>2.4671709038299965</v>
      </c>
      <c r="K55" s="746">
        <f t="shared" si="2"/>
        <v>855</v>
      </c>
      <c r="L55" s="746">
        <v>600</v>
      </c>
      <c r="M55" s="746">
        <f t="shared" si="3"/>
        <v>2</v>
      </c>
      <c r="N55" s="746">
        <v>230</v>
      </c>
      <c r="O55" s="746">
        <v>225</v>
      </c>
      <c r="P55" s="746">
        <v>180</v>
      </c>
      <c r="Q55" s="746">
        <v>1200</v>
      </c>
      <c r="R55" s="746">
        <v>1080</v>
      </c>
      <c r="S55" s="746">
        <v>1200</v>
      </c>
      <c r="T55" s="746">
        <f t="shared" si="6"/>
        <v>7</v>
      </c>
      <c r="U55" s="746">
        <f t="shared" si="7"/>
        <v>5</v>
      </c>
      <c r="V55" s="746">
        <f t="shared" si="7"/>
        <v>4</v>
      </c>
      <c r="W55" s="746">
        <f t="shared" si="8"/>
        <v>7</v>
      </c>
      <c r="X55" s="746">
        <f t="shared" si="9"/>
        <v>140</v>
      </c>
      <c r="Y55" s="758">
        <f t="shared" si="10"/>
        <v>345.40392653619949</v>
      </c>
      <c r="Z55" s="747">
        <f t="shared" si="11"/>
        <v>3.9370078740157481</v>
      </c>
      <c r="AA55" s="746">
        <f t="shared" si="12"/>
        <v>1</v>
      </c>
      <c r="AB55" s="746">
        <f t="shared" si="13"/>
        <v>9315000</v>
      </c>
      <c r="AC55" s="746">
        <f t="shared" si="14"/>
        <v>0.32895612051066619</v>
      </c>
      <c r="AD55" s="759" t="s">
        <v>594</v>
      </c>
      <c r="AE55" s="746">
        <f t="shared" si="27"/>
        <v>5</v>
      </c>
      <c r="AF55" s="758">
        <f t="shared" si="16"/>
        <v>28.5</v>
      </c>
      <c r="AG55" s="758">
        <f t="shared" si="17"/>
        <v>11.4</v>
      </c>
      <c r="AH55" s="758">
        <f t="shared" si="18"/>
        <v>11.4</v>
      </c>
      <c r="AI55" s="758">
        <f t="shared" si="19"/>
        <v>5.7</v>
      </c>
      <c r="AJ55" s="746">
        <f t="shared" si="20"/>
        <v>57</v>
      </c>
      <c r="AK55" s="4">
        <f t="shared" si="21"/>
        <v>0</v>
      </c>
      <c r="AL55" s="4">
        <f t="shared" si="22"/>
        <v>0</v>
      </c>
      <c r="AM55" s="4">
        <f t="shared" si="23"/>
        <v>1</v>
      </c>
      <c r="AN55" s="4">
        <f t="shared" si="24"/>
        <v>2</v>
      </c>
      <c r="AO55" s="4">
        <f t="shared" si="25"/>
        <v>3</v>
      </c>
      <c r="AP55" s="4"/>
      <c r="AQ55" s="4"/>
      <c r="AR55" s="4"/>
    </row>
    <row r="56" spans="1:44">
      <c r="A56" s="746" t="s">
        <v>788</v>
      </c>
      <c r="B56" s="746">
        <v>18862</v>
      </c>
      <c r="C56" s="747">
        <v>1450.9230769230769</v>
      </c>
      <c r="D56" s="746">
        <f t="shared" si="0"/>
        <v>1451</v>
      </c>
      <c r="E56" s="299">
        <v>1655</v>
      </c>
      <c r="F56" s="757">
        <f t="shared" si="1"/>
        <v>5.614781851601045E-3</v>
      </c>
      <c r="G56" s="746">
        <v>26</v>
      </c>
      <c r="H56" s="746">
        <f t="shared" si="4"/>
        <v>64</v>
      </c>
      <c r="I56" s="746">
        <v>15</v>
      </c>
      <c r="J56" s="747">
        <f t="shared" si="5"/>
        <v>14.583333333333336</v>
      </c>
      <c r="K56" s="746">
        <f t="shared" si="2"/>
        <v>960</v>
      </c>
      <c r="L56" s="746">
        <v>600</v>
      </c>
      <c r="M56" s="746">
        <f t="shared" si="3"/>
        <v>2</v>
      </c>
      <c r="N56" s="746">
        <v>889</v>
      </c>
      <c r="O56" s="746">
        <v>406.4</v>
      </c>
      <c r="P56" s="746">
        <v>152.4</v>
      </c>
      <c r="Q56" s="746">
        <v>1200</v>
      </c>
      <c r="R56" s="746">
        <v>1080</v>
      </c>
      <c r="S56" s="746">
        <v>1200</v>
      </c>
      <c r="T56" s="746">
        <f t="shared" si="6"/>
        <v>8</v>
      </c>
      <c r="U56" s="746">
        <f t="shared" si="7"/>
        <v>1</v>
      </c>
      <c r="V56" s="746">
        <f t="shared" si="7"/>
        <v>2</v>
      </c>
      <c r="W56" s="746">
        <f t="shared" si="8"/>
        <v>8</v>
      </c>
      <c r="X56" s="746">
        <f t="shared" si="9"/>
        <v>16</v>
      </c>
      <c r="Y56" s="758">
        <f t="shared" si="10"/>
        <v>233.33333333333337</v>
      </c>
      <c r="Z56" s="747">
        <f t="shared" si="11"/>
        <v>3.9370078740157481</v>
      </c>
      <c r="AA56" s="746">
        <f t="shared" si="12"/>
        <v>5</v>
      </c>
      <c r="AB56" s="746">
        <f t="shared" si="13"/>
        <v>55060535.039999999</v>
      </c>
      <c r="AC56" s="746">
        <f t="shared" si="14"/>
        <v>1.9444444444444446</v>
      </c>
      <c r="AD56" s="759" t="s">
        <v>594</v>
      </c>
      <c r="AE56" s="746">
        <f t="shared" si="27"/>
        <v>25</v>
      </c>
      <c r="AF56" s="758">
        <f t="shared" si="16"/>
        <v>32</v>
      </c>
      <c r="AG56" s="758">
        <f t="shared" si="17"/>
        <v>12.8</v>
      </c>
      <c r="AH56" s="758">
        <f t="shared" si="18"/>
        <v>12.8</v>
      </c>
      <c r="AI56" s="758">
        <f t="shared" si="19"/>
        <v>6.4</v>
      </c>
      <c r="AJ56" s="746">
        <f t="shared" si="20"/>
        <v>63.999999999999993</v>
      </c>
      <c r="AK56" s="4">
        <f t="shared" si="21"/>
        <v>2</v>
      </c>
      <c r="AL56" s="4">
        <f t="shared" si="22"/>
        <v>2</v>
      </c>
      <c r="AM56" s="4">
        <f t="shared" si="23"/>
        <v>6</v>
      </c>
      <c r="AN56" s="4">
        <f t="shared" si="24"/>
        <v>24</v>
      </c>
      <c r="AO56" s="4">
        <f t="shared" si="25"/>
        <v>34</v>
      </c>
      <c r="AP56" s="4"/>
      <c r="AQ56" s="4"/>
      <c r="AR56" s="4"/>
    </row>
    <row r="57" spans="1:44">
      <c r="A57" s="746" t="s">
        <v>789</v>
      </c>
      <c r="B57" s="746">
        <v>14462</v>
      </c>
      <c r="C57" s="747">
        <v>1446.2</v>
      </c>
      <c r="D57" s="746">
        <f t="shared" si="0"/>
        <v>1447</v>
      </c>
      <c r="E57" s="299">
        <v>1394</v>
      </c>
      <c r="F57" s="757">
        <f t="shared" si="1"/>
        <v>5.5993034729612074E-3</v>
      </c>
      <c r="G57" s="746">
        <v>26</v>
      </c>
      <c r="H57" s="746">
        <f t="shared" si="4"/>
        <v>54</v>
      </c>
      <c r="I57" s="746">
        <v>15</v>
      </c>
      <c r="J57" s="747">
        <f t="shared" si="5"/>
        <v>0.51449055079868689</v>
      </c>
      <c r="K57" s="746">
        <f t="shared" si="2"/>
        <v>810</v>
      </c>
      <c r="L57" s="746">
        <v>600</v>
      </c>
      <c r="M57" s="746">
        <f t="shared" si="3"/>
        <v>2</v>
      </c>
      <c r="N57" s="746">
        <v>555</v>
      </c>
      <c r="O57" s="746">
        <v>500</v>
      </c>
      <c r="P57" s="746">
        <v>7</v>
      </c>
      <c r="Q57" s="746">
        <v>1200</v>
      </c>
      <c r="R57" s="746">
        <v>1080</v>
      </c>
      <c r="S57" s="746">
        <v>1200</v>
      </c>
      <c r="T57" s="746">
        <f t="shared" si="6"/>
        <v>171</v>
      </c>
      <c r="U57" s="746">
        <f t="shared" si="7"/>
        <v>2</v>
      </c>
      <c r="V57" s="746">
        <f t="shared" si="7"/>
        <v>2</v>
      </c>
      <c r="W57" s="746">
        <f t="shared" si="8"/>
        <v>171</v>
      </c>
      <c r="X57" s="746">
        <f t="shared" si="9"/>
        <v>684</v>
      </c>
      <c r="Y57" s="758">
        <f t="shared" si="10"/>
        <v>351.91153674630181</v>
      </c>
      <c r="Z57" s="747">
        <f t="shared" si="11"/>
        <v>3.9370078740157481</v>
      </c>
      <c r="AA57" s="746">
        <f t="shared" si="12"/>
        <v>1</v>
      </c>
      <c r="AB57" s="746">
        <f t="shared" si="13"/>
        <v>1942500</v>
      </c>
      <c r="AC57" s="746">
        <f t="shared" si="14"/>
        <v>6.8598740106491585E-2</v>
      </c>
      <c r="AD57" s="759" t="s">
        <v>594</v>
      </c>
      <c r="AE57" s="746">
        <f t="shared" si="27"/>
        <v>5</v>
      </c>
      <c r="AF57" s="758">
        <f t="shared" si="16"/>
        <v>27</v>
      </c>
      <c r="AG57" s="758">
        <f t="shared" si="17"/>
        <v>10.8</v>
      </c>
      <c r="AH57" s="758">
        <f t="shared" si="18"/>
        <v>10.8</v>
      </c>
      <c r="AI57" s="758">
        <f t="shared" si="19"/>
        <v>5.4</v>
      </c>
      <c r="AJ57" s="746">
        <f t="shared" si="20"/>
        <v>53.999999999999993</v>
      </c>
      <c r="AK57" s="4">
        <f t="shared" si="21"/>
        <v>0</v>
      </c>
      <c r="AL57" s="4">
        <f t="shared" si="22"/>
        <v>0</v>
      </c>
      <c r="AM57" s="4">
        <f t="shared" si="23"/>
        <v>0</v>
      </c>
      <c r="AN57" s="4">
        <f t="shared" si="24"/>
        <v>0</v>
      </c>
      <c r="AO57" s="4">
        <f t="shared" si="25"/>
        <v>0</v>
      </c>
      <c r="AP57" s="4"/>
      <c r="AQ57" s="4"/>
      <c r="AR57" s="4"/>
    </row>
    <row r="58" spans="1:44">
      <c r="A58" s="746" t="s">
        <v>790</v>
      </c>
      <c r="B58" s="746">
        <v>13302</v>
      </c>
      <c r="C58" s="747">
        <v>1445.2773892773891</v>
      </c>
      <c r="D58" s="746">
        <f t="shared" si="0"/>
        <v>1446</v>
      </c>
      <c r="E58" s="299">
        <v>1764</v>
      </c>
      <c r="F58" s="757">
        <f t="shared" si="1"/>
        <v>5.5954338783012481E-3</v>
      </c>
      <c r="G58" s="746">
        <v>26</v>
      </c>
      <c r="H58" s="746">
        <f t="shared" si="4"/>
        <v>68</v>
      </c>
      <c r="I58" s="746">
        <v>15</v>
      </c>
      <c r="J58" s="747">
        <f t="shared" si="5"/>
        <v>9.7298969751045359</v>
      </c>
      <c r="K58" s="746">
        <f t="shared" si="2"/>
        <v>1020</v>
      </c>
      <c r="L58" s="746">
        <v>600</v>
      </c>
      <c r="M58" s="746">
        <f t="shared" si="3"/>
        <v>2</v>
      </c>
      <c r="N58" s="746">
        <v>560</v>
      </c>
      <c r="O58" s="746">
        <v>410</v>
      </c>
      <c r="P58" s="746">
        <v>160</v>
      </c>
      <c r="Q58" s="746">
        <v>1200</v>
      </c>
      <c r="R58" s="746">
        <v>1080</v>
      </c>
      <c r="S58" s="746">
        <v>1200</v>
      </c>
      <c r="T58" s="746">
        <f t="shared" si="6"/>
        <v>8</v>
      </c>
      <c r="U58" s="746">
        <f t="shared" si="7"/>
        <v>2</v>
      </c>
      <c r="V58" s="746">
        <f t="shared" si="7"/>
        <v>2</v>
      </c>
      <c r="W58" s="746">
        <f t="shared" si="8"/>
        <v>8</v>
      </c>
      <c r="X58" s="746">
        <f t="shared" si="9"/>
        <v>32</v>
      </c>
      <c r="Y58" s="758">
        <f t="shared" si="10"/>
        <v>311.35670320334515</v>
      </c>
      <c r="Z58" s="747">
        <f t="shared" si="11"/>
        <v>3.9370078740157481</v>
      </c>
      <c r="AA58" s="746">
        <f t="shared" si="12"/>
        <v>3</v>
      </c>
      <c r="AB58" s="746">
        <f t="shared" si="13"/>
        <v>36736000</v>
      </c>
      <c r="AC58" s="746">
        <f t="shared" si="14"/>
        <v>1.2973195966806048</v>
      </c>
      <c r="AD58" s="759" t="s">
        <v>594</v>
      </c>
      <c r="AE58" s="746">
        <f t="shared" si="27"/>
        <v>15</v>
      </c>
      <c r="AF58" s="758">
        <f t="shared" si="16"/>
        <v>34</v>
      </c>
      <c r="AG58" s="758">
        <f t="shared" si="17"/>
        <v>13.600000000000001</v>
      </c>
      <c r="AH58" s="758">
        <f t="shared" si="18"/>
        <v>13.600000000000001</v>
      </c>
      <c r="AI58" s="758">
        <f t="shared" si="19"/>
        <v>6.8000000000000007</v>
      </c>
      <c r="AJ58" s="746">
        <f t="shared" si="20"/>
        <v>68</v>
      </c>
      <c r="AK58" s="4">
        <f t="shared" si="21"/>
        <v>1</v>
      </c>
      <c r="AL58" s="4">
        <f t="shared" si="22"/>
        <v>1</v>
      </c>
      <c r="AM58" s="4">
        <f t="shared" si="23"/>
        <v>3</v>
      </c>
      <c r="AN58" s="4">
        <f t="shared" si="24"/>
        <v>13</v>
      </c>
      <c r="AO58" s="4">
        <f t="shared" si="25"/>
        <v>18</v>
      </c>
      <c r="AP58" s="4"/>
      <c r="AQ58" s="4"/>
      <c r="AR58" s="4"/>
    </row>
    <row r="59" spans="1:44">
      <c r="A59" s="746" t="s">
        <v>791</v>
      </c>
      <c r="B59" s="746">
        <v>2825</v>
      </c>
      <c r="C59" s="747">
        <v>1412.5</v>
      </c>
      <c r="D59" s="746">
        <f t="shared" si="0"/>
        <v>1413</v>
      </c>
      <c r="E59" s="299">
        <v>1519</v>
      </c>
      <c r="F59" s="757">
        <f t="shared" si="1"/>
        <v>5.4677372545225891E-3</v>
      </c>
      <c r="G59" s="746">
        <v>26</v>
      </c>
      <c r="H59" s="746">
        <f t="shared" si="4"/>
        <v>59</v>
      </c>
      <c r="I59" s="746">
        <v>15</v>
      </c>
      <c r="J59" s="747">
        <f t="shared" si="5"/>
        <v>0.51449055079868689</v>
      </c>
      <c r="K59" s="746">
        <f t="shared" si="2"/>
        <v>885</v>
      </c>
      <c r="L59" s="746">
        <v>600</v>
      </c>
      <c r="M59" s="746">
        <f t="shared" si="3"/>
        <v>2</v>
      </c>
      <c r="N59" s="746">
        <v>555</v>
      </c>
      <c r="O59" s="746">
        <v>500</v>
      </c>
      <c r="P59" s="746">
        <v>7</v>
      </c>
      <c r="Q59" s="746">
        <v>1200</v>
      </c>
      <c r="R59" s="746">
        <v>1080</v>
      </c>
      <c r="S59" s="746">
        <v>1200</v>
      </c>
      <c r="T59" s="746">
        <f t="shared" si="6"/>
        <v>171</v>
      </c>
      <c r="U59" s="746">
        <f t="shared" si="7"/>
        <v>2</v>
      </c>
      <c r="V59" s="746">
        <f t="shared" si="7"/>
        <v>2</v>
      </c>
      <c r="W59" s="746">
        <f t="shared" si="8"/>
        <v>171</v>
      </c>
      <c r="X59" s="746">
        <f t="shared" si="9"/>
        <v>684</v>
      </c>
      <c r="Y59" s="758">
        <f t="shared" si="10"/>
        <v>351.91153674630181</v>
      </c>
      <c r="Z59" s="747">
        <f t="shared" si="11"/>
        <v>3.9370078740157481</v>
      </c>
      <c r="AA59" s="746">
        <f t="shared" si="12"/>
        <v>1</v>
      </c>
      <c r="AB59" s="746">
        <f t="shared" si="13"/>
        <v>1942500</v>
      </c>
      <c r="AC59" s="746">
        <f t="shared" si="14"/>
        <v>6.8598740106491585E-2</v>
      </c>
      <c r="AD59" s="759" t="s">
        <v>594</v>
      </c>
      <c r="AE59" s="746">
        <f t="shared" si="27"/>
        <v>5</v>
      </c>
      <c r="AF59" s="758">
        <f t="shared" si="16"/>
        <v>29.5</v>
      </c>
      <c r="AG59" s="758">
        <f t="shared" si="17"/>
        <v>11.8</v>
      </c>
      <c r="AH59" s="758">
        <f t="shared" si="18"/>
        <v>11.8</v>
      </c>
      <c r="AI59" s="758">
        <f t="shared" si="19"/>
        <v>5.9</v>
      </c>
      <c r="AJ59" s="746">
        <f t="shared" si="20"/>
        <v>58.999999999999993</v>
      </c>
      <c r="AK59" s="4">
        <f t="shared" si="21"/>
        <v>0</v>
      </c>
      <c r="AL59" s="4">
        <f t="shared" si="22"/>
        <v>0</v>
      </c>
      <c r="AM59" s="4">
        <f t="shared" si="23"/>
        <v>0</v>
      </c>
      <c r="AN59" s="4">
        <f t="shared" si="24"/>
        <v>1</v>
      </c>
      <c r="AO59" s="4">
        <f t="shared" si="25"/>
        <v>1</v>
      </c>
      <c r="AP59" s="4"/>
      <c r="AQ59" s="4"/>
      <c r="AR59" s="4"/>
    </row>
    <row r="60" spans="1:44">
      <c r="A60" s="746" t="s">
        <v>792</v>
      </c>
      <c r="B60" s="746">
        <v>14048</v>
      </c>
      <c r="C60" s="747">
        <v>1388.4307692307693</v>
      </c>
      <c r="D60" s="746">
        <f t="shared" si="0"/>
        <v>1389</v>
      </c>
      <c r="E60" s="299">
        <v>1927</v>
      </c>
      <c r="F60" s="757">
        <f t="shared" si="1"/>
        <v>5.3748669826835637E-3</v>
      </c>
      <c r="G60" s="746">
        <v>26</v>
      </c>
      <c r="H60" s="746">
        <f t="shared" si="4"/>
        <v>75</v>
      </c>
      <c r="I60" s="746">
        <v>15</v>
      </c>
      <c r="J60" s="747">
        <f t="shared" si="5"/>
        <v>7.1614583333333321</v>
      </c>
      <c r="K60" s="746">
        <f t="shared" si="2"/>
        <v>1125</v>
      </c>
      <c r="L60" s="746">
        <v>600</v>
      </c>
      <c r="M60" s="746">
        <f t="shared" si="3"/>
        <v>2</v>
      </c>
      <c r="N60" s="746">
        <v>279.39999999999998</v>
      </c>
      <c r="O60" s="746">
        <v>381</v>
      </c>
      <c r="P60" s="746">
        <v>254</v>
      </c>
      <c r="Q60" s="746">
        <v>1200</v>
      </c>
      <c r="R60" s="746">
        <v>1080</v>
      </c>
      <c r="S60" s="746">
        <v>1200</v>
      </c>
      <c r="T60" s="746">
        <f t="shared" si="6"/>
        <v>5</v>
      </c>
      <c r="U60" s="746">
        <f t="shared" si="7"/>
        <v>4</v>
      </c>
      <c r="V60" s="746">
        <f t="shared" si="7"/>
        <v>2</v>
      </c>
      <c r="W60" s="746">
        <f t="shared" si="8"/>
        <v>5</v>
      </c>
      <c r="X60" s="746">
        <f t="shared" si="9"/>
        <v>40</v>
      </c>
      <c r="Y60" s="758">
        <f t="shared" si="10"/>
        <v>286.45833333333326</v>
      </c>
      <c r="Z60" s="747">
        <f t="shared" si="11"/>
        <v>3.9370078740157481</v>
      </c>
      <c r="AA60" s="746">
        <f t="shared" si="12"/>
        <v>2</v>
      </c>
      <c r="AB60" s="746">
        <f t="shared" si="13"/>
        <v>27038655.599999998</v>
      </c>
      <c r="AC60" s="746">
        <f t="shared" si="14"/>
        <v>0.95486111111111094</v>
      </c>
      <c r="AD60" s="759" t="s">
        <v>594</v>
      </c>
      <c r="AE60" s="746">
        <f t="shared" si="27"/>
        <v>10</v>
      </c>
      <c r="AF60" s="758">
        <f t="shared" si="16"/>
        <v>37.5</v>
      </c>
      <c r="AG60" s="758">
        <f t="shared" si="17"/>
        <v>15</v>
      </c>
      <c r="AH60" s="758">
        <f t="shared" si="18"/>
        <v>15</v>
      </c>
      <c r="AI60" s="758">
        <f t="shared" si="19"/>
        <v>7.5</v>
      </c>
      <c r="AJ60" s="746">
        <f t="shared" si="20"/>
        <v>75</v>
      </c>
      <c r="AK60" s="4">
        <f t="shared" si="21"/>
        <v>1</v>
      </c>
      <c r="AL60" s="4">
        <f t="shared" si="22"/>
        <v>1</v>
      </c>
      <c r="AM60" s="4">
        <f t="shared" si="23"/>
        <v>3</v>
      </c>
      <c r="AN60" s="4">
        <f t="shared" si="24"/>
        <v>11</v>
      </c>
      <c r="AO60" s="4">
        <f t="shared" si="25"/>
        <v>16</v>
      </c>
      <c r="AP60" s="4"/>
      <c r="AQ60" s="4"/>
      <c r="AR60" s="4"/>
    </row>
    <row r="61" spans="1:44">
      <c r="A61" s="746" t="s">
        <v>793</v>
      </c>
      <c r="B61" s="746">
        <v>9452</v>
      </c>
      <c r="C61" s="747">
        <v>1258.439393939394</v>
      </c>
      <c r="D61" s="746">
        <f t="shared" si="0"/>
        <v>1259</v>
      </c>
      <c r="E61" s="299">
        <v>1733</v>
      </c>
      <c r="F61" s="757">
        <f t="shared" si="1"/>
        <v>4.8718196768888456E-3</v>
      </c>
      <c r="G61" s="746">
        <v>26</v>
      </c>
      <c r="H61" s="746">
        <f t="shared" si="4"/>
        <v>67</v>
      </c>
      <c r="I61" s="746">
        <v>15</v>
      </c>
      <c r="J61" s="747">
        <f t="shared" si="5"/>
        <v>31.270505249343834</v>
      </c>
      <c r="K61" s="746">
        <f t="shared" si="2"/>
        <v>1005</v>
      </c>
      <c r="L61" s="746">
        <v>600</v>
      </c>
      <c r="M61" s="746">
        <f t="shared" si="3"/>
        <v>2</v>
      </c>
      <c r="N61" s="746">
        <v>762</v>
      </c>
      <c r="O61" s="746">
        <v>508</v>
      </c>
      <c r="P61" s="746">
        <v>305</v>
      </c>
      <c r="Q61" s="746">
        <v>1200</v>
      </c>
      <c r="R61" s="746">
        <v>1080</v>
      </c>
      <c r="S61" s="746">
        <v>1200</v>
      </c>
      <c r="T61" s="746">
        <f t="shared" si="6"/>
        <v>4</v>
      </c>
      <c r="U61" s="746">
        <f t="shared" si="7"/>
        <v>1</v>
      </c>
      <c r="V61" s="746">
        <f t="shared" si="7"/>
        <v>2</v>
      </c>
      <c r="W61" s="746">
        <f t="shared" si="8"/>
        <v>4</v>
      </c>
      <c r="X61" s="746">
        <f t="shared" si="9"/>
        <v>8</v>
      </c>
      <c r="Y61" s="758">
        <f t="shared" si="10"/>
        <v>250.16404199475068</v>
      </c>
      <c r="Z61" s="747">
        <f t="shared" si="11"/>
        <v>3.9370078740157481</v>
      </c>
      <c r="AA61" s="746">
        <f t="shared" si="12"/>
        <v>9</v>
      </c>
      <c r="AB61" s="746">
        <f t="shared" si="13"/>
        <v>118064280</v>
      </c>
      <c r="AC61" s="746">
        <f t="shared" si="14"/>
        <v>4.1694006999125115</v>
      </c>
      <c r="AD61" s="759" t="s">
        <v>594</v>
      </c>
      <c r="AE61" s="746">
        <f t="shared" si="27"/>
        <v>45</v>
      </c>
      <c r="AF61" s="758">
        <f t="shared" si="16"/>
        <v>33.5</v>
      </c>
      <c r="AG61" s="758">
        <f t="shared" si="17"/>
        <v>13.4</v>
      </c>
      <c r="AH61" s="758">
        <f t="shared" si="18"/>
        <v>13.4</v>
      </c>
      <c r="AI61" s="758">
        <f t="shared" si="19"/>
        <v>6.7</v>
      </c>
      <c r="AJ61" s="746">
        <f t="shared" si="20"/>
        <v>67</v>
      </c>
      <c r="AK61" s="4">
        <f t="shared" si="21"/>
        <v>4</v>
      </c>
      <c r="AL61" s="4">
        <f t="shared" si="22"/>
        <v>5</v>
      </c>
      <c r="AM61" s="4">
        <f t="shared" si="23"/>
        <v>12</v>
      </c>
      <c r="AN61" s="4">
        <f t="shared" si="24"/>
        <v>50</v>
      </c>
      <c r="AO61" s="4">
        <f t="shared" si="25"/>
        <v>71</v>
      </c>
      <c r="AP61" s="4"/>
      <c r="AQ61" s="4"/>
      <c r="AR61" s="4"/>
    </row>
    <row r="62" spans="1:44">
      <c r="A62" s="746" t="s">
        <v>794</v>
      </c>
      <c r="B62" s="746">
        <v>1245</v>
      </c>
      <c r="C62" s="747">
        <v>1245</v>
      </c>
      <c r="D62" s="746">
        <f t="shared" si="0"/>
        <v>1245</v>
      </c>
      <c r="E62" s="299">
        <v>1245</v>
      </c>
      <c r="F62" s="757">
        <f t="shared" si="1"/>
        <v>4.8176453516494151E-3</v>
      </c>
      <c r="G62" s="746">
        <v>26</v>
      </c>
      <c r="H62" s="746">
        <f t="shared" si="4"/>
        <v>48</v>
      </c>
      <c r="I62" s="746">
        <v>15</v>
      </c>
      <c r="J62" s="747">
        <f t="shared" si="5"/>
        <v>45.029510819903095</v>
      </c>
      <c r="K62" s="746">
        <f t="shared" si="2"/>
        <v>720</v>
      </c>
      <c r="L62" s="746">
        <v>600</v>
      </c>
      <c r="M62" s="746">
        <f t="shared" si="3"/>
        <v>2</v>
      </c>
      <c r="N62" s="746">
        <v>725</v>
      </c>
      <c r="O62" s="746">
        <v>700</v>
      </c>
      <c r="P62" s="746">
        <v>335</v>
      </c>
      <c r="Q62" s="746">
        <v>1200</v>
      </c>
      <c r="R62" s="746">
        <v>1080</v>
      </c>
      <c r="S62" s="746">
        <v>1200</v>
      </c>
      <c r="T62" s="746">
        <f t="shared" si="6"/>
        <v>4</v>
      </c>
      <c r="U62" s="746">
        <f t="shared" si="7"/>
        <v>1</v>
      </c>
      <c r="V62" s="746">
        <f t="shared" si="7"/>
        <v>1</v>
      </c>
      <c r="W62" s="746">
        <f t="shared" si="8"/>
        <v>4</v>
      </c>
      <c r="X62" s="746">
        <f t="shared" si="9"/>
        <v>4</v>
      </c>
      <c r="Y62" s="758">
        <f t="shared" si="10"/>
        <v>180.11804327961238</v>
      </c>
      <c r="Z62" s="747">
        <f t="shared" si="11"/>
        <v>3.9370078740157481</v>
      </c>
      <c r="AA62" s="746">
        <f t="shared" si="12"/>
        <v>13</v>
      </c>
      <c r="AB62" s="746">
        <f t="shared" si="13"/>
        <v>170012500</v>
      </c>
      <c r="AC62" s="746">
        <f t="shared" si="14"/>
        <v>6.0039347759870791</v>
      </c>
      <c r="AD62" s="759" t="s">
        <v>594</v>
      </c>
      <c r="AE62" s="746">
        <f t="shared" si="27"/>
        <v>65</v>
      </c>
      <c r="AF62" s="758">
        <f t="shared" si="16"/>
        <v>24</v>
      </c>
      <c r="AG62" s="758">
        <f t="shared" si="17"/>
        <v>9.6000000000000014</v>
      </c>
      <c r="AH62" s="758">
        <f t="shared" si="18"/>
        <v>9.6000000000000014</v>
      </c>
      <c r="AI62" s="758">
        <f t="shared" si="19"/>
        <v>4.8000000000000007</v>
      </c>
      <c r="AJ62" s="746">
        <f t="shared" si="20"/>
        <v>48</v>
      </c>
      <c r="AK62" s="4">
        <f t="shared" si="21"/>
        <v>6</v>
      </c>
      <c r="AL62" s="4">
        <f t="shared" si="22"/>
        <v>7</v>
      </c>
      <c r="AM62" s="4">
        <f t="shared" si="23"/>
        <v>17</v>
      </c>
      <c r="AN62" s="4">
        <f t="shared" si="24"/>
        <v>72</v>
      </c>
      <c r="AO62" s="4">
        <f t="shared" si="25"/>
        <v>102</v>
      </c>
      <c r="AP62" s="4"/>
      <c r="AQ62" s="4"/>
      <c r="AR62" s="4"/>
    </row>
    <row r="63" spans="1:44">
      <c r="A63" s="746" t="s">
        <v>795</v>
      </c>
      <c r="B63" s="746">
        <v>1153</v>
      </c>
      <c r="C63" s="747">
        <v>1153</v>
      </c>
      <c r="D63" s="746">
        <f t="shared" si="0"/>
        <v>1153</v>
      </c>
      <c r="E63" s="299">
        <v>1153</v>
      </c>
      <c r="F63" s="757">
        <f t="shared" si="1"/>
        <v>4.4616426429331529E-3</v>
      </c>
      <c r="G63" s="746">
        <v>26</v>
      </c>
      <c r="H63" s="746">
        <f t="shared" si="4"/>
        <v>45</v>
      </c>
      <c r="I63" s="746">
        <v>15</v>
      </c>
      <c r="J63" s="747">
        <f t="shared" si="5"/>
        <v>32.986111111111107</v>
      </c>
      <c r="K63" s="746">
        <f t="shared" si="2"/>
        <v>675</v>
      </c>
      <c r="L63" s="746">
        <v>600</v>
      </c>
      <c r="M63" s="746">
        <f t="shared" si="3"/>
        <v>2</v>
      </c>
      <c r="N63" s="746">
        <v>965.19999999999993</v>
      </c>
      <c r="O63" s="746">
        <v>508</v>
      </c>
      <c r="P63" s="746">
        <v>254</v>
      </c>
      <c r="Q63" s="746">
        <v>1200</v>
      </c>
      <c r="R63" s="746">
        <v>1080</v>
      </c>
      <c r="S63" s="746">
        <v>1200</v>
      </c>
      <c r="T63" s="746">
        <f t="shared" si="6"/>
        <v>5</v>
      </c>
      <c r="U63" s="746">
        <f t="shared" si="7"/>
        <v>1</v>
      </c>
      <c r="V63" s="746">
        <f t="shared" si="7"/>
        <v>2</v>
      </c>
      <c r="W63" s="746">
        <f t="shared" si="8"/>
        <v>5</v>
      </c>
      <c r="X63" s="746">
        <f t="shared" si="9"/>
        <v>10</v>
      </c>
      <c r="Y63" s="758">
        <f t="shared" si="10"/>
        <v>329.86111111111109</v>
      </c>
      <c r="Z63" s="747">
        <f t="shared" si="11"/>
        <v>3.9370078740157481</v>
      </c>
      <c r="AA63" s="746">
        <f t="shared" si="12"/>
        <v>5</v>
      </c>
      <c r="AB63" s="746">
        <f t="shared" si="13"/>
        <v>124541686.39999999</v>
      </c>
      <c r="AC63" s="746">
        <f t="shared" si="14"/>
        <v>4.3981481481481479</v>
      </c>
      <c r="AD63" s="759" t="s">
        <v>594</v>
      </c>
      <c r="AE63" s="746">
        <f t="shared" si="27"/>
        <v>25</v>
      </c>
      <c r="AF63" s="758">
        <f t="shared" si="16"/>
        <v>22.5</v>
      </c>
      <c r="AG63" s="758">
        <f t="shared" si="17"/>
        <v>9</v>
      </c>
      <c r="AH63" s="758">
        <f t="shared" si="18"/>
        <v>9</v>
      </c>
      <c r="AI63" s="758">
        <f t="shared" si="19"/>
        <v>4.5</v>
      </c>
      <c r="AJ63" s="746">
        <f t="shared" si="20"/>
        <v>45</v>
      </c>
      <c r="AK63" s="4">
        <f t="shared" si="21"/>
        <v>2</v>
      </c>
      <c r="AL63" s="4">
        <f t="shared" si="22"/>
        <v>3</v>
      </c>
      <c r="AM63" s="4">
        <f t="shared" si="23"/>
        <v>6</v>
      </c>
      <c r="AN63" s="4">
        <f t="shared" si="24"/>
        <v>27</v>
      </c>
      <c r="AO63" s="4">
        <f t="shared" si="25"/>
        <v>38</v>
      </c>
      <c r="AP63" s="4"/>
      <c r="AQ63" s="4"/>
      <c r="AR63" s="4"/>
    </row>
    <row r="64" spans="1:44">
      <c r="A64" s="746" t="s">
        <v>796</v>
      </c>
      <c r="B64" s="746">
        <v>13580</v>
      </c>
      <c r="C64" s="747">
        <v>1131.6666666666667</v>
      </c>
      <c r="D64" s="746">
        <f t="shared" si="0"/>
        <v>1132</v>
      </c>
      <c r="E64" s="299">
        <v>1511</v>
      </c>
      <c r="F64" s="757">
        <f t="shared" si="1"/>
        <v>4.3803811550740058E-3</v>
      </c>
      <c r="G64" s="746">
        <v>26</v>
      </c>
      <c r="H64" s="746">
        <f t="shared" si="4"/>
        <v>59</v>
      </c>
      <c r="I64" s="746">
        <v>15</v>
      </c>
      <c r="J64" s="747">
        <f t="shared" si="5"/>
        <v>3.1597222222222223</v>
      </c>
      <c r="K64" s="746">
        <f t="shared" si="2"/>
        <v>885</v>
      </c>
      <c r="L64" s="746">
        <v>600</v>
      </c>
      <c r="M64" s="746">
        <f t="shared" si="3"/>
        <v>2</v>
      </c>
      <c r="N64" s="746">
        <v>660.4</v>
      </c>
      <c r="O64" s="746">
        <v>177.8</v>
      </c>
      <c r="P64" s="746">
        <v>101.6</v>
      </c>
      <c r="Q64" s="746">
        <v>1200</v>
      </c>
      <c r="R64" s="746">
        <v>1080</v>
      </c>
      <c r="S64" s="746">
        <v>1200</v>
      </c>
      <c r="T64" s="746">
        <f t="shared" si="6"/>
        <v>12</v>
      </c>
      <c r="U64" s="746">
        <f t="shared" si="7"/>
        <v>1</v>
      </c>
      <c r="V64" s="746">
        <f t="shared" si="7"/>
        <v>6</v>
      </c>
      <c r="W64" s="746">
        <f t="shared" si="8"/>
        <v>12</v>
      </c>
      <c r="X64" s="746">
        <f t="shared" si="9"/>
        <v>72</v>
      </c>
      <c r="Y64" s="758">
        <f t="shared" si="10"/>
        <v>227.5</v>
      </c>
      <c r="Z64" s="747">
        <f t="shared" si="11"/>
        <v>3.9370078740157481</v>
      </c>
      <c r="AA64" s="746">
        <f t="shared" si="12"/>
        <v>1</v>
      </c>
      <c r="AB64" s="746">
        <f t="shared" si="13"/>
        <v>11929782.592</v>
      </c>
      <c r="AC64" s="746">
        <f t="shared" si="14"/>
        <v>0.42129629629629634</v>
      </c>
      <c r="AD64" s="759" t="s">
        <v>594</v>
      </c>
      <c r="AE64" s="746">
        <f t="shared" si="27"/>
        <v>5</v>
      </c>
      <c r="AF64" s="758">
        <f t="shared" si="16"/>
        <v>29.5</v>
      </c>
      <c r="AG64" s="758">
        <f t="shared" si="17"/>
        <v>11.8</v>
      </c>
      <c r="AH64" s="758">
        <f t="shared" si="18"/>
        <v>11.8</v>
      </c>
      <c r="AI64" s="758">
        <f t="shared" si="19"/>
        <v>5.9</v>
      </c>
      <c r="AJ64" s="746">
        <f t="shared" si="20"/>
        <v>58.999999999999993</v>
      </c>
      <c r="AK64" s="4">
        <f t="shared" si="21"/>
        <v>0</v>
      </c>
      <c r="AL64" s="4">
        <f t="shared" si="22"/>
        <v>0</v>
      </c>
      <c r="AM64" s="4">
        <f t="shared" si="23"/>
        <v>1</v>
      </c>
      <c r="AN64" s="4">
        <f t="shared" si="24"/>
        <v>5</v>
      </c>
      <c r="AO64" s="4">
        <f t="shared" si="25"/>
        <v>6</v>
      </c>
      <c r="AP64" s="4"/>
      <c r="AQ64" s="4"/>
      <c r="AR64" s="4"/>
    </row>
    <row r="65" spans="1:44">
      <c r="A65" s="746" t="s">
        <v>797</v>
      </c>
      <c r="B65" s="746">
        <v>2242</v>
      </c>
      <c r="C65" s="747">
        <v>1121</v>
      </c>
      <c r="D65" s="746">
        <f t="shared" si="0"/>
        <v>1121</v>
      </c>
      <c r="E65" s="299">
        <v>1359</v>
      </c>
      <c r="F65" s="757">
        <f t="shared" si="1"/>
        <v>4.3378156138144533E-3</v>
      </c>
      <c r="G65" s="746">
        <v>26</v>
      </c>
      <c r="H65" s="746">
        <f t="shared" si="4"/>
        <v>53</v>
      </c>
      <c r="I65" s="746">
        <v>15</v>
      </c>
      <c r="J65" s="747">
        <f t="shared" si="5"/>
        <v>9.8782185753347882</v>
      </c>
      <c r="K65" s="746">
        <f t="shared" si="2"/>
        <v>795</v>
      </c>
      <c r="L65" s="746">
        <v>600</v>
      </c>
      <c r="M65" s="746">
        <f t="shared" si="3"/>
        <v>2</v>
      </c>
      <c r="N65" s="746">
        <v>560</v>
      </c>
      <c r="O65" s="746">
        <v>370</v>
      </c>
      <c r="P65" s="746">
        <v>180</v>
      </c>
      <c r="Q65" s="746">
        <v>1200</v>
      </c>
      <c r="R65" s="746">
        <v>1080</v>
      </c>
      <c r="S65" s="746">
        <v>1200</v>
      </c>
      <c r="T65" s="746">
        <f t="shared" si="6"/>
        <v>7</v>
      </c>
      <c r="U65" s="746">
        <f t="shared" si="7"/>
        <v>2</v>
      </c>
      <c r="V65" s="746">
        <f t="shared" si="7"/>
        <v>2</v>
      </c>
      <c r="W65" s="746">
        <f t="shared" si="8"/>
        <v>7</v>
      </c>
      <c r="X65" s="746">
        <f t="shared" si="9"/>
        <v>28</v>
      </c>
      <c r="Y65" s="758">
        <f t="shared" si="10"/>
        <v>276.59012010937408</v>
      </c>
      <c r="Z65" s="747">
        <f t="shared" si="11"/>
        <v>3.9370078740157481</v>
      </c>
      <c r="AA65" s="746">
        <f t="shared" si="12"/>
        <v>2</v>
      </c>
      <c r="AB65" s="746">
        <f t="shared" si="13"/>
        <v>37296000</v>
      </c>
      <c r="AC65" s="746">
        <f t="shared" si="14"/>
        <v>1.3170958100446384</v>
      </c>
      <c r="AD65" s="759" t="s">
        <v>594</v>
      </c>
      <c r="AE65" s="746">
        <f t="shared" si="27"/>
        <v>10</v>
      </c>
      <c r="AF65" s="758">
        <f t="shared" si="16"/>
        <v>26.5</v>
      </c>
      <c r="AG65" s="758">
        <f t="shared" si="17"/>
        <v>10.600000000000001</v>
      </c>
      <c r="AH65" s="758">
        <f t="shared" si="18"/>
        <v>10.600000000000001</v>
      </c>
      <c r="AI65" s="758">
        <f t="shared" si="19"/>
        <v>5.3000000000000007</v>
      </c>
      <c r="AJ65" s="746">
        <f t="shared" si="20"/>
        <v>53</v>
      </c>
      <c r="AK65" s="4">
        <f t="shared" si="21"/>
        <v>1</v>
      </c>
      <c r="AL65" s="4">
        <f t="shared" si="22"/>
        <v>1</v>
      </c>
      <c r="AM65" s="4">
        <f t="shared" si="23"/>
        <v>3</v>
      </c>
      <c r="AN65" s="4">
        <f t="shared" si="24"/>
        <v>11</v>
      </c>
      <c r="AO65" s="4">
        <f t="shared" si="25"/>
        <v>16</v>
      </c>
      <c r="AP65" s="4"/>
      <c r="AQ65" s="4"/>
      <c r="AR65" s="4"/>
    </row>
    <row r="66" spans="1:44">
      <c r="A66" s="746" t="s">
        <v>798</v>
      </c>
      <c r="B66" s="746">
        <v>6222</v>
      </c>
      <c r="C66" s="747">
        <v>1116.6363636363635</v>
      </c>
      <c r="D66" s="746">
        <f t="shared" si="0"/>
        <v>1117</v>
      </c>
      <c r="E66" s="299">
        <v>1482</v>
      </c>
      <c r="F66" s="757">
        <f t="shared" si="1"/>
        <v>4.3223372351746158E-3</v>
      </c>
      <c r="G66" s="746">
        <v>26</v>
      </c>
      <c r="H66" s="746">
        <f t="shared" si="4"/>
        <v>57</v>
      </c>
      <c r="I66" s="746">
        <v>15</v>
      </c>
      <c r="J66" s="747">
        <f t="shared" si="5"/>
        <v>7.8125000000000009</v>
      </c>
      <c r="K66" s="746">
        <f t="shared" si="2"/>
        <v>855</v>
      </c>
      <c r="L66" s="746">
        <v>600</v>
      </c>
      <c r="M66" s="746">
        <f t="shared" si="3"/>
        <v>2</v>
      </c>
      <c r="N66" s="746">
        <v>508</v>
      </c>
      <c r="O66" s="746">
        <v>381</v>
      </c>
      <c r="P66" s="746">
        <v>152.4</v>
      </c>
      <c r="Q66" s="746">
        <v>1200</v>
      </c>
      <c r="R66" s="746">
        <v>1080</v>
      </c>
      <c r="S66" s="746">
        <v>1200</v>
      </c>
      <c r="T66" s="746">
        <f t="shared" si="6"/>
        <v>8</v>
      </c>
      <c r="U66" s="746">
        <f t="shared" si="7"/>
        <v>2</v>
      </c>
      <c r="V66" s="746">
        <f t="shared" si="7"/>
        <v>2</v>
      </c>
      <c r="W66" s="746">
        <f t="shared" si="8"/>
        <v>8</v>
      </c>
      <c r="X66" s="746">
        <f t="shared" si="9"/>
        <v>32</v>
      </c>
      <c r="Y66" s="758">
        <f t="shared" si="10"/>
        <v>250.00000000000003</v>
      </c>
      <c r="Z66" s="747">
        <f t="shared" si="11"/>
        <v>3.9370078740157481</v>
      </c>
      <c r="AA66" s="746">
        <f t="shared" si="12"/>
        <v>2</v>
      </c>
      <c r="AB66" s="746">
        <f t="shared" si="13"/>
        <v>29496715.199999999</v>
      </c>
      <c r="AC66" s="746">
        <f t="shared" si="14"/>
        <v>1.0416666666666667</v>
      </c>
      <c r="AD66" s="759" t="s">
        <v>594</v>
      </c>
      <c r="AE66" s="746">
        <f t="shared" si="27"/>
        <v>10</v>
      </c>
      <c r="AF66" s="758">
        <f t="shared" si="16"/>
        <v>28.5</v>
      </c>
      <c r="AG66" s="758">
        <f t="shared" si="17"/>
        <v>11.4</v>
      </c>
      <c r="AH66" s="758">
        <f t="shared" si="18"/>
        <v>11.4</v>
      </c>
      <c r="AI66" s="758">
        <f t="shared" si="19"/>
        <v>5.7</v>
      </c>
      <c r="AJ66" s="746">
        <f t="shared" si="20"/>
        <v>57</v>
      </c>
      <c r="AK66" s="4">
        <f t="shared" si="21"/>
        <v>1</v>
      </c>
      <c r="AL66" s="4">
        <f t="shared" si="22"/>
        <v>1</v>
      </c>
      <c r="AM66" s="4">
        <f t="shared" si="23"/>
        <v>2</v>
      </c>
      <c r="AN66" s="4">
        <f t="shared" si="24"/>
        <v>11</v>
      </c>
      <c r="AO66" s="4">
        <f t="shared" si="25"/>
        <v>15</v>
      </c>
      <c r="AP66" s="4"/>
      <c r="AQ66" s="4"/>
      <c r="AR66" s="4"/>
    </row>
    <row r="67" spans="1:44">
      <c r="A67" s="759" t="s">
        <v>799</v>
      </c>
      <c r="B67" s="746">
        <v>11157</v>
      </c>
      <c r="C67" s="747">
        <v>1111.6666666666665</v>
      </c>
      <c r="D67" s="746">
        <f t="shared" ref="D67:D130" si="28">ROUNDUP(C67,0)</f>
        <v>1112</v>
      </c>
      <c r="E67" s="299">
        <v>1464</v>
      </c>
      <c r="F67" s="757">
        <f t="shared" ref="F67:F130" si="29">D67/$D$1</f>
        <v>4.3029892618748188E-3</v>
      </c>
      <c r="G67" s="746">
        <v>26</v>
      </c>
      <c r="H67" s="746">
        <f t="shared" si="4"/>
        <v>57</v>
      </c>
      <c r="I67" s="746">
        <v>15</v>
      </c>
      <c r="J67" s="747">
        <f t="shared" si="5"/>
        <v>140.25590551181105</v>
      </c>
      <c r="K67" s="746">
        <f t="shared" ref="K67:K130" si="30">H67*I67</f>
        <v>855</v>
      </c>
      <c r="L67" s="746">
        <v>600</v>
      </c>
      <c r="M67" s="746">
        <f t="shared" ref="M67:M130" si="31">ROUNDUP(K67/L67,0)</f>
        <v>2</v>
      </c>
      <c r="N67" s="746">
        <v>1219.2</v>
      </c>
      <c r="O67" s="746">
        <v>1158.24</v>
      </c>
      <c r="P67" s="763">
        <v>375</v>
      </c>
      <c r="Q67" s="746">
        <v>1200</v>
      </c>
      <c r="R67" s="746">
        <v>1200</v>
      </c>
      <c r="S67" s="746">
        <v>1200</v>
      </c>
      <c r="T67" s="746">
        <f t="shared" si="6"/>
        <v>3</v>
      </c>
      <c r="U67" s="746">
        <f>ROUND(Q67/N67,0)</f>
        <v>1</v>
      </c>
      <c r="V67" s="746">
        <f>ROUNDDOWN(R67/O67,0)</f>
        <v>1</v>
      </c>
      <c r="W67" s="746">
        <f t="shared" si="8"/>
        <v>3</v>
      </c>
      <c r="X67" s="746">
        <f t="shared" si="9"/>
        <v>3</v>
      </c>
      <c r="Y67" s="758">
        <f t="shared" si="10"/>
        <v>420.76771653543312</v>
      </c>
      <c r="Z67" s="747">
        <f t="shared" si="11"/>
        <v>3.9370078740157481</v>
      </c>
      <c r="AA67" s="746">
        <f t="shared" si="12"/>
        <v>20</v>
      </c>
      <c r="AB67" s="746">
        <f t="shared" si="13"/>
        <v>529547328.00000006</v>
      </c>
      <c r="AC67" s="746">
        <f t="shared" si="14"/>
        <v>18.700787401574807</v>
      </c>
      <c r="AD67" s="759" t="s">
        <v>594</v>
      </c>
      <c r="AE67" s="746">
        <f t="shared" si="27"/>
        <v>100</v>
      </c>
      <c r="AF67" s="758">
        <f t="shared" si="16"/>
        <v>28.5</v>
      </c>
      <c r="AG67" s="758">
        <f t="shared" si="17"/>
        <v>11.4</v>
      </c>
      <c r="AH67" s="758">
        <f t="shared" si="18"/>
        <v>11.4</v>
      </c>
      <c r="AI67" s="758">
        <f t="shared" si="19"/>
        <v>5.7</v>
      </c>
      <c r="AJ67" s="746">
        <f t="shared" si="20"/>
        <v>57</v>
      </c>
      <c r="AK67" s="4">
        <f t="shared" si="21"/>
        <v>10</v>
      </c>
      <c r="AL67" s="4">
        <f t="shared" si="22"/>
        <v>11</v>
      </c>
      <c r="AM67" s="4">
        <f t="shared" si="23"/>
        <v>27</v>
      </c>
      <c r="AN67" s="4">
        <f t="shared" si="24"/>
        <v>114</v>
      </c>
      <c r="AO67" s="4">
        <f t="shared" si="25"/>
        <v>162</v>
      </c>
      <c r="AP67" s="4"/>
      <c r="AQ67" s="4"/>
      <c r="AR67" s="4"/>
    </row>
    <row r="68" spans="1:44">
      <c r="A68" s="746" t="s">
        <v>800</v>
      </c>
      <c r="B68" s="746">
        <v>6541</v>
      </c>
      <c r="C68" s="747">
        <v>1107.8</v>
      </c>
      <c r="D68" s="746">
        <f t="shared" si="28"/>
        <v>1108</v>
      </c>
      <c r="E68" s="299">
        <v>1401</v>
      </c>
      <c r="F68" s="757">
        <f t="shared" si="29"/>
        <v>4.2875108832349813E-3</v>
      </c>
      <c r="G68" s="746">
        <v>26</v>
      </c>
      <c r="H68" s="746">
        <f t="shared" ref="H68:H131" si="32">ROUNDUP(E68/G68,0)</f>
        <v>54</v>
      </c>
      <c r="I68" s="746">
        <v>15</v>
      </c>
      <c r="J68" s="747">
        <f t="shared" ref="J68:J131" si="33">AC68*7.5</f>
        <v>28.444255697156411</v>
      </c>
      <c r="K68" s="746">
        <f t="shared" si="30"/>
        <v>810</v>
      </c>
      <c r="L68" s="746">
        <v>600</v>
      </c>
      <c r="M68" s="746">
        <f t="shared" si="31"/>
        <v>2</v>
      </c>
      <c r="N68" s="746">
        <v>1067</v>
      </c>
      <c r="O68" s="746">
        <v>330</v>
      </c>
      <c r="P68" s="746">
        <v>305</v>
      </c>
      <c r="Q68" s="746">
        <v>1200</v>
      </c>
      <c r="R68" s="746">
        <v>1080</v>
      </c>
      <c r="S68" s="746">
        <v>1200</v>
      </c>
      <c r="T68" s="746">
        <f t="shared" ref="T68:T131" si="34">W68</f>
        <v>4</v>
      </c>
      <c r="U68" s="746">
        <f t="shared" ref="U68:V131" si="35">ROUNDDOWN(Q68/N68,0)</f>
        <v>1</v>
      </c>
      <c r="V68" s="746">
        <f t="shared" si="35"/>
        <v>3</v>
      </c>
      <c r="W68" s="746">
        <f t="shared" ref="W68:W131" si="36">ROUND(S68/P68,0)</f>
        <v>4</v>
      </c>
      <c r="X68" s="746">
        <f t="shared" ref="X68:X131" si="37">U68*V68*W68</f>
        <v>12</v>
      </c>
      <c r="Y68" s="758">
        <f t="shared" ref="Y68:Y131" si="38">J68*X68</f>
        <v>341.33106836587694</v>
      </c>
      <c r="Z68" s="747">
        <f t="shared" ref="Z68:Z131" si="39">CONVERT(S68,"mm","ft")</f>
        <v>3.9370078740157481</v>
      </c>
      <c r="AA68" s="746">
        <f t="shared" ref="AA68:AA131" si="40">IFERROR(ROUNDUP(H68/X68*1.05,0),0)</f>
        <v>5</v>
      </c>
      <c r="AB68" s="746">
        <f t="shared" ref="AB68:AB131" si="41">N68*O68*P68</f>
        <v>107393550</v>
      </c>
      <c r="AC68" s="746">
        <f t="shared" ref="AC68:AC131" si="42">CONVERT(AB68,"mm^3","ft^3")</f>
        <v>3.7925674262875213</v>
      </c>
      <c r="AD68" s="759" t="s">
        <v>594</v>
      </c>
      <c r="AE68" s="746">
        <f t="shared" si="27"/>
        <v>25</v>
      </c>
      <c r="AF68" s="758">
        <f t="shared" ref="AF68:AF131" si="43">(H68*$AF$2)</f>
        <v>27</v>
      </c>
      <c r="AG68" s="758">
        <f t="shared" ref="AG68:AG131" si="44">(H68*$AG$2)</f>
        <v>10.8</v>
      </c>
      <c r="AH68" s="758">
        <f t="shared" ref="AH68:AH131" si="45">(H68*$AH$2)</f>
        <v>10.8</v>
      </c>
      <c r="AI68" s="758">
        <f t="shared" ref="AI68:AI131" si="46">(H68*$AI$2)</f>
        <v>5.4</v>
      </c>
      <c r="AJ68" s="746">
        <f t="shared" ref="AJ68:AJ131" si="47">SUM(AF68:AI68)</f>
        <v>53.999999999999993</v>
      </c>
      <c r="AK68" s="4">
        <f t="shared" ref="AK68:AK131" si="48">IFERROR(ROUND(AF68/X68*$AK$1,0),0)</f>
        <v>2</v>
      </c>
      <c r="AL68" s="4">
        <f t="shared" ref="AL68:AL131" si="49">IFERROR(ROUND(AG68/X68*$AL$1,0),0)</f>
        <v>3</v>
      </c>
      <c r="AM68" s="4">
        <f t="shared" ref="AM68:AM131" si="50">IFERROR(ROUND(AH68/X68*$AM$1,0),0)</f>
        <v>6</v>
      </c>
      <c r="AN68" s="4">
        <f t="shared" ref="AN68:AN131" si="51">IFERROR(ROUND(AI68/X68*$AN$1,0),0)</f>
        <v>27</v>
      </c>
      <c r="AO68" s="4">
        <f t="shared" ref="AO68:AO131" si="52">SUM(AK68:AN68)</f>
        <v>38</v>
      </c>
      <c r="AP68" s="4"/>
      <c r="AQ68" s="4"/>
      <c r="AR68" s="4"/>
    </row>
    <row r="69" spans="1:44">
      <c r="A69" s="746" t="s">
        <v>801</v>
      </c>
      <c r="B69" s="746">
        <v>11693</v>
      </c>
      <c r="C69" s="747">
        <v>1063</v>
      </c>
      <c r="D69" s="746">
        <f t="shared" si="28"/>
        <v>1063</v>
      </c>
      <c r="E69" s="299">
        <v>1408</v>
      </c>
      <c r="F69" s="757">
        <f t="shared" si="29"/>
        <v>4.1133791235368096E-3</v>
      </c>
      <c r="G69" s="746">
        <v>26</v>
      </c>
      <c r="H69" s="746">
        <f t="shared" si="32"/>
        <v>55</v>
      </c>
      <c r="I69" s="746">
        <v>15</v>
      </c>
      <c r="J69" s="747">
        <f t="shared" si="33"/>
        <v>15.190972222222221</v>
      </c>
      <c r="K69" s="746">
        <f t="shared" si="30"/>
        <v>825</v>
      </c>
      <c r="L69" s="746">
        <v>600</v>
      </c>
      <c r="M69" s="746">
        <f t="shared" si="31"/>
        <v>2</v>
      </c>
      <c r="N69" s="746">
        <v>635</v>
      </c>
      <c r="O69" s="746">
        <v>355.6</v>
      </c>
      <c r="P69" s="746">
        <v>254</v>
      </c>
      <c r="Q69" s="746">
        <v>1200</v>
      </c>
      <c r="R69" s="746">
        <v>1080</v>
      </c>
      <c r="S69" s="746">
        <v>1200</v>
      </c>
      <c r="T69" s="746">
        <f t="shared" si="34"/>
        <v>5</v>
      </c>
      <c r="U69" s="746">
        <f t="shared" si="35"/>
        <v>1</v>
      </c>
      <c r="V69" s="746">
        <f t="shared" si="35"/>
        <v>3</v>
      </c>
      <c r="W69" s="746">
        <f t="shared" si="36"/>
        <v>5</v>
      </c>
      <c r="X69" s="746">
        <f t="shared" si="37"/>
        <v>15</v>
      </c>
      <c r="Y69" s="758">
        <f t="shared" si="38"/>
        <v>227.86458333333331</v>
      </c>
      <c r="Z69" s="747">
        <f t="shared" si="39"/>
        <v>3.9370078740157481</v>
      </c>
      <c r="AA69" s="746">
        <f t="shared" si="40"/>
        <v>4</v>
      </c>
      <c r="AB69" s="746">
        <f t="shared" si="41"/>
        <v>57354724</v>
      </c>
      <c r="AC69" s="746">
        <f t="shared" si="42"/>
        <v>2.0254629629629628</v>
      </c>
      <c r="AD69" s="759" t="s">
        <v>594</v>
      </c>
      <c r="AE69" s="746">
        <f t="shared" si="27"/>
        <v>20</v>
      </c>
      <c r="AF69" s="758">
        <f t="shared" si="43"/>
        <v>27.5</v>
      </c>
      <c r="AG69" s="758">
        <f t="shared" si="44"/>
        <v>11</v>
      </c>
      <c r="AH69" s="758">
        <f t="shared" si="45"/>
        <v>11</v>
      </c>
      <c r="AI69" s="758">
        <f t="shared" si="46"/>
        <v>5.5</v>
      </c>
      <c r="AJ69" s="746">
        <f t="shared" si="47"/>
        <v>55</v>
      </c>
      <c r="AK69" s="4">
        <f t="shared" si="48"/>
        <v>2</v>
      </c>
      <c r="AL69" s="4">
        <f t="shared" si="49"/>
        <v>2</v>
      </c>
      <c r="AM69" s="4">
        <f t="shared" si="50"/>
        <v>5</v>
      </c>
      <c r="AN69" s="4">
        <f t="shared" si="51"/>
        <v>22</v>
      </c>
      <c r="AO69" s="4">
        <f t="shared" si="52"/>
        <v>31</v>
      </c>
      <c r="AP69" s="4"/>
      <c r="AQ69" s="4"/>
      <c r="AR69" s="4"/>
    </row>
    <row r="70" spans="1:44">
      <c r="A70" s="746" t="s">
        <v>802</v>
      </c>
      <c r="B70" s="746">
        <v>9110</v>
      </c>
      <c r="C70" s="747">
        <v>1031.1666666666667</v>
      </c>
      <c r="D70" s="746">
        <f t="shared" si="28"/>
        <v>1032</v>
      </c>
      <c r="E70" s="299">
        <v>1335</v>
      </c>
      <c r="F70" s="757">
        <f t="shared" si="29"/>
        <v>3.9934216890780694E-3</v>
      </c>
      <c r="G70" s="746">
        <v>26</v>
      </c>
      <c r="H70" s="746">
        <f t="shared" si="32"/>
        <v>52</v>
      </c>
      <c r="I70" s="746">
        <v>15</v>
      </c>
      <c r="J70" s="747">
        <f t="shared" si="33"/>
        <v>33.10911569739806</v>
      </c>
      <c r="K70" s="746">
        <f t="shared" si="30"/>
        <v>780</v>
      </c>
      <c r="L70" s="746">
        <v>600</v>
      </c>
      <c r="M70" s="746">
        <f t="shared" si="31"/>
        <v>2</v>
      </c>
      <c r="N70" s="746">
        <v>965</v>
      </c>
      <c r="O70" s="746">
        <v>508</v>
      </c>
      <c r="P70" s="746">
        <v>255</v>
      </c>
      <c r="Q70" s="746">
        <v>1200</v>
      </c>
      <c r="R70" s="746">
        <v>1080</v>
      </c>
      <c r="S70" s="746">
        <v>1200</v>
      </c>
      <c r="T70" s="746">
        <f t="shared" si="34"/>
        <v>5</v>
      </c>
      <c r="U70" s="746">
        <f t="shared" si="35"/>
        <v>1</v>
      </c>
      <c r="V70" s="746">
        <f t="shared" si="35"/>
        <v>2</v>
      </c>
      <c r="W70" s="746">
        <f t="shared" si="36"/>
        <v>5</v>
      </c>
      <c r="X70" s="746">
        <f t="shared" si="37"/>
        <v>10</v>
      </c>
      <c r="Y70" s="758">
        <f t="shared" si="38"/>
        <v>331.09115697398062</v>
      </c>
      <c r="Z70" s="747">
        <f t="shared" si="39"/>
        <v>3.9370078740157481</v>
      </c>
      <c r="AA70" s="746">
        <f t="shared" si="40"/>
        <v>6</v>
      </c>
      <c r="AB70" s="746">
        <f t="shared" si="41"/>
        <v>125006100</v>
      </c>
      <c r="AC70" s="746">
        <f t="shared" si="42"/>
        <v>4.4145487596530746</v>
      </c>
      <c r="AD70" s="759" t="s">
        <v>594</v>
      </c>
      <c r="AE70" s="746">
        <f t="shared" si="27"/>
        <v>30</v>
      </c>
      <c r="AF70" s="758">
        <f t="shared" si="43"/>
        <v>26</v>
      </c>
      <c r="AG70" s="758">
        <f t="shared" si="44"/>
        <v>10.4</v>
      </c>
      <c r="AH70" s="758">
        <f t="shared" si="45"/>
        <v>10.4</v>
      </c>
      <c r="AI70" s="758">
        <f t="shared" si="46"/>
        <v>5.2</v>
      </c>
      <c r="AJ70" s="746">
        <f t="shared" si="47"/>
        <v>52</v>
      </c>
      <c r="AK70" s="4">
        <f t="shared" si="48"/>
        <v>3</v>
      </c>
      <c r="AL70" s="4">
        <f t="shared" si="49"/>
        <v>3</v>
      </c>
      <c r="AM70" s="4">
        <f t="shared" si="50"/>
        <v>7</v>
      </c>
      <c r="AN70" s="4">
        <f t="shared" si="51"/>
        <v>31</v>
      </c>
      <c r="AO70" s="4">
        <f t="shared" si="52"/>
        <v>44</v>
      </c>
      <c r="AP70" s="4"/>
      <c r="AQ70" s="4"/>
      <c r="AR70" s="4"/>
    </row>
    <row r="71" spans="1:44">
      <c r="A71" s="746" t="s">
        <v>803</v>
      </c>
      <c r="B71" s="746">
        <v>5605</v>
      </c>
      <c r="C71" s="747">
        <v>992.5</v>
      </c>
      <c r="D71" s="746">
        <f t="shared" si="28"/>
        <v>993</v>
      </c>
      <c r="E71" s="299">
        <v>1168</v>
      </c>
      <c r="F71" s="757">
        <f t="shared" si="29"/>
        <v>3.8425074973396536E-3</v>
      </c>
      <c r="G71" s="746">
        <v>26</v>
      </c>
      <c r="H71" s="746">
        <f t="shared" si="32"/>
        <v>45</v>
      </c>
      <c r="I71" s="746">
        <v>15</v>
      </c>
      <c r="J71" s="747">
        <f t="shared" si="33"/>
        <v>2.0659722222222228</v>
      </c>
      <c r="K71" s="746">
        <f t="shared" si="30"/>
        <v>675</v>
      </c>
      <c r="L71" s="746">
        <v>600</v>
      </c>
      <c r="M71" s="746">
        <f t="shared" si="31"/>
        <v>2</v>
      </c>
      <c r="N71" s="746">
        <v>431.8</v>
      </c>
      <c r="O71" s="746">
        <v>177.8</v>
      </c>
      <c r="P71" s="746">
        <v>101.6</v>
      </c>
      <c r="Q71" s="746">
        <v>1200</v>
      </c>
      <c r="R71" s="746">
        <v>1080</v>
      </c>
      <c r="S71" s="746">
        <v>1200</v>
      </c>
      <c r="T71" s="746">
        <f t="shared" si="34"/>
        <v>12</v>
      </c>
      <c r="U71" s="746">
        <f t="shared" si="35"/>
        <v>2</v>
      </c>
      <c r="V71" s="746">
        <f>ROUNDDOWN(R71/O71,0)-1</f>
        <v>5</v>
      </c>
      <c r="W71" s="746">
        <f t="shared" si="36"/>
        <v>12</v>
      </c>
      <c r="X71" s="746">
        <f t="shared" si="37"/>
        <v>120</v>
      </c>
      <c r="Y71" s="758">
        <f t="shared" si="38"/>
        <v>247.91666666666674</v>
      </c>
      <c r="Z71" s="747">
        <f t="shared" si="39"/>
        <v>3.9370078740157481</v>
      </c>
      <c r="AA71" s="746">
        <f t="shared" si="40"/>
        <v>1</v>
      </c>
      <c r="AB71" s="746">
        <f t="shared" si="41"/>
        <v>7800242.4640000006</v>
      </c>
      <c r="AC71" s="746">
        <f t="shared" si="42"/>
        <v>0.27546296296296302</v>
      </c>
      <c r="AD71" s="759" t="s">
        <v>594</v>
      </c>
      <c r="AE71" s="746">
        <f t="shared" si="27"/>
        <v>5</v>
      </c>
      <c r="AF71" s="758">
        <f t="shared" si="43"/>
        <v>22.5</v>
      </c>
      <c r="AG71" s="758">
        <f t="shared" si="44"/>
        <v>9</v>
      </c>
      <c r="AH71" s="758">
        <f t="shared" si="45"/>
        <v>9</v>
      </c>
      <c r="AI71" s="758">
        <f t="shared" si="46"/>
        <v>4.5</v>
      </c>
      <c r="AJ71" s="746">
        <f t="shared" si="47"/>
        <v>45</v>
      </c>
      <c r="AK71" s="4">
        <f t="shared" si="48"/>
        <v>0</v>
      </c>
      <c r="AL71" s="4">
        <f t="shared" si="49"/>
        <v>0</v>
      </c>
      <c r="AM71" s="4">
        <f t="shared" si="50"/>
        <v>1</v>
      </c>
      <c r="AN71" s="4">
        <f t="shared" si="51"/>
        <v>2</v>
      </c>
      <c r="AO71" s="4">
        <f t="shared" si="52"/>
        <v>3</v>
      </c>
      <c r="AP71" s="4"/>
      <c r="AQ71" s="4"/>
      <c r="AR71" s="4"/>
    </row>
    <row r="72" spans="1:44">
      <c r="A72" s="746" t="s">
        <v>804</v>
      </c>
      <c r="B72" s="746">
        <v>980</v>
      </c>
      <c r="C72" s="747">
        <v>980</v>
      </c>
      <c r="D72" s="746">
        <f t="shared" si="28"/>
        <v>980</v>
      </c>
      <c r="E72" s="299">
        <v>980</v>
      </c>
      <c r="F72" s="757">
        <f t="shared" si="29"/>
        <v>3.792202766760182E-3</v>
      </c>
      <c r="G72" s="746">
        <v>26</v>
      </c>
      <c r="H72" s="746">
        <f t="shared" si="32"/>
        <v>38</v>
      </c>
      <c r="I72" s="746">
        <v>15</v>
      </c>
      <c r="J72" s="747">
        <f t="shared" si="33"/>
        <v>10.416666666666666</v>
      </c>
      <c r="K72" s="746">
        <f t="shared" si="30"/>
        <v>570</v>
      </c>
      <c r="L72" s="746">
        <v>600</v>
      </c>
      <c r="M72" s="746">
        <f t="shared" si="31"/>
        <v>1</v>
      </c>
      <c r="N72" s="746">
        <v>508</v>
      </c>
      <c r="O72" s="746">
        <v>304.8</v>
      </c>
      <c r="P72" s="746">
        <v>254</v>
      </c>
      <c r="Q72" s="746">
        <v>1200</v>
      </c>
      <c r="R72" s="746">
        <v>1080</v>
      </c>
      <c r="S72" s="746">
        <v>1200</v>
      </c>
      <c r="T72" s="746">
        <f t="shared" si="34"/>
        <v>5</v>
      </c>
      <c r="U72" s="746">
        <f t="shared" si="35"/>
        <v>2</v>
      </c>
      <c r="V72" s="746">
        <f t="shared" si="35"/>
        <v>3</v>
      </c>
      <c r="W72" s="746">
        <f t="shared" si="36"/>
        <v>5</v>
      </c>
      <c r="X72" s="746">
        <f t="shared" si="37"/>
        <v>30</v>
      </c>
      <c r="Y72" s="758">
        <f t="shared" si="38"/>
        <v>312.5</v>
      </c>
      <c r="Z72" s="747">
        <f t="shared" si="39"/>
        <v>3.9370078740157481</v>
      </c>
      <c r="AA72" s="746">
        <f t="shared" si="40"/>
        <v>2</v>
      </c>
      <c r="AB72" s="746">
        <f t="shared" si="41"/>
        <v>39328953.600000001</v>
      </c>
      <c r="AC72" s="746">
        <f t="shared" si="42"/>
        <v>1.3888888888888888</v>
      </c>
      <c r="AD72" s="759" t="s">
        <v>594</v>
      </c>
      <c r="AE72" s="746">
        <f t="shared" si="27"/>
        <v>10</v>
      </c>
      <c r="AF72" s="758">
        <f t="shared" si="43"/>
        <v>19</v>
      </c>
      <c r="AG72" s="758">
        <f t="shared" si="44"/>
        <v>7.6000000000000005</v>
      </c>
      <c r="AH72" s="758">
        <f t="shared" si="45"/>
        <v>7.6000000000000005</v>
      </c>
      <c r="AI72" s="758">
        <f t="shared" si="46"/>
        <v>3.8000000000000003</v>
      </c>
      <c r="AJ72" s="746">
        <f t="shared" si="47"/>
        <v>38</v>
      </c>
      <c r="AK72" s="4">
        <f t="shared" si="48"/>
        <v>1</v>
      </c>
      <c r="AL72" s="4">
        <f t="shared" si="49"/>
        <v>1</v>
      </c>
      <c r="AM72" s="4">
        <f t="shared" si="50"/>
        <v>2</v>
      </c>
      <c r="AN72" s="4">
        <f t="shared" si="51"/>
        <v>8</v>
      </c>
      <c r="AO72" s="4">
        <f t="shared" si="52"/>
        <v>12</v>
      </c>
      <c r="AP72" s="4"/>
      <c r="AQ72" s="4"/>
      <c r="AR72" s="4"/>
    </row>
    <row r="73" spans="1:44">
      <c r="A73" s="746" t="s">
        <v>805</v>
      </c>
      <c r="B73" s="746">
        <v>11404</v>
      </c>
      <c r="C73" s="747">
        <v>950.33333333333337</v>
      </c>
      <c r="D73" s="746">
        <f t="shared" si="28"/>
        <v>951</v>
      </c>
      <c r="E73" s="299">
        <v>1124</v>
      </c>
      <c r="F73" s="757">
        <f t="shared" si="29"/>
        <v>3.6799845216213601E-3</v>
      </c>
      <c r="G73" s="746">
        <v>26</v>
      </c>
      <c r="H73" s="746">
        <f t="shared" si="32"/>
        <v>44</v>
      </c>
      <c r="I73" s="746">
        <v>15</v>
      </c>
      <c r="J73" s="747">
        <f t="shared" si="33"/>
        <v>10.628302096499207</v>
      </c>
      <c r="K73" s="746">
        <f t="shared" si="30"/>
        <v>660</v>
      </c>
      <c r="L73" s="746">
        <v>600</v>
      </c>
      <c r="M73" s="746">
        <f t="shared" si="31"/>
        <v>2</v>
      </c>
      <c r="N73" s="746">
        <v>660</v>
      </c>
      <c r="O73" s="746">
        <v>380</v>
      </c>
      <c r="P73" s="746">
        <v>160</v>
      </c>
      <c r="Q73" s="746">
        <v>1200</v>
      </c>
      <c r="R73" s="746">
        <v>1080</v>
      </c>
      <c r="S73" s="746">
        <v>1200</v>
      </c>
      <c r="T73" s="746">
        <f t="shared" si="34"/>
        <v>8</v>
      </c>
      <c r="U73" s="746">
        <f t="shared" si="35"/>
        <v>1</v>
      </c>
      <c r="V73" s="746">
        <f t="shared" si="35"/>
        <v>2</v>
      </c>
      <c r="W73" s="746">
        <f t="shared" si="36"/>
        <v>8</v>
      </c>
      <c r="X73" s="746">
        <f t="shared" si="37"/>
        <v>16</v>
      </c>
      <c r="Y73" s="758">
        <f t="shared" si="38"/>
        <v>170.0528335439873</v>
      </c>
      <c r="Z73" s="747">
        <f t="shared" si="39"/>
        <v>3.9370078740157481</v>
      </c>
      <c r="AA73" s="746">
        <f t="shared" si="40"/>
        <v>3</v>
      </c>
      <c r="AB73" s="746">
        <f t="shared" si="41"/>
        <v>40128000</v>
      </c>
      <c r="AC73" s="746">
        <f t="shared" si="42"/>
        <v>1.4171069461998942</v>
      </c>
      <c r="AD73" s="759" t="s">
        <v>594</v>
      </c>
      <c r="AE73" s="746">
        <f t="shared" si="27"/>
        <v>15</v>
      </c>
      <c r="AF73" s="758">
        <f t="shared" si="43"/>
        <v>22</v>
      </c>
      <c r="AG73" s="758">
        <f t="shared" si="44"/>
        <v>8.8000000000000007</v>
      </c>
      <c r="AH73" s="758">
        <f t="shared" si="45"/>
        <v>8.8000000000000007</v>
      </c>
      <c r="AI73" s="758">
        <f t="shared" si="46"/>
        <v>4.4000000000000004</v>
      </c>
      <c r="AJ73" s="746">
        <f t="shared" si="47"/>
        <v>44</v>
      </c>
      <c r="AK73" s="4">
        <f t="shared" si="48"/>
        <v>1</v>
      </c>
      <c r="AL73" s="4">
        <f t="shared" si="49"/>
        <v>2</v>
      </c>
      <c r="AM73" s="4">
        <f t="shared" si="50"/>
        <v>4</v>
      </c>
      <c r="AN73" s="4">
        <f t="shared" si="51"/>
        <v>17</v>
      </c>
      <c r="AO73" s="4">
        <f t="shared" si="52"/>
        <v>24</v>
      </c>
      <c r="AP73" s="4"/>
      <c r="AQ73" s="4"/>
      <c r="AR73" s="4"/>
    </row>
    <row r="74" spans="1:44">
      <c r="A74" s="746" t="s">
        <v>806</v>
      </c>
      <c r="B74" s="746">
        <v>10272</v>
      </c>
      <c r="C74" s="747">
        <v>933.81818181818187</v>
      </c>
      <c r="D74" s="746">
        <f t="shared" si="28"/>
        <v>934</v>
      </c>
      <c r="E74" s="299">
        <v>1191</v>
      </c>
      <c r="F74" s="757">
        <f t="shared" si="29"/>
        <v>3.6142014124020509E-3</v>
      </c>
      <c r="G74" s="746">
        <v>26</v>
      </c>
      <c r="H74" s="746">
        <f t="shared" si="32"/>
        <v>46</v>
      </c>
      <c r="I74" s="746">
        <v>15</v>
      </c>
      <c r="J74" s="747">
        <f t="shared" si="33"/>
        <v>28.282810283905786</v>
      </c>
      <c r="K74" s="746">
        <f t="shared" si="30"/>
        <v>690</v>
      </c>
      <c r="L74" s="746">
        <v>600</v>
      </c>
      <c r="M74" s="746">
        <f t="shared" si="31"/>
        <v>2</v>
      </c>
      <c r="N74" s="746">
        <v>940</v>
      </c>
      <c r="O74" s="746">
        <v>355</v>
      </c>
      <c r="P74" s="746">
        <v>320</v>
      </c>
      <c r="Q74" s="746">
        <v>1200</v>
      </c>
      <c r="R74" s="746">
        <v>1080</v>
      </c>
      <c r="S74" s="746">
        <v>1200</v>
      </c>
      <c r="T74" s="746">
        <f t="shared" si="34"/>
        <v>4</v>
      </c>
      <c r="U74" s="746">
        <f t="shared" si="35"/>
        <v>1</v>
      </c>
      <c r="V74" s="746">
        <f t="shared" si="35"/>
        <v>3</v>
      </c>
      <c r="W74" s="746">
        <f t="shared" si="36"/>
        <v>4</v>
      </c>
      <c r="X74" s="746">
        <f t="shared" si="37"/>
        <v>12</v>
      </c>
      <c r="Y74" s="758">
        <f t="shared" si="38"/>
        <v>339.39372340686941</v>
      </c>
      <c r="Z74" s="747">
        <f t="shared" si="39"/>
        <v>3.9370078740157481</v>
      </c>
      <c r="AA74" s="746">
        <f t="shared" si="40"/>
        <v>5</v>
      </c>
      <c r="AB74" s="746">
        <f t="shared" si="41"/>
        <v>106784000</v>
      </c>
      <c r="AC74" s="746">
        <f t="shared" si="42"/>
        <v>3.771041371187438</v>
      </c>
      <c r="AD74" s="759" t="s">
        <v>594</v>
      </c>
      <c r="AE74" s="746">
        <f t="shared" si="27"/>
        <v>25</v>
      </c>
      <c r="AF74" s="758">
        <f t="shared" si="43"/>
        <v>23</v>
      </c>
      <c r="AG74" s="758">
        <f t="shared" si="44"/>
        <v>9.2000000000000011</v>
      </c>
      <c r="AH74" s="758">
        <f t="shared" si="45"/>
        <v>9.2000000000000011</v>
      </c>
      <c r="AI74" s="758">
        <f t="shared" si="46"/>
        <v>4.6000000000000005</v>
      </c>
      <c r="AJ74" s="746">
        <f t="shared" si="47"/>
        <v>46.000000000000007</v>
      </c>
      <c r="AK74" s="4">
        <f t="shared" si="48"/>
        <v>2</v>
      </c>
      <c r="AL74" s="4">
        <f t="shared" si="49"/>
        <v>2</v>
      </c>
      <c r="AM74" s="4">
        <f t="shared" si="50"/>
        <v>5</v>
      </c>
      <c r="AN74" s="4">
        <f t="shared" si="51"/>
        <v>23</v>
      </c>
      <c r="AO74" s="4">
        <f t="shared" si="52"/>
        <v>32</v>
      </c>
      <c r="AP74" s="4"/>
      <c r="AQ74" s="4"/>
      <c r="AR74" s="4"/>
    </row>
    <row r="75" spans="1:44">
      <c r="A75" s="763" t="s">
        <v>807</v>
      </c>
      <c r="B75" s="746">
        <v>5397</v>
      </c>
      <c r="C75" s="747">
        <v>899.5</v>
      </c>
      <c r="D75" s="746">
        <f t="shared" si="28"/>
        <v>900</v>
      </c>
      <c r="E75" s="299">
        <v>883</v>
      </c>
      <c r="F75" s="757">
        <f t="shared" si="29"/>
        <v>3.4826351939634325E-3</v>
      </c>
      <c r="G75" s="746">
        <v>26</v>
      </c>
      <c r="H75" s="746">
        <f t="shared" si="32"/>
        <v>34</v>
      </c>
      <c r="I75" s="746">
        <v>15</v>
      </c>
      <c r="J75" s="747">
        <f t="shared" si="33"/>
        <v>10.156249999999998</v>
      </c>
      <c r="K75" s="746">
        <f t="shared" si="30"/>
        <v>510</v>
      </c>
      <c r="L75" s="746">
        <v>600</v>
      </c>
      <c r="M75" s="746">
        <f t="shared" si="31"/>
        <v>1</v>
      </c>
      <c r="N75" s="746">
        <v>1320.8</v>
      </c>
      <c r="O75" s="746">
        <v>228.6</v>
      </c>
      <c r="P75" s="746">
        <v>127</v>
      </c>
      <c r="Q75" s="746">
        <v>1500</v>
      </c>
      <c r="R75" s="746">
        <v>1080</v>
      </c>
      <c r="S75" s="746">
        <v>1200</v>
      </c>
      <c r="T75" s="746">
        <f t="shared" si="34"/>
        <v>9</v>
      </c>
      <c r="U75" s="746">
        <f t="shared" si="35"/>
        <v>1</v>
      </c>
      <c r="V75" s="746">
        <f t="shared" si="35"/>
        <v>4</v>
      </c>
      <c r="W75" s="746">
        <f t="shared" si="36"/>
        <v>9</v>
      </c>
      <c r="X75" s="746">
        <f t="shared" si="37"/>
        <v>36</v>
      </c>
      <c r="Y75" s="758">
        <f t="shared" si="38"/>
        <v>365.62499999999994</v>
      </c>
      <c r="Z75" s="747">
        <f t="shared" si="39"/>
        <v>3.9370078740157481</v>
      </c>
      <c r="AA75" s="746">
        <f t="shared" si="40"/>
        <v>1</v>
      </c>
      <c r="AB75" s="746">
        <f t="shared" si="41"/>
        <v>38345729.759999998</v>
      </c>
      <c r="AC75" s="746">
        <f t="shared" si="42"/>
        <v>1.3541666666666665</v>
      </c>
      <c r="AD75" s="759" t="s">
        <v>595</v>
      </c>
      <c r="AE75" s="746">
        <f t="shared" ref="AE75:AE123" si="53">AA75*10</f>
        <v>10</v>
      </c>
      <c r="AF75" s="758">
        <f t="shared" si="43"/>
        <v>17</v>
      </c>
      <c r="AG75" s="758">
        <f t="shared" si="44"/>
        <v>6.8000000000000007</v>
      </c>
      <c r="AH75" s="758">
        <f t="shared" si="45"/>
        <v>6.8000000000000007</v>
      </c>
      <c r="AI75" s="758">
        <f t="shared" si="46"/>
        <v>3.4000000000000004</v>
      </c>
      <c r="AJ75" s="746">
        <f t="shared" si="47"/>
        <v>34</v>
      </c>
      <c r="AK75" s="4">
        <f t="shared" si="48"/>
        <v>0</v>
      </c>
      <c r="AL75" s="4">
        <f t="shared" si="49"/>
        <v>1</v>
      </c>
      <c r="AM75" s="4">
        <f t="shared" si="50"/>
        <v>1</v>
      </c>
      <c r="AN75" s="4">
        <f t="shared" si="51"/>
        <v>6</v>
      </c>
      <c r="AO75" s="4">
        <f t="shared" si="52"/>
        <v>8</v>
      </c>
      <c r="AP75" s="4"/>
      <c r="AQ75" s="4"/>
      <c r="AR75" s="4"/>
    </row>
    <row r="76" spans="1:44">
      <c r="A76" s="746" t="s">
        <v>808</v>
      </c>
      <c r="B76" s="746">
        <v>7702</v>
      </c>
      <c r="C76" s="747">
        <v>898.58333333333326</v>
      </c>
      <c r="D76" s="746">
        <f t="shared" si="28"/>
        <v>899</v>
      </c>
      <c r="E76" s="299">
        <v>1129</v>
      </c>
      <c r="F76" s="757">
        <f t="shared" si="29"/>
        <v>3.4787655993034731E-3</v>
      </c>
      <c r="G76" s="746">
        <v>26</v>
      </c>
      <c r="H76" s="746">
        <f t="shared" si="32"/>
        <v>44</v>
      </c>
      <c r="I76" s="746">
        <v>15</v>
      </c>
      <c r="J76" s="747">
        <f t="shared" si="33"/>
        <v>23.953938437185712</v>
      </c>
      <c r="K76" s="746">
        <f t="shared" si="30"/>
        <v>660</v>
      </c>
      <c r="L76" s="746">
        <v>600</v>
      </c>
      <c r="M76" s="746">
        <f t="shared" si="31"/>
        <v>2</v>
      </c>
      <c r="N76" s="746">
        <v>850</v>
      </c>
      <c r="O76" s="746">
        <v>380</v>
      </c>
      <c r="P76" s="746">
        <v>280</v>
      </c>
      <c r="Q76" s="746">
        <v>1200</v>
      </c>
      <c r="R76" s="746">
        <v>1080</v>
      </c>
      <c r="S76" s="746">
        <v>1200</v>
      </c>
      <c r="T76" s="746">
        <f t="shared" si="34"/>
        <v>4</v>
      </c>
      <c r="U76" s="746">
        <f t="shared" si="35"/>
        <v>1</v>
      </c>
      <c r="V76" s="746">
        <f t="shared" si="35"/>
        <v>2</v>
      </c>
      <c r="W76" s="746">
        <f t="shared" si="36"/>
        <v>4</v>
      </c>
      <c r="X76" s="746">
        <f t="shared" si="37"/>
        <v>8</v>
      </c>
      <c r="Y76" s="758">
        <f t="shared" si="38"/>
        <v>191.6315074974857</v>
      </c>
      <c r="Z76" s="747">
        <f t="shared" si="39"/>
        <v>3.9370078740157481</v>
      </c>
      <c r="AA76" s="746">
        <f t="shared" si="40"/>
        <v>6</v>
      </c>
      <c r="AB76" s="746">
        <f t="shared" si="41"/>
        <v>90440000</v>
      </c>
      <c r="AC76" s="746">
        <f t="shared" si="42"/>
        <v>3.1938584582914284</v>
      </c>
      <c r="AD76" s="759" t="s">
        <v>594</v>
      </c>
      <c r="AE76" s="746">
        <f t="shared" ref="AE76:AE100" si="54">AA76*5</f>
        <v>30</v>
      </c>
      <c r="AF76" s="758">
        <f t="shared" si="43"/>
        <v>22</v>
      </c>
      <c r="AG76" s="758">
        <f t="shared" si="44"/>
        <v>8.8000000000000007</v>
      </c>
      <c r="AH76" s="758">
        <f t="shared" si="45"/>
        <v>8.8000000000000007</v>
      </c>
      <c r="AI76" s="758">
        <f t="shared" si="46"/>
        <v>4.4000000000000004</v>
      </c>
      <c r="AJ76" s="746">
        <f t="shared" si="47"/>
        <v>44</v>
      </c>
      <c r="AK76" s="4">
        <f t="shared" si="48"/>
        <v>3</v>
      </c>
      <c r="AL76" s="4">
        <f t="shared" si="49"/>
        <v>3</v>
      </c>
      <c r="AM76" s="4">
        <f t="shared" si="50"/>
        <v>8</v>
      </c>
      <c r="AN76" s="4">
        <f t="shared" si="51"/>
        <v>33</v>
      </c>
      <c r="AO76" s="4">
        <f t="shared" si="52"/>
        <v>47</v>
      </c>
      <c r="AP76" s="4"/>
      <c r="AQ76" s="4"/>
      <c r="AR76" s="4"/>
    </row>
    <row r="77" spans="1:44">
      <c r="A77" s="746" t="s">
        <v>809</v>
      </c>
      <c r="B77" s="746">
        <v>5437</v>
      </c>
      <c r="C77" s="747">
        <v>892.86666666666667</v>
      </c>
      <c r="D77" s="746">
        <f t="shared" si="28"/>
        <v>893</v>
      </c>
      <c r="E77" s="299">
        <v>1093</v>
      </c>
      <c r="F77" s="757">
        <f t="shared" si="29"/>
        <v>3.4555480313437168E-3</v>
      </c>
      <c r="G77" s="746">
        <v>26</v>
      </c>
      <c r="H77" s="746">
        <f t="shared" si="32"/>
        <v>43</v>
      </c>
      <c r="I77" s="746">
        <v>15</v>
      </c>
      <c r="J77" s="747">
        <f t="shared" si="33"/>
        <v>12.499999999999998</v>
      </c>
      <c r="K77" s="746">
        <f t="shared" si="30"/>
        <v>645</v>
      </c>
      <c r="L77" s="746">
        <v>600</v>
      </c>
      <c r="M77" s="746">
        <f t="shared" si="31"/>
        <v>2</v>
      </c>
      <c r="N77" s="746">
        <v>609.6</v>
      </c>
      <c r="O77" s="746">
        <v>381</v>
      </c>
      <c r="P77" s="746">
        <v>203.2</v>
      </c>
      <c r="Q77" s="746">
        <v>1200</v>
      </c>
      <c r="R77" s="746">
        <v>1080</v>
      </c>
      <c r="S77" s="746">
        <v>1200</v>
      </c>
      <c r="T77" s="746">
        <f t="shared" si="34"/>
        <v>6</v>
      </c>
      <c r="U77" s="746">
        <f t="shared" si="35"/>
        <v>1</v>
      </c>
      <c r="V77" s="746">
        <f t="shared" si="35"/>
        <v>2</v>
      </c>
      <c r="W77" s="746">
        <f t="shared" si="36"/>
        <v>6</v>
      </c>
      <c r="X77" s="746">
        <f t="shared" si="37"/>
        <v>12</v>
      </c>
      <c r="Y77" s="758">
        <f t="shared" si="38"/>
        <v>149.99999999999997</v>
      </c>
      <c r="Z77" s="747">
        <f t="shared" si="39"/>
        <v>3.9370078740157481</v>
      </c>
      <c r="AA77" s="746">
        <f t="shared" si="40"/>
        <v>4</v>
      </c>
      <c r="AB77" s="746">
        <f t="shared" si="41"/>
        <v>47194744.32</v>
      </c>
      <c r="AC77" s="746">
        <f t="shared" si="42"/>
        <v>1.6666666666666665</v>
      </c>
      <c r="AD77" s="759" t="s">
        <v>594</v>
      </c>
      <c r="AE77" s="746">
        <f t="shared" si="54"/>
        <v>20</v>
      </c>
      <c r="AF77" s="758">
        <f t="shared" si="43"/>
        <v>21.5</v>
      </c>
      <c r="AG77" s="758">
        <f t="shared" si="44"/>
        <v>8.6</v>
      </c>
      <c r="AH77" s="758">
        <f t="shared" si="45"/>
        <v>8.6</v>
      </c>
      <c r="AI77" s="758">
        <f t="shared" si="46"/>
        <v>4.3</v>
      </c>
      <c r="AJ77" s="746">
        <f t="shared" si="47"/>
        <v>43</v>
      </c>
      <c r="AK77" s="4">
        <f t="shared" si="48"/>
        <v>2</v>
      </c>
      <c r="AL77" s="4">
        <f t="shared" si="49"/>
        <v>2</v>
      </c>
      <c r="AM77" s="4">
        <f t="shared" si="50"/>
        <v>5</v>
      </c>
      <c r="AN77" s="4">
        <f t="shared" si="51"/>
        <v>22</v>
      </c>
      <c r="AO77" s="4">
        <f t="shared" si="52"/>
        <v>31</v>
      </c>
      <c r="AP77" s="4"/>
      <c r="AQ77" s="4"/>
      <c r="AR77" s="4"/>
    </row>
    <row r="78" spans="1:44">
      <c r="A78" s="746" t="s">
        <v>810</v>
      </c>
      <c r="B78" s="746">
        <v>879</v>
      </c>
      <c r="C78" s="747">
        <v>879</v>
      </c>
      <c r="D78" s="746">
        <f t="shared" si="28"/>
        <v>879</v>
      </c>
      <c r="E78" s="299">
        <v>879</v>
      </c>
      <c r="F78" s="757">
        <f t="shared" si="29"/>
        <v>3.4013737061042858E-3</v>
      </c>
      <c r="G78" s="746">
        <v>26</v>
      </c>
      <c r="H78" s="746">
        <f t="shared" si="32"/>
        <v>34</v>
      </c>
      <c r="I78" s="746">
        <v>15</v>
      </c>
      <c r="J78" s="747">
        <f t="shared" si="33"/>
        <v>31.250000000000004</v>
      </c>
      <c r="K78" s="746">
        <f t="shared" si="30"/>
        <v>510</v>
      </c>
      <c r="L78" s="746">
        <v>600</v>
      </c>
      <c r="M78" s="746">
        <f t="shared" si="31"/>
        <v>1</v>
      </c>
      <c r="N78" s="746">
        <v>762</v>
      </c>
      <c r="O78" s="746">
        <v>508</v>
      </c>
      <c r="P78" s="746">
        <v>304.8</v>
      </c>
      <c r="Q78" s="746">
        <v>1200</v>
      </c>
      <c r="R78" s="746">
        <v>1080</v>
      </c>
      <c r="S78" s="746">
        <v>1200</v>
      </c>
      <c r="T78" s="746">
        <f t="shared" si="34"/>
        <v>4</v>
      </c>
      <c r="U78" s="746">
        <f t="shared" si="35"/>
        <v>1</v>
      </c>
      <c r="V78" s="746">
        <f t="shared" si="35"/>
        <v>2</v>
      </c>
      <c r="W78" s="746">
        <f t="shared" si="36"/>
        <v>4</v>
      </c>
      <c r="X78" s="746">
        <f t="shared" si="37"/>
        <v>8</v>
      </c>
      <c r="Y78" s="758">
        <f t="shared" si="38"/>
        <v>250.00000000000003</v>
      </c>
      <c r="Z78" s="747">
        <f t="shared" si="39"/>
        <v>3.9370078740157481</v>
      </c>
      <c r="AA78" s="746">
        <f t="shared" si="40"/>
        <v>5</v>
      </c>
      <c r="AB78" s="746">
        <f t="shared" si="41"/>
        <v>117986860.8</v>
      </c>
      <c r="AC78" s="746">
        <f t="shared" si="42"/>
        <v>4.166666666666667</v>
      </c>
      <c r="AD78" s="759" t="s">
        <v>594</v>
      </c>
      <c r="AE78" s="746">
        <f t="shared" si="54"/>
        <v>25</v>
      </c>
      <c r="AF78" s="758">
        <f t="shared" si="43"/>
        <v>17</v>
      </c>
      <c r="AG78" s="758">
        <f t="shared" si="44"/>
        <v>6.8000000000000007</v>
      </c>
      <c r="AH78" s="758">
        <f t="shared" si="45"/>
        <v>6.8000000000000007</v>
      </c>
      <c r="AI78" s="758">
        <f t="shared" si="46"/>
        <v>3.4000000000000004</v>
      </c>
      <c r="AJ78" s="746">
        <f t="shared" si="47"/>
        <v>34</v>
      </c>
      <c r="AK78" s="4">
        <f t="shared" si="48"/>
        <v>2</v>
      </c>
      <c r="AL78" s="4">
        <f t="shared" si="49"/>
        <v>3</v>
      </c>
      <c r="AM78" s="4">
        <f t="shared" si="50"/>
        <v>6</v>
      </c>
      <c r="AN78" s="4">
        <f t="shared" si="51"/>
        <v>26</v>
      </c>
      <c r="AO78" s="4">
        <f t="shared" si="52"/>
        <v>37</v>
      </c>
      <c r="AP78" s="4"/>
      <c r="AQ78" s="4"/>
      <c r="AR78" s="4"/>
    </row>
    <row r="79" spans="1:44">
      <c r="A79" s="746" t="s">
        <v>811</v>
      </c>
      <c r="B79" s="746">
        <v>7411</v>
      </c>
      <c r="C79" s="747">
        <v>859.85714285714289</v>
      </c>
      <c r="D79" s="746">
        <f t="shared" si="28"/>
        <v>860</v>
      </c>
      <c r="E79" s="299">
        <v>1121</v>
      </c>
      <c r="F79" s="757">
        <f t="shared" si="29"/>
        <v>3.3278514075650574E-3</v>
      </c>
      <c r="G79" s="746">
        <v>26</v>
      </c>
      <c r="H79" s="746">
        <f t="shared" si="32"/>
        <v>44</v>
      </c>
      <c r="I79" s="746">
        <v>15</v>
      </c>
      <c r="J79" s="747">
        <f t="shared" si="33"/>
        <v>11.71875</v>
      </c>
      <c r="K79" s="746">
        <f t="shared" si="30"/>
        <v>660</v>
      </c>
      <c r="L79" s="746">
        <v>600</v>
      </c>
      <c r="M79" s="746">
        <f t="shared" si="31"/>
        <v>2</v>
      </c>
      <c r="N79" s="746">
        <v>457.2</v>
      </c>
      <c r="O79" s="746">
        <v>381</v>
      </c>
      <c r="P79" s="746">
        <v>254</v>
      </c>
      <c r="Q79" s="746">
        <v>1200</v>
      </c>
      <c r="R79" s="746">
        <v>1080</v>
      </c>
      <c r="S79" s="746">
        <v>1200</v>
      </c>
      <c r="T79" s="746">
        <f t="shared" si="34"/>
        <v>5</v>
      </c>
      <c r="U79" s="746">
        <f t="shared" si="35"/>
        <v>2</v>
      </c>
      <c r="V79" s="746">
        <f t="shared" si="35"/>
        <v>2</v>
      </c>
      <c r="W79" s="746">
        <f t="shared" si="36"/>
        <v>5</v>
      </c>
      <c r="X79" s="746">
        <f t="shared" si="37"/>
        <v>20</v>
      </c>
      <c r="Y79" s="758">
        <f t="shared" si="38"/>
        <v>234.375</v>
      </c>
      <c r="Z79" s="747">
        <f t="shared" si="39"/>
        <v>3.9370078740157481</v>
      </c>
      <c r="AA79" s="746">
        <f t="shared" si="40"/>
        <v>3</v>
      </c>
      <c r="AB79" s="746">
        <f t="shared" si="41"/>
        <v>44245072.799999997</v>
      </c>
      <c r="AC79" s="746">
        <f t="shared" si="42"/>
        <v>1.5625</v>
      </c>
      <c r="AD79" s="759" t="s">
        <v>594</v>
      </c>
      <c r="AE79" s="746">
        <f t="shared" si="54"/>
        <v>15</v>
      </c>
      <c r="AF79" s="758">
        <f t="shared" si="43"/>
        <v>22</v>
      </c>
      <c r="AG79" s="758">
        <f t="shared" si="44"/>
        <v>8.8000000000000007</v>
      </c>
      <c r="AH79" s="758">
        <f t="shared" si="45"/>
        <v>8.8000000000000007</v>
      </c>
      <c r="AI79" s="758">
        <f t="shared" si="46"/>
        <v>4.4000000000000004</v>
      </c>
      <c r="AJ79" s="746">
        <f t="shared" si="47"/>
        <v>44</v>
      </c>
      <c r="AK79" s="4">
        <f t="shared" si="48"/>
        <v>1</v>
      </c>
      <c r="AL79" s="4">
        <f t="shared" si="49"/>
        <v>1</v>
      </c>
      <c r="AM79" s="4">
        <f t="shared" si="50"/>
        <v>3</v>
      </c>
      <c r="AN79" s="4">
        <f t="shared" si="51"/>
        <v>13</v>
      </c>
      <c r="AO79" s="4">
        <f t="shared" si="52"/>
        <v>18</v>
      </c>
      <c r="AP79" s="4"/>
      <c r="AQ79" s="4"/>
      <c r="AR79" s="4"/>
    </row>
    <row r="80" spans="1:44">
      <c r="A80" s="746" t="s">
        <v>812</v>
      </c>
      <c r="B80" s="746">
        <v>1632</v>
      </c>
      <c r="C80" s="747">
        <v>816</v>
      </c>
      <c r="D80" s="746">
        <f t="shared" si="28"/>
        <v>816</v>
      </c>
      <c r="E80" s="299">
        <v>978</v>
      </c>
      <c r="F80" s="757">
        <f t="shared" si="29"/>
        <v>3.1575892425268451E-3</v>
      </c>
      <c r="G80" s="746">
        <v>26</v>
      </c>
      <c r="H80" s="746">
        <f t="shared" si="32"/>
        <v>38</v>
      </c>
      <c r="I80" s="746">
        <v>15</v>
      </c>
      <c r="J80" s="747">
        <f t="shared" si="33"/>
        <v>12.516409581430276</v>
      </c>
      <c r="K80" s="746">
        <f t="shared" si="30"/>
        <v>570</v>
      </c>
      <c r="L80" s="746">
        <v>600</v>
      </c>
      <c r="M80" s="746">
        <f t="shared" si="31"/>
        <v>1</v>
      </c>
      <c r="N80" s="746">
        <v>508</v>
      </c>
      <c r="O80" s="746">
        <v>305</v>
      </c>
      <c r="P80" s="746">
        <v>305</v>
      </c>
      <c r="Q80" s="746">
        <v>1200</v>
      </c>
      <c r="R80" s="746">
        <v>1080</v>
      </c>
      <c r="S80" s="746">
        <v>1200</v>
      </c>
      <c r="T80" s="746">
        <f t="shared" si="34"/>
        <v>4</v>
      </c>
      <c r="U80" s="746">
        <f t="shared" si="35"/>
        <v>2</v>
      </c>
      <c r="V80" s="746">
        <f t="shared" si="35"/>
        <v>3</v>
      </c>
      <c r="W80" s="746">
        <f t="shared" si="36"/>
        <v>4</v>
      </c>
      <c r="X80" s="746">
        <f t="shared" si="37"/>
        <v>24</v>
      </c>
      <c r="Y80" s="758">
        <f t="shared" si="38"/>
        <v>300.39382995432663</v>
      </c>
      <c r="Z80" s="747">
        <f t="shared" si="39"/>
        <v>3.9370078740157481</v>
      </c>
      <c r="AA80" s="746">
        <f t="shared" si="40"/>
        <v>2</v>
      </c>
      <c r="AB80" s="746">
        <f t="shared" si="41"/>
        <v>47256700</v>
      </c>
      <c r="AC80" s="746">
        <f t="shared" si="42"/>
        <v>1.6688546108573701</v>
      </c>
      <c r="AD80" s="759" t="s">
        <v>594</v>
      </c>
      <c r="AE80" s="746">
        <f t="shared" si="54"/>
        <v>10</v>
      </c>
      <c r="AF80" s="758">
        <f t="shared" si="43"/>
        <v>19</v>
      </c>
      <c r="AG80" s="758">
        <f t="shared" si="44"/>
        <v>7.6000000000000005</v>
      </c>
      <c r="AH80" s="758">
        <f t="shared" si="45"/>
        <v>7.6000000000000005</v>
      </c>
      <c r="AI80" s="758">
        <f t="shared" si="46"/>
        <v>3.8000000000000003</v>
      </c>
      <c r="AJ80" s="746">
        <f t="shared" si="47"/>
        <v>38</v>
      </c>
      <c r="AK80" s="4">
        <f t="shared" si="48"/>
        <v>1</v>
      </c>
      <c r="AL80" s="4">
        <f t="shared" si="49"/>
        <v>1</v>
      </c>
      <c r="AM80" s="4">
        <f t="shared" si="50"/>
        <v>2</v>
      </c>
      <c r="AN80" s="4">
        <f t="shared" si="51"/>
        <v>10</v>
      </c>
      <c r="AO80" s="4">
        <f t="shared" si="52"/>
        <v>14</v>
      </c>
      <c r="AP80" s="4"/>
      <c r="AQ80" s="4"/>
      <c r="AR80" s="4"/>
    </row>
    <row r="81" spans="1:44">
      <c r="A81" s="746" t="s">
        <v>813</v>
      </c>
      <c r="B81" s="746">
        <v>800</v>
      </c>
      <c r="C81" s="747">
        <v>800</v>
      </c>
      <c r="D81" s="746">
        <f t="shared" si="28"/>
        <v>800</v>
      </c>
      <c r="E81" s="299">
        <v>800</v>
      </c>
      <c r="F81" s="757">
        <f t="shared" si="29"/>
        <v>3.0956757279674953E-3</v>
      </c>
      <c r="G81" s="746">
        <v>26</v>
      </c>
      <c r="H81" s="746">
        <f t="shared" si="32"/>
        <v>31</v>
      </c>
      <c r="I81" s="746">
        <v>15</v>
      </c>
      <c r="J81" s="747">
        <f t="shared" si="33"/>
        <v>2.145366003330432</v>
      </c>
      <c r="K81" s="746">
        <f t="shared" si="30"/>
        <v>465</v>
      </c>
      <c r="L81" s="746">
        <v>600</v>
      </c>
      <c r="M81" s="746">
        <f t="shared" si="31"/>
        <v>1</v>
      </c>
      <c r="N81" s="746">
        <v>225</v>
      </c>
      <c r="O81" s="746">
        <v>225</v>
      </c>
      <c r="P81" s="746">
        <v>160</v>
      </c>
      <c r="Q81" s="746">
        <v>1200</v>
      </c>
      <c r="R81" s="746">
        <v>1080</v>
      </c>
      <c r="S81" s="746">
        <v>1200</v>
      </c>
      <c r="T81" s="746">
        <f t="shared" si="34"/>
        <v>8</v>
      </c>
      <c r="U81" s="746">
        <f t="shared" si="35"/>
        <v>5</v>
      </c>
      <c r="V81" s="746">
        <f t="shared" si="35"/>
        <v>4</v>
      </c>
      <c r="W81" s="746">
        <f t="shared" si="36"/>
        <v>8</v>
      </c>
      <c r="X81" s="746">
        <f t="shared" si="37"/>
        <v>160</v>
      </c>
      <c r="Y81" s="758">
        <f t="shared" si="38"/>
        <v>343.25856053286913</v>
      </c>
      <c r="Z81" s="747">
        <f t="shared" si="39"/>
        <v>3.9370078740157481</v>
      </c>
      <c r="AA81" s="746">
        <f t="shared" si="40"/>
        <v>1</v>
      </c>
      <c r="AB81" s="746">
        <f t="shared" si="41"/>
        <v>8100000</v>
      </c>
      <c r="AC81" s="746">
        <f t="shared" si="42"/>
        <v>0.28604880044405762</v>
      </c>
      <c r="AD81" s="759" t="s">
        <v>594</v>
      </c>
      <c r="AE81" s="746">
        <f t="shared" si="54"/>
        <v>5</v>
      </c>
      <c r="AF81" s="758">
        <f t="shared" si="43"/>
        <v>15.5</v>
      </c>
      <c r="AG81" s="758">
        <f t="shared" si="44"/>
        <v>6.2</v>
      </c>
      <c r="AH81" s="758">
        <f t="shared" si="45"/>
        <v>6.2</v>
      </c>
      <c r="AI81" s="758">
        <f t="shared" si="46"/>
        <v>3.1</v>
      </c>
      <c r="AJ81" s="746">
        <f t="shared" si="47"/>
        <v>31</v>
      </c>
      <c r="AK81" s="4">
        <f t="shared" si="48"/>
        <v>0</v>
      </c>
      <c r="AL81" s="4">
        <f t="shared" si="49"/>
        <v>0</v>
      </c>
      <c r="AM81" s="4">
        <f t="shared" si="50"/>
        <v>0</v>
      </c>
      <c r="AN81" s="4">
        <f t="shared" si="51"/>
        <v>1</v>
      </c>
      <c r="AO81" s="4">
        <f t="shared" si="52"/>
        <v>1</v>
      </c>
      <c r="AP81" s="4"/>
      <c r="AQ81" s="4"/>
      <c r="AR81" s="4"/>
    </row>
    <row r="82" spans="1:44">
      <c r="A82" s="746" t="s">
        <v>814</v>
      </c>
      <c r="B82" s="746">
        <v>1527</v>
      </c>
      <c r="C82" s="747">
        <v>763.5</v>
      </c>
      <c r="D82" s="746">
        <f t="shared" si="28"/>
        <v>764</v>
      </c>
      <c r="E82" s="299">
        <v>985</v>
      </c>
      <c r="F82" s="757">
        <f t="shared" si="29"/>
        <v>2.9563703202089581E-3</v>
      </c>
      <c r="G82" s="746">
        <v>26</v>
      </c>
      <c r="H82" s="746">
        <f t="shared" si="32"/>
        <v>38</v>
      </c>
      <c r="I82" s="746">
        <v>15</v>
      </c>
      <c r="J82" s="747">
        <f t="shared" si="33"/>
        <v>28.103298611111114</v>
      </c>
      <c r="K82" s="746">
        <f t="shared" si="30"/>
        <v>570</v>
      </c>
      <c r="L82" s="746">
        <v>600</v>
      </c>
      <c r="M82" s="746">
        <f t="shared" si="31"/>
        <v>1</v>
      </c>
      <c r="N82" s="746">
        <v>939.8</v>
      </c>
      <c r="O82" s="746">
        <v>355.6</v>
      </c>
      <c r="P82" s="746">
        <v>317.5</v>
      </c>
      <c r="Q82" s="746">
        <v>1200</v>
      </c>
      <c r="R82" s="746">
        <v>1080</v>
      </c>
      <c r="S82" s="746">
        <v>1200</v>
      </c>
      <c r="T82" s="746">
        <f t="shared" si="34"/>
        <v>4</v>
      </c>
      <c r="U82" s="746">
        <f t="shared" si="35"/>
        <v>1</v>
      </c>
      <c r="V82" s="746">
        <f t="shared" si="35"/>
        <v>3</v>
      </c>
      <c r="W82" s="746">
        <f t="shared" si="36"/>
        <v>4</v>
      </c>
      <c r="X82" s="746">
        <f t="shared" si="37"/>
        <v>12</v>
      </c>
      <c r="Y82" s="758">
        <f t="shared" si="38"/>
        <v>337.23958333333337</v>
      </c>
      <c r="Z82" s="747">
        <f t="shared" si="39"/>
        <v>3.9370078740157481</v>
      </c>
      <c r="AA82" s="746">
        <f t="shared" si="40"/>
        <v>4</v>
      </c>
      <c r="AB82" s="746">
        <f t="shared" si="41"/>
        <v>106106239.40000001</v>
      </c>
      <c r="AC82" s="746">
        <f t="shared" si="42"/>
        <v>3.7471064814814818</v>
      </c>
      <c r="AD82" s="759" t="s">
        <v>594</v>
      </c>
      <c r="AE82" s="746">
        <f t="shared" si="54"/>
        <v>20</v>
      </c>
      <c r="AF82" s="758">
        <f t="shared" si="43"/>
        <v>19</v>
      </c>
      <c r="AG82" s="758">
        <f t="shared" si="44"/>
        <v>7.6000000000000005</v>
      </c>
      <c r="AH82" s="758">
        <f t="shared" si="45"/>
        <v>7.6000000000000005</v>
      </c>
      <c r="AI82" s="758">
        <f t="shared" si="46"/>
        <v>3.8000000000000003</v>
      </c>
      <c r="AJ82" s="746">
        <f t="shared" si="47"/>
        <v>38</v>
      </c>
      <c r="AK82" s="4">
        <f t="shared" si="48"/>
        <v>2</v>
      </c>
      <c r="AL82" s="4">
        <f t="shared" si="49"/>
        <v>2</v>
      </c>
      <c r="AM82" s="4">
        <f t="shared" si="50"/>
        <v>4</v>
      </c>
      <c r="AN82" s="4">
        <f t="shared" si="51"/>
        <v>19</v>
      </c>
      <c r="AO82" s="4">
        <f t="shared" si="52"/>
        <v>27</v>
      </c>
      <c r="AP82" s="4"/>
      <c r="AQ82" s="4"/>
      <c r="AR82" s="4"/>
    </row>
    <row r="83" spans="1:44">
      <c r="A83" s="746" t="s">
        <v>815</v>
      </c>
      <c r="B83" s="746">
        <v>1420</v>
      </c>
      <c r="C83" s="747">
        <v>710</v>
      </c>
      <c r="D83" s="746">
        <f t="shared" si="28"/>
        <v>710</v>
      </c>
      <c r="E83" s="299">
        <v>816</v>
      </c>
      <c r="F83" s="757">
        <f t="shared" si="29"/>
        <v>2.747412208571152E-3</v>
      </c>
      <c r="G83" s="746">
        <v>26</v>
      </c>
      <c r="H83" s="746">
        <f t="shared" si="32"/>
        <v>32</v>
      </c>
      <c r="I83" s="746">
        <v>15</v>
      </c>
      <c r="J83" s="747">
        <f t="shared" si="33"/>
        <v>17.986111111111111</v>
      </c>
      <c r="K83" s="746">
        <f t="shared" si="30"/>
        <v>480</v>
      </c>
      <c r="L83" s="746">
        <v>600</v>
      </c>
      <c r="M83" s="746">
        <f t="shared" si="31"/>
        <v>1</v>
      </c>
      <c r="N83" s="746">
        <v>939.8</v>
      </c>
      <c r="O83" s="746">
        <v>355.6</v>
      </c>
      <c r="P83" s="746">
        <v>203.2</v>
      </c>
      <c r="Q83" s="746">
        <v>1200</v>
      </c>
      <c r="R83" s="746">
        <v>1080</v>
      </c>
      <c r="S83" s="746">
        <v>1200</v>
      </c>
      <c r="T83" s="746">
        <f t="shared" si="34"/>
        <v>6</v>
      </c>
      <c r="U83" s="746">
        <f t="shared" si="35"/>
        <v>1</v>
      </c>
      <c r="V83" s="746">
        <f t="shared" si="35"/>
        <v>3</v>
      </c>
      <c r="W83" s="746">
        <f t="shared" si="36"/>
        <v>6</v>
      </c>
      <c r="X83" s="746">
        <f t="shared" si="37"/>
        <v>18</v>
      </c>
      <c r="Y83" s="758">
        <f t="shared" si="38"/>
        <v>323.75</v>
      </c>
      <c r="Z83" s="747">
        <f t="shared" si="39"/>
        <v>3.9370078740157481</v>
      </c>
      <c r="AA83" s="746">
        <f t="shared" si="40"/>
        <v>2</v>
      </c>
      <c r="AB83" s="746">
        <f t="shared" si="41"/>
        <v>67907993.215999991</v>
      </c>
      <c r="AC83" s="746">
        <f t="shared" si="42"/>
        <v>2.3981481481481479</v>
      </c>
      <c r="AD83" s="759" t="s">
        <v>594</v>
      </c>
      <c r="AE83" s="746">
        <f t="shared" si="54"/>
        <v>10</v>
      </c>
      <c r="AF83" s="758">
        <f t="shared" si="43"/>
        <v>16</v>
      </c>
      <c r="AG83" s="758">
        <f t="shared" si="44"/>
        <v>6.4</v>
      </c>
      <c r="AH83" s="758">
        <f t="shared" si="45"/>
        <v>6.4</v>
      </c>
      <c r="AI83" s="758">
        <f t="shared" si="46"/>
        <v>3.2</v>
      </c>
      <c r="AJ83" s="746">
        <f t="shared" si="47"/>
        <v>31.999999999999996</v>
      </c>
      <c r="AK83" s="4">
        <f t="shared" si="48"/>
        <v>1</v>
      </c>
      <c r="AL83" s="4">
        <f t="shared" si="49"/>
        <v>1</v>
      </c>
      <c r="AM83" s="4">
        <f t="shared" si="50"/>
        <v>2</v>
      </c>
      <c r="AN83" s="4">
        <f t="shared" si="51"/>
        <v>11</v>
      </c>
      <c r="AO83" s="4">
        <f t="shared" si="52"/>
        <v>15</v>
      </c>
      <c r="AP83" s="4"/>
      <c r="AQ83" s="4"/>
      <c r="AR83" s="4"/>
    </row>
    <row r="84" spans="1:44">
      <c r="A84" s="759" t="s">
        <v>816</v>
      </c>
      <c r="B84" s="746">
        <v>2800</v>
      </c>
      <c r="C84" s="747">
        <v>700</v>
      </c>
      <c r="D84" s="746">
        <f t="shared" si="28"/>
        <v>700</v>
      </c>
      <c r="E84" s="299">
        <v>800</v>
      </c>
      <c r="F84" s="757">
        <f t="shared" si="29"/>
        <v>2.7087162619715585E-3</v>
      </c>
      <c r="G84" s="746">
        <v>26</v>
      </c>
      <c r="H84" s="746">
        <f t="shared" si="32"/>
        <v>31</v>
      </c>
      <c r="I84" s="746">
        <v>15</v>
      </c>
      <c r="J84" s="747">
        <f t="shared" si="33"/>
        <v>18.301575828412076</v>
      </c>
      <c r="K84" s="746">
        <f t="shared" si="30"/>
        <v>465</v>
      </c>
      <c r="L84" s="746">
        <v>600</v>
      </c>
      <c r="M84" s="746">
        <f t="shared" si="31"/>
        <v>1</v>
      </c>
      <c r="N84" s="746">
        <v>429.26</v>
      </c>
      <c r="O84" s="746">
        <v>429.26</v>
      </c>
      <c r="P84" s="763">
        <v>375</v>
      </c>
      <c r="Q84" s="746">
        <v>1200</v>
      </c>
      <c r="R84" s="746">
        <v>1080</v>
      </c>
      <c r="S84" s="746">
        <v>1200</v>
      </c>
      <c r="T84" s="746">
        <f t="shared" si="34"/>
        <v>3</v>
      </c>
      <c r="U84" s="746">
        <f t="shared" si="35"/>
        <v>2</v>
      </c>
      <c r="V84" s="746">
        <f t="shared" si="35"/>
        <v>2</v>
      </c>
      <c r="W84" s="746">
        <f t="shared" si="36"/>
        <v>3</v>
      </c>
      <c r="X84" s="746">
        <f t="shared" si="37"/>
        <v>12</v>
      </c>
      <c r="Y84" s="758">
        <f t="shared" si="38"/>
        <v>219.61890994094492</v>
      </c>
      <c r="Z84" s="747">
        <f t="shared" si="39"/>
        <v>3.9370078740157481</v>
      </c>
      <c r="AA84" s="746">
        <f t="shared" si="40"/>
        <v>3</v>
      </c>
      <c r="AB84" s="746">
        <f t="shared" si="41"/>
        <v>69099055.349999994</v>
      </c>
      <c r="AC84" s="746">
        <f t="shared" si="42"/>
        <v>2.4402101104549434</v>
      </c>
      <c r="AD84" s="759" t="s">
        <v>594</v>
      </c>
      <c r="AE84" s="746">
        <f t="shared" si="54"/>
        <v>15</v>
      </c>
      <c r="AF84" s="758">
        <f t="shared" si="43"/>
        <v>15.5</v>
      </c>
      <c r="AG84" s="758">
        <f t="shared" si="44"/>
        <v>6.2</v>
      </c>
      <c r="AH84" s="758">
        <f t="shared" si="45"/>
        <v>6.2</v>
      </c>
      <c r="AI84" s="758">
        <f t="shared" si="46"/>
        <v>3.1</v>
      </c>
      <c r="AJ84" s="746">
        <f t="shared" si="47"/>
        <v>31</v>
      </c>
      <c r="AK84" s="4">
        <f t="shared" si="48"/>
        <v>1</v>
      </c>
      <c r="AL84" s="4">
        <f t="shared" si="49"/>
        <v>2</v>
      </c>
      <c r="AM84" s="4">
        <f t="shared" si="50"/>
        <v>4</v>
      </c>
      <c r="AN84" s="4">
        <f t="shared" si="51"/>
        <v>16</v>
      </c>
      <c r="AO84" s="4">
        <f t="shared" si="52"/>
        <v>23</v>
      </c>
      <c r="AP84" s="4"/>
      <c r="AQ84" s="4"/>
      <c r="AR84" s="4"/>
    </row>
    <row r="85" spans="1:44">
      <c r="A85" s="746" t="s">
        <v>817</v>
      </c>
      <c r="B85" s="746">
        <v>7916</v>
      </c>
      <c r="C85" s="747">
        <v>675.58974358974353</v>
      </c>
      <c r="D85" s="746">
        <f t="shared" si="28"/>
        <v>676</v>
      </c>
      <c r="E85" s="299">
        <v>855</v>
      </c>
      <c r="F85" s="757">
        <f t="shared" si="29"/>
        <v>2.6158459901325336E-3</v>
      </c>
      <c r="G85" s="746">
        <v>26</v>
      </c>
      <c r="H85" s="746">
        <f t="shared" si="32"/>
        <v>33</v>
      </c>
      <c r="I85" s="746">
        <v>15</v>
      </c>
      <c r="J85" s="747">
        <f t="shared" si="33"/>
        <v>40.625000000000007</v>
      </c>
      <c r="K85" s="746">
        <f t="shared" si="30"/>
        <v>495</v>
      </c>
      <c r="L85" s="746">
        <v>600</v>
      </c>
      <c r="M85" s="746">
        <f t="shared" si="31"/>
        <v>1</v>
      </c>
      <c r="N85" s="746">
        <v>660.4</v>
      </c>
      <c r="O85" s="746">
        <v>609.6</v>
      </c>
      <c r="P85" s="746">
        <v>381</v>
      </c>
      <c r="Q85" s="746">
        <v>1200</v>
      </c>
      <c r="R85" s="746">
        <v>1080</v>
      </c>
      <c r="S85" s="746">
        <v>1200</v>
      </c>
      <c r="T85" s="746">
        <f t="shared" si="34"/>
        <v>3</v>
      </c>
      <c r="U85" s="746">
        <f t="shared" si="35"/>
        <v>1</v>
      </c>
      <c r="V85" s="746">
        <f t="shared" si="35"/>
        <v>1</v>
      </c>
      <c r="W85" s="746">
        <f t="shared" si="36"/>
        <v>3</v>
      </c>
      <c r="X85" s="746">
        <f t="shared" si="37"/>
        <v>3</v>
      </c>
      <c r="Y85" s="758">
        <f t="shared" si="38"/>
        <v>121.87500000000003</v>
      </c>
      <c r="Z85" s="747">
        <f t="shared" si="39"/>
        <v>3.9370078740157481</v>
      </c>
      <c r="AA85" s="746">
        <f t="shared" si="40"/>
        <v>12</v>
      </c>
      <c r="AB85" s="746">
        <f t="shared" si="41"/>
        <v>153382919.04000002</v>
      </c>
      <c r="AC85" s="746">
        <f t="shared" si="42"/>
        <v>5.4166666666666679</v>
      </c>
      <c r="AD85" s="759" t="s">
        <v>594</v>
      </c>
      <c r="AE85" s="746">
        <f t="shared" si="54"/>
        <v>60</v>
      </c>
      <c r="AF85" s="758">
        <f t="shared" si="43"/>
        <v>16.5</v>
      </c>
      <c r="AG85" s="758">
        <f t="shared" si="44"/>
        <v>6.6000000000000005</v>
      </c>
      <c r="AH85" s="758">
        <f t="shared" si="45"/>
        <v>6.6000000000000005</v>
      </c>
      <c r="AI85" s="758">
        <f t="shared" si="46"/>
        <v>3.3000000000000003</v>
      </c>
      <c r="AJ85" s="746">
        <f t="shared" si="47"/>
        <v>33</v>
      </c>
      <c r="AK85" s="4">
        <f t="shared" si="48"/>
        <v>6</v>
      </c>
      <c r="AL85" s="4">
        <f t="shared" si="49"/>
        <v>7</v>
      </c>
      <c r="AM85" s="4">
        <f t="shared" si="50"/>
        <v>15</v>
      </c>
      <c r="AN85" s="4">
        <f t="shared" si="51"/>
        <v>66</v>
      </c>
      <c r="AO85" s="4">
        <f t="shared" si="52"/>
        <v>94</v>
      </c>
      <c r="AP85" s="4"/>
      <c r="AQ85" s="4"/>
      <c r="AR85" s="4"/>
    </row>
    <row r="86" spans="1:44">
      <c r="A86" s="746" t="s">
        <v>818</v>
      </c>
      <c r="B86" s="746">
        <v>590</v>
      </c>
      <c r="C86" s="747">
        <v>590</v>
      </c>
      <c r="D86" s="746">
        <f t="shared" si="28"/>
        <v>590</v>
      </c>
      <c r="E86" s="299">
        <v>590</v>
      </c>
      <c r="F86" s="757">
        <f t="shared" si="29"/>
        <v>2.2830608493760278E-3</v>
      </c>
      <c r="G86" s="746">
        <v>26</v>
      </c>
      <c r="H86" s="746">
        <f t="shared" si="32"/>
        <v>23</v>
      </c>
      <c r="I86" s="746">
        <v>15</v>
      </c>
      <c r="J86" s="747">
        <f t="shared" si="33"/>
        <v>23.953938437185712</v>
      </c>
      <c r="K86" s="746">
        <f t="shared" si="30"/>
        <v>345</v>
      </c>
      <c r="L86" s="746">
        <v>600</v>
      </c>
      <c r="M86" s="746">
        <f t="shared" si="31"/>
        <v>1</v>
      </c>
      <c r="N86" s="746">
        <v>850</v>
      </c>
      <c r="O86" s="746">
        <v>380</v>
      </c>
      <c r="P86" s="746">
        <v>280</v>
      </c>
      <c r="Q86" s="746">
        <v>1200</v>
      </c>
      <c r="R86" s="746">
        <v>1080</v>
      </c>
      <c r="S86" s="746">
        <v>1200</v>
      </c>
      <c r="T86" s="746">
        <f t="shared" si="34"/>
        <v>4</v>
      </c>
      <c r="U86" s="746">
        <f t="shared" si="35"/>
        <v>1</v>
      </c>
      <c r="V86" s="746">
        <f t="shared" si="35"/>
        <v>2</v>
      </c>
      <c r="W86" s="746">
        <f t="shared" si="36"/>
        <v>4</v>
      </c>
      <c r="X86" s="746">
        <f t="shared" si="37"/>
        <v>8</v>
      </c>
      <c r="Y86" s="758">
        <f t="shared" si="38"/>
        <v>191.6315074974857</v>
      </c>
      <c r="Z86" s="747">
        <f t="shared" si="39"/>
        <v>3.9370078740157481</v>
      </c>
      <c r="AA86" s="746">
        <f t="shared" si="40"/>
        <v>4</v>
      </c>
      <c r="AB86" s="746">
        <f t="shared" si="41"/>
        <v>90440000</v>
      </c>
      <c r="AC86" s="746">
        <f t="shared" si="42"/>
        <v>3.1938584582914284</v>
      </c>
      <c r="AD86" s="759" t="s">
        <v>594</v>
      </c>
      <c r="AE86" s="746">
        <f t="shared" si="54"/>
        <v>20</v>
      </c>
      <c r="AF86" s="758">
        <f t="shared" si="43"/>
        <v>11.5</v>
      </c>
      <c r="AG86" s="758">
        <f t="shared" si="44"/>
        <v>4.6000000000000005</v>
      </c>
      <c r="AH86" s="758">
        <f t="shared" si="45"/>
        <v>4.6000000000000005</v>
      </c>
      <c r="AI86" s="758">
        <f t="shared" si="46"/>
        <v>2.3000000000000003</v>
      </c>
      <c r="AJ86" s="746">
        <f t="shared" si="47"/>
        <v>23.000000000000004</v>
      </c>
      <c r="AK86" s="4">
        <f t="shared" si="48"/>
        <v>1</v>
      </c>
      <c r="AL86" s="4">
        <f t="shared" si="49"/>
        <v>2</v>
      </c>
      <c r="AM86" s="4">
        <f t="shared" si="50"/>
        <v>4</v>
      </c>
      <c r="AN86" s="4">
        <f t="shared" si="51"/>
        <v>17</v>
      </c>
      <c r="AO86" s="4">
        <f t="shared" si="52"/>
        <v>24</v>
      </c>
      <c r="AP86" s="4"/>
      <c r="AQ86" s="4"/>
      <c r="AR86" s="4"/>
    </row>
    <row r="87" spans="1:44">
      <c r="A87" s="746" t="s">
        <v>819</v>
      </c>
      <c r="B87" s="746">
        <v>954</v>
      </c>
      <c r="C87" s="747">
        <v>577</v>
      </c>
      <c r="D87" s="746">
        <f t="shared" si="28"/>
        <v>577</v>
      </c>
      <c r="E87" s="299">
        <v>663</v>
      </c>
      <c r="F87" s="757">
        <f t="shared" si="29"/>
        <v>2.2327561187965562E-3</v>
      </c>
      <c r="G87" s="746">
        <v>26</v>
      </c>
      <c r="H87" s="746">
        <f t="shared" si="32"/>
        <v>26</v>
      </c>
      <c r="I87" s="746">
        <v>15</v>
      </c>
      <c r="J87" s="747">
        <f t="shared" si="33"/>
        <v>18.446180555555557</v>
      </c>
      <c r="K87" s="746">
        <f t="shared" si="30"/>
        <v>390</v>
      </c>
      <c r="L87" s="746">
        <v>600</v>
      </c>
      <c r="M87" s="746">
        <f t="shared" si="31"/>
        <v>1</v>
      </c>
      <c r="N87" s="746">
        <v>508</v>
      </c>
      <c r="O87" s="746">
        <v>431.8</v>
      </c>
      <c r="P87" s="746">
        <v>317.5</v>
      </c>
      <c r="Q87" s="746">
        <v>1200</v>
      </c>
      <c r="R87" s="746">
        <v>1080</v>
      </c>
      <c r="S87" s="746">
        <v>1200</v>
      </c>
      <c r="T87" s="746">
        <f t="shared" si="34"/>
        <v>4</v>
      </c>
      <c r="U87" s="746">
        <f t="shared" si="35"/>
        <v>2</v>
      </c>
      <c r="V87" s="746">
        <f t="shared" si="35"/>
        <v>2</v>
      </c>
      <c r="W87" s="746">
        <f t="shared" si="36"/>
        <v>4</v>
      </c>
      <c r="X87" s="746">
        <f t="shared" si="37"/>
        <v>16</v>
      </c>
      <c r="Y87" s="758">
        <f t="shared" si="38"/>
        <v>295.13888888888891</v>
      </c>
      <c r="Z87" s="747">
        <f t="shared" si="39"/>
        <v>3.9370078740157481</v>
      </c>
      <c r="AA87" s="746">
        <f t="shared" si="40"/>
        <v>2</v>
      </c>
      <c r="AB87" s="746">
        <f t="shared" si="41"/>
        <v>69645022</v>
      </c>
      <c r="AC87" s="746">
        <f t="shared" si="42"/>
        <v>2.4594907407407409</v>
      </c>
      <c r="AD87" s="759" t="s">
        <v>594</v>
      </c>
      <c r="AE87" s="746">
        <f t="shared" si="54"/>
        <v>10</v>
      </c>
      <c r="AF87" s="758">
        <f t="shared" si="43"/>
        <v>13</v>
      </c>
      <c r="AG87" s="758">
        <f t="shared" si="44"/>
        <v>5.2</v>
      </c>
      <c r="AH87" s="758">
        <f t="shared" si="45"/>
        <v>5.2</v>
      </c>
      <c r="AI87" s="758">
        <f t="shared" si="46"/>
        <v>2.6</v>
      </c>
      <c r="AJ87" s="746">
        <f t="shared" si="47"/>
        <v>26</v>
      </c>
      <c r="AK87" s="4">
        <f t="shared" si="48"/>
        <v>1</v>
      </c>
      <c r="AL87" s="4">
        <f t="shared" si="49"/>
        <v>1</v>
      </c>
      <c r="AM87" s="4">
        <f t="shared" si="50"/>
        <v>2</v>
      </c>
      <c r="AN87" s="4">
        <f t="shared" si="51"/>
        <v>10</v>
      </c>
      <c r="AO87" s="4">
        <f t="shared" si="52"/>
        <v>14</v>
      </c>
      <c r="AP87" s="4"/>
      <c r="AQ87" s="4"/>
      <c r="AR87" s="4"/>
    </row>
    <row r="88" spans="1:44">
      <c r="A88" s="746" t="s">
        <v>820</v>
      </c>
      <c r="B88" s="746">
        <v>4037</v>
      </c>
      <c r="C88" s="747">
        <v>576.71428571428567</v>
      </c>
      <c r="D88" s="746">
        <f t="shared" si="28"/>
        <v>577</v>
      </c>
      <c r="E88" s="299">
        <v>757</v>
      </c>
      <c r="F88" s="757">
        <f t="shared" si="29"/>
        <v>2.2327561187965562E-3</v>
      </c>
      <c r="G88" s="746">
        <v>26</v>
      </c>
      <c r="H88" s="746">
        <f t="shared" si="32"/>
        <v>30</v>
      </c>
      <c r="I88" s="746">
        <v>15</v>
      </c>
      <c r="J88" s="747">
        <f t="shared" si="33"/>
        <v>43.317339238845143</v>
      </c>
      <c r="K88" s="746">
        <f t="shared" si="30"/>
        <v>450</v>
      </c>
      <c r="L88" s="746">
        <v>600</v>
      </c>
      <c r="M88" s="746">
        <f t="shared" si="31"/>
        <v>1</v>
      </c>
      <c r="N88" s="746">
        <v>660.4</v>
      </c>
      <c r="O88" s="746">
        <v>660.4</v>
      </c>
      <c r="P88" s="763">
        <v>375</v>
      </c>
      <c r="Q88" s="746">
        <v>1200</v>
      </c>
      <c r="R88" s="746">
        <v>1080</v>
      </c>
      <c r="S88" s="746">
        <v>1200</v>
      </c>
      <c r="T88" s="746">
        <f t="shared" si="34"/>
        <v>3</v>
      </c>
      <c r="U88" s="746">
        <f t="shared" si="35"/>
        <v>1</v>
      </c>
      <c r="V88" s="746">
        <f t="shared" si="35"/>
        <v>1</v>
      </c>
      <c r="W88" s="746">
        <f t="shared" si="36"/>
        <v>3</v>
      </c>
      <c r="X88" s="746">
        <f t="shared" si="37"/>
        <v>3</v>
      </c>
      <c r="Y88" s="758">
        <f t="shared" si="38"/>
        <v>129.95201771653544</v>
      </c>
      <c r="Z88" s="747">
        <f t="shared" si="39"/>
        <v>3.9370078740157481</v>
      </c>
      <c r="AA88" s="746">
        <f t="shared" si="40"/>
        <v>11</v>
      </c>
      <c r="AB88" s="746">
        <f t="shared" si="41"/>
        <v>163548060</v>
      </c>
      <c r="AC88" s="746">
        <f t="shared" si="42"/>
        <v>5.7756452318460187</v>
      </c>
      <c r="AD88" s="759" t="s">
        <v>594</v>
      </c>
      <c r="AE88" s="746">
        <f t="shared" si="54"/>
        <v>55</v>
      </c>
      <c r="AF88" s="758">
        <f t="shared" si="43"/>
        <v>15</v>
      </c>
      <c r="AG88" s="758">
        <f t="shared" si="44"/>
        <v>6</v>
      </c>
      <c r="AH88" s="758">
        <f t="shared" si="45"/>
        <v>6</v>
      </c>
      <c r="AI88" s="758">
        <f t="shared" si="46"/>
        <v>3</v>
      </c>
      <c r="AJ88" s="746">
        <f t="shared" si="47"/>
        <v>30</v>
      </c>
      <c r="AK88" s="4">
        <f t="shared" si="48"/>
        <v>5</v>
      </c>
      <c r="AL88" s="4">
        <f t="shared" si="49"/>
        <v>6</v>
      </c>
      <c r="AM88" s="4">
        <f t="shared" si="50"/>
        <v>14</v>
      </c>
      <c r="AN88" s="4">
        <f t="shared" si="51"/>
        <v>60</v>
      </c>
      <c r="AO88" s="4">
        <f t="shared" si="52"/>
        <v>85</v>
      </c>
      <c r="AP88" s="4"/>
      <c r="AQ88" s="4"/>
      <c r="AR88" s="4"/>
    </row>
    <row r="89" spans="1:44">
      <c r="A89" s="746" t="s">
        <v>821</v>
      </c>
      <c r="B89" s="746">
        <v>2102</v>
      </c>
      <c r="C89" s="747">
        <v>555.4</v>
      </c>
      <c r="D89" s="746">
        <f t="shared" si="28"/>
        <v>556</v>
      </c>
      <c r="E89" s="299">
        <v>579</v>
      </c>
      <c r="F89" s="757">
        <f t="shared" si="29"/>
        <v>2.1514946309374094E-3</v>
      </c>
      <c r="G89" s="746">
        <v>26</v>
      </c>
      <c r="H89" s="746">
        <f t="shared" si="32"/>
        <v>23</v>
      </c>
      <c r="I89" s="746">
        <v>15</v>
      </c>
      <c r="J89" s="747">
        <f t="shared" si="33"/>
        <v>69.464223129835148</v>
      </c>
      <c r="K89" s="746">
        <f t="shared" si="30"/>
        <v>345</v>
      </c>
      <c r="L89" s="746">
        <v>600</v>
      </c>
      <c r="M89" s="746">
        <f t="shared" si="31"/>
        <v>1</v>
      </c>
      <c r="N89" s="746">
        <v>965</v>
      </c>
      <c r="O89" s="746">
        <v>535</v>
      </c>
      <c r="P89" s="746">
        <v>508</v>
      </c>
      <c r="Q89" s="746">
        <v>1200</v>
      </c>
      <c r="R89" s="746">
        <v>1080</v>
      </c>
      <c r="S89" s="746">
        <v>1200</v>
      </c>
      <c r="T89" s="746">
        <f t="shared" si="34"/>
        <v>2</v>
      </c>
      <c r="U89" s="746">
        <f t="shared" si="35"/>
        <v>1</v>
      </c>
      <c r="V89" s="746">
        <f t="shared" si="35"/>
        <v>2</v>
      </c>
      <c r="W89" s="746">
        <f t="shared" si="36"/>
        <v>2</v>
      </c>
      <c r="X89" s="746">
        <f t="shared" si="37"/>
        <v>4</v>
      </c>
      <c r="Y89" s="758">
        <f t="shared" si="38"/>
        <v>277.85689251934059</v>
      </c>
      <c r="Z89" s="747">
        <f t="shared" si="39"/>
        <v>3.9370078740157481</v>
      </c>
      <c r="AA89" s="746">
        <f t="shared" si="40"/>
        <v>7</v>
      </c>
      <c r="AB89" s="746">
        <f t="shared" si="41"/>
        <v>262267700</v>
      </c>
      <c r="AC89" s="746">
        <f t="shared" si="42"/>
        <v>9.2618964173113536</v>
      </c>
      <c r="AD89" s="759" t="s">
        <v>594</v>
      </c>
      <c r="AE89" s="746">
        <f t="shared" si="54"/>
        <v>35</v>
      </c>
      <c r="AF89" s="758">
        <f t="shared" si="43"/>
        <v>11.5</v>
      </c>
      <c r="AG89" s="758">
        <f t="shared" si="44"/>
        <v>4.6000000000000005</v>
      </c>
      <c r="AH89" s="758">
        <f t="shared" si="45"/>
        <v>4.6000000000000005</v>
      </c>
      <c r="AI89" s="758">
        <f t="shared" si="46"/>
        <v>2.3000000000000003</v>
      </c>
      <c r="AJ89" s="746">
        <f t="shared" si="47"/>
        <v>23.000000000000004</v>
      </c>
      <c r="AK89" s="4">
        <f t="shared" si="48"/>
        <v>3</v>
      </c>
      <c r="AL89" s="4">
        <f t="shared" si="49"/>
        <v>3</v>
      </c>
      <c r="AM89" s="4">
        <f t="shared" si="50"/>
        <v>8</v>
      </c>
      <c r="AN89" s="4">
        <f t="shared" si="51"/>
        <v>35</v>
      </c>
      <c r="AO89" s="4">
        <f t="shared" si="52"/>
        <v>49</v>
      </c>
      <c r="AP89" s="4"/>
      <c r="AQ89" s="4"/>
      <c r="AR89" s="4"/>
    </row>
    <row r="90" spans="1:44">
      <c r="A90" s="746" t="s">
        <v>822</v>
      </c>
      <c r="B90" s="746">
        <v>4406</v>
      </c>
      <c r="C90" s="747">
        <v>525.5</v>
      </c>
      <c r="D90" s="746">
        <f t="shared" si="28"/>
        <v>526</v>
      </c>
      <c r="E90" s="299">
        <v>665</v>
      </c>
      <c r="F90" s="757">
        <f t="shared" si="29"/>
        <v>2.0354067911386282E-3</v>
      </c>
      <c r="G90" s="746">
        <v>26</v>
      </c>
      <c r="H90" s="746">
        <f t="shared" si="32"/>
        <v>26</v>
      </c>
      <c r="I90" s="746">
        <v>15</v>
      </c>
      <c r="J90" s="747">
        <f t="shared" si="33"/>
        <v>5.013020833333333</v>
      </c>
      <c r="K90" s="746">
        <f t="shared" si="30"/>
        <v>390</v>
      </c>
      <c r="L90" s="746">
        <v>600</v>
      </c>
      <c r="M90" s="746">
        <f t="shared" si="31"/>
        <v>1</v>
      </c>
      <c r="N90" s="746">
        <v>381</v>
      </c>
      <c r="O90" s="746">
        <v>279.39999999999998</v>
      </c>
      <c r="P90" s="746">
        <v>177.8</v>
      </c>
      <c r="Q90" s="746">
        <v>1200</v>
      </c>
      <c r="R90" s="746">
        <v>1080</v>
      </c>
      <c r="S90" s="746">
        <v>1200</v>
      </c>
      <c r="T90" s="746">
        <f t="shared" si="34"/>
        <v>7</v>
      </c>
      <c r="U90" s="746">
        <f t="shared" si="35"/>
        <v>3</v>
      </c>
      <c r="V90" s="746">
        <f t="shared" si="35"/>
        <v>3</v>
      </c>
      <c r="W90" s="746">
        <f t="shared" si="36"/>
        <v>7</v>
      </c>
      <c r="X90" s="746">
        <f t="shared" si="37"/>
        <v>63</v>
      </c>
      <c r="Y90" s="758">
        <f t="shared" si="38"/>
        <v>315.8203125</v>
      </c>
      <c r="Z90" s="747">
        <f t="shared" si="39"/>
        <v>3.9370078740157481</v>
      </c>
      <c r="AA90" s="746">
        <f t="shared" si="40"/>
        <v>1</v>
      </c>
      <c r="AB90" s="746">
        <f t="shared" si="41"/>
        <v>18927058.920000002</v>
      </c>
      <c r="AC90" s="746">
        <f t="shared" si="42"/>
        <v>0.66840277777777779</v>
      </c>
      <c r="AD90" s="759" t="s">
        <v>594</v>
      </c>
      <c r="AE90" s="746">
        <f t="shared" si="54"/>
        <v>5</v>
      </c>
      <c r="AF90" s="758">
        <f t="shared" si="43"/>
        <v>13</v>
      </c>
      <c r="AG90" s="758">
        <f t="shared" si="44"/>
        <v>5.2</v>
      </c>
      <c r="AH90" s="758">
        <f t="shared" si="45"/>
        <v>5.2</v>
      </c>
      <c r="AI90" s="758">
        <f t="shared" si="46"/>
        <v>2.6</v>
      </c>
      <c r="AJ90" s="746">
        <f t="shared" si="47"/>
        <v>26</v>
      </c>
      <c r="AK90" s="4">
        <f t="shared" si="48"/>
        <v>0</v>
      </c>
      <c r="AL90" s="4">
        <f t="shared" si="49"/>
        <v>0</v>
      </c>
      <c r="AM90" s="4">
        <f t="shared" si="50"/>
        <v>1</v>
      </c>
      <c r="AN90" s="4">
        <f t="shared" si="51"/>
        <v>2</v>
      </c>
      <c r="AO90" s="4">
        <f t="shared" si="52"/>
        <v>3</v>
      </c>
      <c r="AP90" s="4"/>
      <c r="AQ90" s="4"/>
      <c r="AR90" s="4"/>
    </row>
    <row r="91" spans="1:44">
      <c r="A91" s="746" t="s">
        <v>823</v>
      </c>
      <c r="B91" s="746">
        <v>1637</v>
      </c>
      <c r="C91" s="747">
        <v>518.77777777777783</v>
      </c>
      <c r="D91" s="746">
        <f t="shared" si="28"/>
        <v>519</v>
      </c>
      <c r="E91" s="299">
        <v>529</v>
      </c>
      <c r="F91" s="757">
        <f t="shared" si="29"/>
        <v>2.0083196285189129E-3</v>
      </c>
      <c r="G91" s="746">
        <v>26</v>
      </c>
      <c r="H91" s="746">
        <f t="shared" si="32"/>
        <v>21</v>
      </c>
      <c r="I91" s="746">
        <v>15</v>
      </c>
      <c r="J91" s="747">
        <f t="shared" si="33"/>
        <v>3.2037465649734456</v>
      </c>
      <c r="K91" s="746">
        <f t="shared" si="30"/>
        <v>315</v>
      </c>
      <c r="L91" s="746">
        <v>600</v>
      </c>
      <c r="M91" s="746">
        <f t="shared" si="31"/>
        <v>1</v>
      </c>
      <c r="N91" s="746">
        <v>280</v>
      </c>
      <c r="O91" s="746">
        <v>270</v>
      </c>
      <c r="P91" s="746">
        <v>160</v>
      </c>
      <c r="Q91" s="746">
        <v>1200</v>
      </c>
      <c r="R91" s="746">
        <v>1080</v>
      </c>
      <c r="S91" s="746">
        <v>1200</v>
      </c>
      <c r="T91" s="746">
        <f t="shared" si="34"/>
        <v>8</v>
      </c>
      <c r="U91" s="746">
        <f t="shared" si="35"/>
        <v>4</v>
      </c>
      <c r="V91" s="746">
        <f t="shared" si="35"/>
        <v>4</v>
      </c>
      <c r="W91" s="746">
        <f t="shared" si="36"/>
        <v>8</v>
      </c>
      <c r="X91" s="746">
        <f t="shared" si="37"/>
        <v>128</v>
      </c>
      <c r="Y91" s="758">
        <f t="shared" si="38"/>
        <v>410.07956031660103</v>
      </c>
      <c r="Z91" s="747">
        <f t="shared" si="39"/>
        <v>3.9370078740157481</v>
      </c>
      <c r="AA91" s="746">
        <f t="shared" si="40"/>
        <v>1</v>
      </c>
      <c r="AB91" s="746">
        <f t="shared" si="41"/>
        <v>12096000</v>
      </c>
      <c r="AC91" s="746">
        <f t="shared" si="42"/>
        <v>0.42716620866312605</v>
      </c>
      <c r="AD91" s="759" t="s">
        <v>594</v>
      </c>
      <c r="AE91" s="746">
        <f t="shared" si="54"/>
        <v>5</v>
      </c>
      <c r="AF91" s="758">
        <f t="shared" si="43"/>
        <v>10.5</v>
      </c>
      <c r="AG91" s="758">
        <f t="shared" si="44"/>
        <v>4.2</v>
      </c>
      <c r="AH91" s="758">
        <f t="shared" si="45"/>
        <v>4.2</v>
      </c>
      <c r="AI91" s="758">
        <f t="shared" si="46"/>
        <v>2.1</v>
      </c>
      <c r="AJ91" s="746">
        <f t="shared" si="47"/>
        <v>21</v>
      </c>
      <c r="AK91" s="4">
        <f t="shared" si="48"/>
        <v>0</v>
      </c>
      <c r="AL91" s="4">
        <f t="shared" si="49"/>
        <v>0</v>
      </c>
      <c r="AM91" s="4">
        <f t="shared" si="50"/>
        <v>0</v>
      </c>
      <c r="AN91" s="4">
        <f t="shared" si="51"/>
        <v>1</v>
      </c>
      <c r="AO91" s="4">
        <f t="shared" si="52"/>
        <v>1</v>
      </c>
      <c r="AP91" s="4"/>
      <c r="AQ91" s="4"/>
      <c r="AR91" s="4"/>
    </row>
    <row r="92" spans="1:44">
      <c r="A92" s="746" t="s">
        <v>824</v>
      </c>
      <c r="B92" s="746">
        <v>5539</v>
      </c>
      <c r="C92" s="747">
        <v>461.58333333333331</v>
      </c>
      <c r="D92" s="746">
        <f t="shared" si="28"/>
        <v>462</v>
      </c>
      <c r="E92" s="299">
        <v>612</v>
      </c>
      <c r="F92" s="757">
        <f t="shared" si="29"/>
        <v>1.7877527329012285E-3</v>
      </c>
      <c r="G92" s="746">
        <v>26</v>
      </c>
      <c r="H92" s="746">
        <f t="shared" si="32"/>
        <v>24</v>
      </c>
      <c r="I92" s="746">
        <v>15</v>
      </c>
      <c r="J92" s="747">
        <f t="shared" si="33"/>
        <v>2.8477747244208396</v>
      </c>
      <c r="K92" s="746">
        <f t="shared" si="30"/>
        <v>360</v>
      </c>
      <c r="L92" s="746">
        <v>600</v>
      </c>
      <c r="M92" s="746">
        <f t="shared" si="31"/>
        <v>1</v>
      </c>
      <c r="N92" s="746">
        <v>280</v>
      </c>
      <c r="O92" s="746">
        <v>240</v>
      </c>
      <c r="P92" s="746">
        <v>160</v>
      </c>
      <c r="Q92" s="746">
        <v>1200</v>
      </c>
      <c r="R92" s="746">
        <v>1080</v>
      </c>
      <c r="S92" s="746">
        <v>1200</v>
      </c>
      <c r="T92" s="746">
        <f t="shared" si="34"/>
        <v>8</v>
      </c>
      <c r="U92" s="746">
        <f t="shared" si="35"/>
        <v>4</v>
      </c>
      <c r="V92" s="746">
        <f t="shared" si="35"/>
        <v>4</v>
      </c>
      <c r="W92" s="746">
        <f t="shared" si="36"/>
        <v>8</v>
      </c>
      <c r="X92" s="746">
        <f t="shared" si="37"/>
        <v>128</v>
      </c>
      <c r="Y92" s="758">
        <f t="shared" si="38"/>
        <v>364.51516472586746</v>
      </c>
      <c r="Z92" s="747">
        <f t="shared" si="39"/>
        <v>3.9370078740157481</v>
      </c>
      <c r="AA92" s="746">
        <f t="shared" si="40"/>
        <v>1</v>
      </c>
      <c r="AB92" s="746">
        <f t="shared" si="41"/>
        <v>10752000</v>
      </c>
      <c r="AC92" s="746">
        <f t="shared" si="42"/>
        <v>0.37970329658944529</v>
      </c>
      <c r="AD92" s="759" t="s">
        <v>594</v>
      </c>
      <c r="AE92" s="746">
        <f t="shared" si="54"/>
        <v>5</v>
      </c>
      <c r="AF92" s="758">
        <f t="shared" si="43"/>
        <v>12</v>
      </c>
      <c r="AG92" s="758">
        <f t="shared" si="44"/>
        <v>4.8000000000000007</v>
      </c>
      <c r="AH92" s="758">
        <f t="shared" si="45"/>
        <v>4.8000000000000007</v>
      </c>
      <c r="AI92" s="758">
        <f t="shared" si="46"/>
        <v>2.4000000000000004</v>
      </c>
      <c r="AJ92" s="746">
        <f t="shared" si="47"/>
        <v>24</v>
      </c>
      <c r="AK92" s="4">
        <f t="shared" si="48"/>
        <v>0</v>
      </c>
      <c r="AL92" s="4">
        <f t="shared" si="49"/>
        <v>0</v>
      </c>
      <c r="AM92" s="4">
        <f t="shared" si="50"/>
        <v>0</v>
      </c>
      <c r="AN92" s="4">
        <f t="shared" si="51"/>
        <v>1</v>
      </c>
      <c r="AO92" s="4">
        <f t="shared" si="52"/>
        <v>1</v>
      </c>
      <c r="AP92" s="4"/>
      <c r="AQ92" s="4"/>
      <c r="AR92" s="4"/>
    </row>
    <row r="93" spans="1:44">
      <c r="A93" s="746" t="s">
        <v>825</v>
      </c>
      <c r="B93" s="746">
        <v>868</v>
      </c>
      <c r="C93" s="747">
        <v>434</v>
      </c>
      <c r="D93" s="746">
        <f t="shared" si="28"/>
        <v>434</v>
      </c>
      <c r="E93" s="299">
        <v>516</v>
      </c>
      <c r="F93" s="757">
        <f t="shared" si="29"/>
        <v>1.6794040824223663E-3</v>
      </c>
      <c r="G93" s="746">
        <v>26</v>
      </c>
      <c r="H93" s="746">
        <f t="shared" si="32"/>
        <v>20</v>
      </c>
      <c r="I93" s="746">
        <v>15</v>
      </c>
      <c r="J93" s="747">
        <f t="shared" si="33"/>
        <v>22.482638888888889</v>
      </c>
      <c r="K93" s="746">
        <f t="shared" si="30"/>
        <v>300</v>
      </c>
      <c r="L93" s="746">
        <v>600</v>
      </c>
      <c r="M93" s="746">
        <f t="shared" si="31"/>
        <v>1</v>
      </c>
      <c r="N93" s="746">
        <v>939.8</v>
      </c>
      <c r="O93" s="746">
        <v>355.6</v>
      </c>
      <c r="P93" s="746">
        <v>254</v>
      </c>
      <c r="Q93" s="746">
        <v>1200</v>
      </c>
      <c r="R93" s="746">
        <v>1080</v>
      </c>
      <c r="S93" s="746">
        <v>1200</v>
      </c>
      <c r="T93" s="746">
        <f t="shared" si="34"/>
        <v>5</v>
      </c>
      <c r="U93" s="746">
        <f t="shared" si="35"/>
        <v>1</v>
      </c>
      <c r="V93" s="746">
        <f t="shared" si="35"/>
        <v>3</v>
      </c>
      <c r="W93" s="746">
        <f t="shared" si="36"/>
        <v>5</v>
      </c>
      <c r="X93" s="746">
        <f t="shared" si="37"/>
        <v>15</v>
      </c>
      <c r="Y93" s="758">
        <f t="shared" si="38"/>
        <v>337.23958333333331</v>
      </c>
      <c r="Z93" s="747">
        <f t="shared" si="39"/>
        <v>3.9370078740157481</v>
      </c>
      <c r="AA93" s="746">
        <f t="shared" si="40"/>
        <v>2</v>
      </c>
      <c r="AB93" s="746">
        <f t="shared" si="41"/>
        <v>84884991.519999996</v>
      </c>
      <c r="AC93" s="746">
        <f t="shared" si="42"/>
        <v>2.9976851851851851</v>
      </c>
      <c r="AD93" s="759" t="s">
        <v>594</v>
      </c>
      <c r="AE93" s="746">
        <f t="shared" si="54"/>
        <v>10</v>
      </c>
      <c r="AF93" s="758">
        <f t="shared" si="43"/>
        <v>10</v>
      </c>
      <c r="AG93" s="758">
        <f t="shared" si="44"/>
        <v>4</v>
      </c>
      <c r="AH93" s="758">
        <f t="shared" si="45"/>
        <v>4</v>
      </c>
      <c r="AI93" s="758">
        <f t="shared" si="46"/>
        <v>2</v>
      </c>
      <c r="AJ93" s="746">
        <f t="shared" si="47"/>
        <v>20</v>
      </c>
      <c r="AK93" s="4">
        <f t="shared" si="48"/>
        <v>1</v>
      </c>
      <c r="AL93" s="4">
        <f t="shared" si="49"/>
        <v>1</v>
      </c>
      <c r="AM93" s="4">
        <f t="shared" si="50"/>
        <v>2</v>
      </c>
      <c r="AN93" s="4">
        <f t="shared" si="51"/>
        <v>8</v>
      </c>
      <c r="AO93" s="4">
        <f t="shared" si="52"/>
        <v>12</v>
      </c>
      <c r="AP93" s="4"/>
      <c r="AQ93" s="4"/>
      <c r="AR93" s="4"/>
    </row>
    <row r="94" spans="1:44">
      <c r="A94" s="746" t="s">
        <v>826</v>
      </c>
      <c r="B94" s="746">
        <v>428</v>
      </c>
      <c r="C94" s="747">
        <v>428</v>
      </c>
      <c r="D94" s="746">
        <f t="shared" si="28"/>
        <v>428</v>
      </c>
      <c r="E94" s="299">
        <v>428</v>
      </c>
      <c r="F94" s="757">
        <f t="shared" si="29"/>
        <v>1.6561865144626101E-3</v>
      </c>
      <c r="G94" s="746">
        <v>26</v>
      </c>
      <c r="H94" s="746">
        <f t="shared" si="32"/>
        <v>17</v>
      </c>
      <c r="I94" s="746">
        <v>15</v>
      </c>
      <c r="J94" s="747">
        <f t="shared" si="33"/>
        <v>17.1875</v>
      </c>
      <c r="K94" s="746">
        <f t="shared" si="30"/>
        <v>255</v>
      </c>
      <c r="L94" s="746">
        <v>600</v>
      </c>
      <c r="M94" s="746">
        <f t="shared" si="31"/>
        <v>1</v>
      </c>
      <c r="N94" s="746">
        <v>508</v>
      </c>
      <c r="O94" s="746">
        <v>558.79999999999995</v>
      </c>
      <c r="P94" s="746">
        <v>228.6</v>
      </c>
      <c r="Q94" s="746">
        <v>1200</v>
      </c>
      <c r="R94" s="746">
        <v>1080</v>
      </c>
      <c r="S94" s="746">
        <v>1200</v>
      </c>
      <c r="T94" s="746">
        <f t="shared" si="34"/>
        <v>5</v>
      </c>
      <c r="U94" s="746">
        <f t="shared" si="35"/>
        <v>2</v>
      </c>
      <c r="V94" s="746">
        <f t="shared" si="35"/>
        <v>1</v>
      </c>
      <c r="W94" s="746">
        <f t="shared" si="36"/>
        <v>5</v>
      </c>
      <c r="X94" s="746">
        <f t="shared" si="37"/>
        <v>10</v>
      </c>
      <c r="Y94" s="758">
        <f t="shared" si="38"/>
        <v>171.875</v>
      </c>
      <c r="Z94" s="747">
        <f t="shared" si="39"/>
        <v>3.9370078740157481</v>
      </c>
      <c r="AA94" s="746">
        <f t="shared" si="40"/>
        <v>2</v>
      </c>
      <c r="AB94" s="746">
        <f t="shared" si="41"/>
        <v>64892773.43999999</v>
      </c>
      <c r="AC94" s="746">
        <f t="shared" si="42"/>
        <v>2.2916666666666665</v>
      </c>
      <c r="AD94" s="759" t="s">
        <v>594</v>
      </c>
      <c r="AE94" s="746">
        <f t="shared" si="54"/>
        <v>10</v>
      </c>
      <c r="AF94" s="758">
        <f t="shared" si="43"/>
        <v>8.5</v>
      </c>
      <c r="AG94" s="758">
        <f t="shared" si="44"/>
        <v>3.4000000000000004</v>
      </c>
      <c r="AH94" s="758">
        <f t="shared" si="45"/>
        <v>3.4000000000000004</v>
      </c>
      <c r="AI94" s="758">
        <f t="shared" si="46"/>
        <v>1.7000000000000002</v>
      </c>
      <c r="AJ94" s="746">
        <f t="shared" si="47"/>
        <v>17</v>
      </c>
      <c r="AK94" s="4">
        <f t="shared" si="48"/>
        <v>1</v>
      </c>
      <c r="AL94" s="4">
        <f t="shared" si="49"/>
        <v>1</v>
      </c>
      <c r="AM94" s="4">
        <f t="shared" si="50"/>
        <v>2</v>
      </c>
      <c r="AN94" s="4">
        <f t="shared" si="51"/>
        <v>10</v>
      </c>
      <c r="AO94" s="4">
        <f t="shared" si="52"/>
        <v>14</v>
      </c>
      <c r="AP94" s="4"/>
      <c r="AQ94" s="4"/>
      <c r="AR94" s="4"/>
    </row>
    <row r="95" spans="1:44">
      <c r="A95" s="746" t="s">
        <v>827</v>
      </c>
      <c r="B95" s="746">
        <v>854</v>
      </c>
      <c r="C95" s="747">
        <v>427</v>
      </c>
      <c r="D95" s="746">
        <f t="shared" si="28"/>
        <v>427</v>
      </c>
      <c r="E95" s="299">
        <v>511</v>
      </c>
      <c r="F95" s="757">
        <f t="shared" si="29"/>
        <v>1.6523169198026507E-3</v>
      </c>
      <c r="G95" s="746">
        <v>26</v>
      </c>
      <c r="H95" s="746">
        <f t="shared" si="32"/>
        <v>20</v>
      </c>
      <c r="I95" s="746">
        <v>15</v>
      </c>
      <c r="J95" s="747">
        <f t="shared" si="33"/>
        <v>9.4563802083333357</v>
      </c>
      <c r="K95" s="746">
        <f t="shared" si="30"/>
        <v>300</v>
      </c>
      <c r="L95" s="746">
        <v>600</v>
      </c>
      <c r="M95" s="746">
        <f t="shared" si="31"/>
        <v>1</v>
      </c>
      <c r="N95" s="746">
        <v>1054.1000000000001</v>
      </c>
      <c r="O95" s="746">
        <v>190.5</v>
      </c>
      <c r="P95" s="746">
        <v>177.8</v>
      </c>
      <c r="Q95" s="746">
        <v>1200</v>
      </c>
      <c r="R95" s="746">
        <v>1080</v>
      </c>
      <c r="S95" s="746">
        <v>1200</v>
      </c>
      <c r="T95" s="746">
        <f t="shared" si="34"/>
        <v>7</v>
      </c>
      <c r="U95" s="746">
        <f t="shared" si="35"/>
        <v>1</v>
      </c>
      <c r="V95" s="746">
        <f t="shared" si="35"/>
        <v>5</v>
      </c>
      <c r="W95" s="746">
        <f t="shared" si="36"/>
        <v>7</v>
      </c>
      <c r="X95" s="746">
        <f t="shared" si="37"/>
        <v>35</v>
      </c>
      <c r="Y95" s="758">
        <f t="shared" si="38"/>
        <v>330.97330729166674</v>
      </c>
      <c r="Z95" s="747">
        <f t="shared" si="39"/>
        <v>3.9370078740157481</v>
      </c>
      <c r="AA95" s="746">
        <f t="shared" si="40"/>
        <v>1</v>
      </c>
      <c r="AB95" s="746">
        <f t="shared" si="41"/>
        <v>35703315.690000005</v>
      </c>
      <c r="AC95" s="746">
        <f t="shared" si="42"/>
        <v>1.2608506944444446</v>
      </c>
      <c r="AD95" s="759" t="s">
        <v>594</v>
      </c>
      <c r="AE95" s="746">
        <f t="shared" si="54"/>
        <v>5</v>
      </c>
      <c r="AF95" s="758">
        <f t="shared" si="43"/>
        <v>10</v>
      </c>
      <c r="AG95" s="758">
        <f t="shared" si="44"/>
        <v>4</v>
      </c>
      <c r="AH95" s="758">
        <f t="shared" si="45"/>
        <v>4</v>
      </c>
      <c r="AI95" s="758">
        <f t="shared" si="46"/>
        <v>2</v>
      </c>
      <c r="AJ95" s="746">
        <f t="shared" si="47"/>
        <v>20</v>
      </c>
      <c r="AK95" s="4">
        <f t="shared" si="48"/>
        <v>0</v>
      </c>
      <c r="AL95" s="4">
        <f t="shared" si="49"/>
        <v>0</v>
      </c>
      <c r="AM95" s="4">
        <f t="shared" si="50"/>
        <v>1</v>
      </c>
      <c r="AN95" s="4">
        <f t="shared" si="51"/>
        <v>3</v>
      </c>
      <c r="AO95" s="4">
        <f t="shared" si="52"/>
        <v>4</v>
      </c>
      <c r="AP95" s="4"/>
      <c r="AQ95" s="4"/>
      <c r="AR95" s="4"/>
    </row>
    <row r="96" spans="1:44">
      <c r="A96" s="746" t="s">
        <v>828</v>
      </c>
      <c r="B96" s="746">
        <v>850</v>
      </c>
      <c r="C96" s="747">
        <v>425</v>
      </c>
      <c r="D96" s="746">
        <f t="shared" si="28"/>
        <v>425</v>
      </c>
      <c r="E96" s="299">
        <v>538</v>
      </c>
      <c r="F96" s="757">
        <f t="shared" si="29"/>
        <v>1.644577730482732E-3</v>
      </c>
      <c r="G96" s="746">
        <v>26</v>
      </c>
      <c r="H96" s="746">
        <f t="shared" si="32"/>
        <v>21</v>
      </c>
      <c r="I96" s="746">
        <v>15</v>
      </c>
      <c r="J96" s="747">
        <f t="shared" si="33"/>
        <v>18.446180555555557</v>
      </c>
      <c r="K96" s="746">
        <f t="shared" si="30"/>
        <v>315</v>
      </c>
      <c r="L96" s="746">
        <v>600</v>
      </c>
      <c r="M96" s="746">
        <f t="shared" si="31"/>
        <v>1</v>
      </c>
      <c r="N96" s="746">
        <v>508</v>
      </c>
      <c r="O96" s="746">
        <v>431.8</v>
      </c>
      <c r="P96" s="746">
        <v>317.5</v>
      </c>
      <c r="Q96" s="746">
        <v>1200</v>
      </c>
      <c r="R96" s="746">
        <v>1080</v>
      </c>
      <c r="S96" s="746">
        <v>1200</v>
      </c>
      <c r="T96" s="746">
        <f t="shared" si="34"/>
        <v>4</v>
      </c>
      <c r="U96" s="746">
        <f t="shared" si="35"/>
        <v>2</v>
      </c>
      <c r="V96" s="746">
        <f t="shared" si="35"/>
        <v>2</v>
      </c>
      <c r="W96" s="746">
        <f t="shared" si="36"/>
        <v>4</v>
      </c>
      <c r="X96" s="746">
        <f t="shared" si="37"/>
        <v>16</v>
      </c>
      <c r="Y96" s="758">
        <f t="shared" si="38"/>
        <v>295.13888888888891</v>
      </c>
      <c r="Z96" s="747">
        <f t="shared" si="39"/>
        <v>3.9370078740157481</v>
      </c>
      <c r="AA96" s="746">
        <f t="shared" si="40"/>
        <v>2</v>
      </c>
      <c r="AB96" s="746">
        <f t="shared" si="41"/>
        <v>69645022</v>
      </c>
      <c r="AC96" s="746">
        <f t="shared" si="42"/>
        <v>2.4594907407407409</v>
      </c>
      <c r="AD96" s="759" t="s">
        <v>594</v>
      </c>
      <c r="AE96" s="746">
        <f t="shared" si="54"/>
        <v>10</v>
      </c>
      <c r="AF96" s="758">
        <f t="shared" si="43"/>
        <v>10.5</v>
      </c>
      <c r="AG96" s="758">
        <f t="shared" si="44"/>
        <v>4.2</v>
      </c>
      <c r="AH96" s="758">
        <f t="shared" si="45"/>
        <v>4.2</v>
      </c>
      <c r="AI96" s="758">
        <f t="shared" si="46"/>
        <v>2.1</v>
      </c>
      <c r="AJ96" s="746">
        <f t="shared" si="47"/>
        <v>21</v>
      </c>
      <c r="AK96" s="4">
        <f t="shared" si="48"/>
        <v>1</v>
      </c>
      <c r="AL96" s="4">
        <f t="shared" si="49"/>
        <v>1</v>
      </c>
      <c r="AM96" s="4">
        <f t="shared" si="50"/>
        <v>2</v>
      </c>
      <c r="AN96" s="4">
        <f t="shared" si="51"/>
        <v>8</v>
      </c>
      <c r="AO96" s="4">
        <f t="shared" si="52"/>
        <v>12</v>
      </c>
      <c r="AP96" s="4"/>
      <c r="AQ96" s="4"/>
      <c r="AR96" s="4"/>
    </row>
    <row r="97" spans="1:44">
      <c r="A97" s="746" t="s">
        <v>829</v>
      </c>
      <c r="B97" s="746">
        <v>411</v>
      </c>
      <c r="C97" s="747">
        <v>411</v>
      </c>
      <c r="D97" s="746">
        <f t="shared" si="28"/>
        <v>411</v>
      </c>
      <c r="E97" s="299">
        <v>411</v>
      </c>
      <c r="F97" s="757">
        <f t="shared" si="29"/>
        <v>1.5904034052433007E-3</v>
      </c>
      <c r="G97" s="746">
        <v>26</v>
      </c>
      <c r="H97" s="746">
        <f t="shared" si="32"/>
        <v>16</v>
      </c>
      <c r="I97" s="746">
        <v>15</v>
      </c>
      <c r="J97" s="747">
        <f t="shared" si="33"/>
        <v>10.427008496186721</v>
      </c>
      <c r="K97" s="746">
        <f t="shared" si="30"/>
        <v>240</v>
      </c>
      <c r="L97" s="746">
        <v>600</v>
      </c>
      <c r="M97" s="746">
        <f t="shared" si="31"/>
        <v>1</v>
      </c>
      <c r="N97" s="746">
        <v>560</v>
      </c>
      <c r="O97" s="746">
        <v>370</v>
      </c>
      <c r="P97" s="746">
        <v>190</v>
      </c>
      <c r="Q97" s="746">
        <v>1200</v>
      </c>
      <c r="R97" s="746">
        <v>1080</v>
      </c>
      <c r="S97" s="746">
        <v>1200</v>
      </c>
      <c r="T97" s="746">
        <f t="shared" si="34"/>
        <v>6</v>
      </c>
      <c r="U97" s="746">
        <f t="shared" si="35"/>
        <v>2</v>
      </c>
      <c r="V97" s="746">
        <f t="shared" si="35"/>
        <v>2</v>
      </c>
      <c r="W97" s="746">
        <f t="shared" si="36"/>
        <v>6</v>
      </c>
      <c r="X97" s="746">
        <f t="shared" si="37"/>
        <v>24</v>
      </c>
      <c r="Y97" s="758">
        <f t="shared" si="38"/>
        <v>250.24820390848129</v>
      </c>
      <c r="Z97" s="747">
        <f t="shared" si="39"/>
        <v>3.9370078740157481</v>
      </c>
      <c r="AA97" s="746">
        <f t="shared" si="40"/>
        <v>1</v>
      </c>
      <c r="AB97" s="746">
        <f t="shared" si="41"/>
        <v>39368000</v>
      </c>
      <c r="AC97" s="746">
        <f t="shared" si="42"/>
        <v>1.3902677994915629</v>
      </c>
      <c r="AD97" s="759" t="s">
        <v>594</v>
      </c>
      <c r="AE97" s="746">
        <f t="shared" si="54"/>
        <v>5</v>
      </c>
      <c r="AF97" s="758">
        <f t="shared" si="43"/>
        <v>8</v>
      </c>
      <c r="AG97" s="758">
        <f t="shared" si="44"/>
        <v>3.2</v>
      </c>
      <c r="AH97" s="758">
        <f t="shared" si="45"/>
        <v>3.2</v>
      </c>
      <c r="AI97" s="758">
        <f t="shared" si="46"/>
        <v>1.6</v>
      </c>
      <c r="AJ97" s="746">
        <f t="shared" si="47"/>
        <v>15.999999999999998</v>
      </c>
      <c r="AK97" s="4">
        <f t="shared" si="48"/>
        <v>0</v>
      </c>
      <c r="AL97" s="4">
        <f t="shared" si="49"/>
        <v>0</v>
      </c>
      <c r="AM97" s="4">
        <f t="shared" si="50"/>
        <v>1</v>
      </c>
      <c r="AN97" s="4">
        <f t="shared" si="51"/>
        <v>4</v>
      </c>
      <c r="AO97" s="4">
        <f t="shared" si="52"/>
        <v>5</v>
      </c>
      <c r="AP97" s="4"/>
      <c r="AQ97" s="4"/>
      <c r="AR97" s="4"/>
    </row>
    <row r="98" spans="1:44">
      <c r="A98" s="746" t="s">
        <v>830</v>
      </c>
      <c r="B98" s="746">
        <v>3243</v>
      </c>
      <c r="C98" s="747">
        <v>405.375</v>
      </c>
      <c r="D98" s="746">
        <f t="shared" si="28"/>
        <v>406</v>
      </c>
      <c r="E98" s="299">
        <v>468</v>
      </c>
      <c r="F98" s="757">
        <f t="shared" si="29"/>
        <v>1.571055431943504E-3</v>
      </c>
      <c r="G98" s="746">
        <v>26</v>
      </c>
      <c r="H98" s="746">
        <f t="shared" si="32"/>
        <v>18</v>
      </c>
      <c r="I98" s="746">
        <v>15</v>
      </c>
      <c r="J98" s="747">
        <f t="shared" si="33"/>
        <v>11.956839858561606</v>
      </c>
      <c r="K98" s="746">
        <f t="shared" si="30"/>
        <v>270</v>
      </c>
      <c r="L98" s="746">
        <v>600</v>
      </c>
      <c r="M98" s="746">
        <f t="shared" si="31"/>
        <v>1</v>
      </c>
      <c r="N98" s="746">
        <v>660</v>
      </c>
      <c r="O98" s="746">
        <v>380</v>
      </c>
      <c r="P98" s="746">
        <v>180</v>
      </c>
      <c r="Q98" s="746">
        <v>1200</v>
      </c>
      <c r="R98" s="746">
        <v>1080</v>
      </c>
      <c r="S98" s="746">
        <v>1200</v>
      </c>
      <c r="T98" s="746">
        <f t="shared" si="34"/>
        <v>7</v>
      </c>
      <c r="U98" s="746">
        <f t="shared" si="35"/>
        <v>1</v>
      </c>
      <c r="V98" s="746">
        <f t="shared" si="35"/>
        <v>2</v>
      </c>
      <c r="W98" s="746">
        <f t="shared" si="36"/>
        <v>7</v>
      </c>
      <c r="X98" s="746">
        <f t="shared" si="37"/>
        <v>14</v>
      </c>
      <c r="Y98" s="758">
        <f t="shared" si="38"/>
        <v>167.39575801986248</v>
      </c>
      <c r="Z98" s="747">
        <f t="shared" si="39"/>
        <v>3.9370078740157481</v>
      </c>
      <c r="AA98" s="746">
        <f t="shared" si="40"/>
        <v>2</v>
      </c>
      <c r="AB98" s="746">
        <f t="shared" si="41"/>
        <v>45144000</v>
      </c>
      <c r="AC98" s="746">
        <f t="shared" si="42"/>
        <v>1.5942453144748809</v>
      </c>
      <c r="AD98" s="759" t="s">
        <v>594</v>
      </c>
      <c r="AE98" s="746">
        <f t="shared" si="54"/>
        <v>10</v>
      </c>
      <c r="AF98" s="758">
        <f t="shared" si="43"/>
        <v>9</v>
      </c>
      <c r="AG98" s="758">
        <f t="shared" si="44"/>
        <v>3.6</v>
      </c>
      <c r="AH98" s="758">
        <f t="shared" si="45"/>
        <v>3.6</v>
      </c>
      <c r="AI98" s="758">
        <f t="shared" si="46"/>
        <v>1.8</v>
      </c>
      <c r="AJ98" s="746">
        <f t="shared" si="47"/>
        <v>18</v>
      </c>
      <c r="AK98" s="4">
        <f t="shared" si="48"/>
        <v>1</v>
      </c>
      <c r="AL98" s="4">
        <f t="shared" si="49"/>
        <v>1</v>
      </c>
      <c r="AM98" s="4">
        <f t="shared" si="50"/>
        <v>2</v>
      </c>
      <c r="AN98" s="4">
        <f t="shared" si="51"/>
        <v>8</v>
      </c>
      <c r="AO98" s="4">
        <f t="shared" si="52"/>
        <v>12</v>
      </c>
      <c r="AP98" s="4"/>
      <c r="AQ98" s="4"/>
      <c r="AR98" s="4"/>
    </row>
    <row r="99" spans="1:44">
      <c r="A99" s="746" t="s">
        <v>831</v>
      </c>
      <c r="B99" s="746">
        <v>395</v>
      </c>
      <c r="C99" s="747">
        <v>395</v>
      </c>
      <c r="D99" s="746">
        <f t="shared" si="28"/>
        <v>395</v>
      </c>
      <c r="E99" s="299">
        <v>395</v>
      </c>
      <c r="F99" s="757">
        <f t="shared" si="29"/>
        <v>1.5284898906839509E-3</v>
      </c>
      <c r="G99" s="746">
        <v>26</v>
      </c>
      <c r="H99" s="746">
        <f t="shared" si="32"/>
        <v>16</v>
      </c>
      <c r="I99" s="746">
        <v>15</v>
      </c>
      <c r="J99" s="747">
        <f t="shared" si="33"/>
        <v>18.275340028370344</v>
      </c>
      <c r="K99" s="746">
        <f t="shared" si="30"/>
        <v>240</v>
      </c>
      <c r="L99" s="746">
        <v>600</v>
      </c>
      <c r="M99" s="746">
        <f t="shared" si="31"/>
        <v>1</v>
      </c>
      <c r="N99" s="746">
        <v>750</v>
      </c>
      <c r="O99" s="746">
        <v>460</v>
      </c>
      <c r="P99" s="746">
        <v>200</v>
      </c>
      <c r="Q99" s="746">
        <v>1200</v>
      </c>
      <c r="R99" s="746">
        <v>1080</v>
      </c>
      <c r="S99" s="746">
        <v>1200</v>
      </c>
      <c r="T99" s="746">
        <f t="shared" si="34"/>
        <v>6</v>
      </c>
      <c r="U99" s="746">
        <f t="shared" si="35"/>
        <v>1</v>
      </c>
      <c r="V99" s="746">
        <f t="shared" si="35"/>
        <v>2</v>
      </c>
      <c r="W99" s="746">
        <f t="shared" si="36"/>
        <v>6</v>
      </c>
      <c r="X99" s="746">
        <f t="shared" si="37"/>
        <v>12</v>
      </c>
      <c r="Y99" s="758">
        <f t="shared" si="38"/>
        <v>219.30408034044413</v>
      </c>
      <c r="Z99" s="747">
        <f t="shared" si="39"/>
        <v>3.9370078740157481</v>
      </c>
      <c r="AA99" s="746">
        <f t="shared" si="40"/>
        <v>2</v>
      </c>
      <c r="AB99" s="746">
        <f t="shared" si="41"/>
        <v>69000000</v>
      </c>
      <c r="AC99" s="746">
        <f t="shared" si="42"/>
        <v>2.4367120037827128</v>
      </c>
      <c r="AD99" s="759" t="s">
        <v>594</v>
      </c>
      <c r="AE99" s="746">
        <f t="shared" si="54"/>
        <v>10</v>
      </c>
      <c r="AF99" s="758">
        <f t="shared" si="43"/>
        <v>8</v>
      </c>
      <c r="AG99" s="758">
        <f t="shared" si="44"/>
        <v>3.2</v>
      </c>
      <c r="AH99" s="758">
        <f t="shared" si="45"/>
        <v>3.2</v>
      </c>
      <c r="AI99" s="758">
        <f t="shared" si="46"/>
        <v>1.6</v>
      </c>
      <c r="AJ99" s="746">
        <f t="shared" si="47"/>
        <v>15.999999999999998</v>
      </c>
      <c r="AK99" s="4">
        <f t="shared" si="48"/>
        <v>1</v>
      </c>
      <c r="AL99" s="4">
        <f t="shared" si="49"/>
        <v>1</v>
      </c>
      <c r="AM99" s="4">
        <f t="shared" si="50"/>
        <v>2</v>
      </c>
      <c r="AN99" s="4">
        <f t="shared" si="51"/>
        <v>8</v>
      </c>
      <c r="AO99" s="4">
        <f t="shared" si="52"/>
        <v>12</v>
      </c>
      <c r="AP99" s="4"/>
      <c r="AQ99" s="4"/>
      <c r="AR99" s="4"/>
    </row>
    <row r="100" spans="1:44">
      <c r="A100" s="746" t="s">
        <v>832</v>
      </c>
      <c r="B100" s="746">
        <v>3797</v>
      </c>
      <c r="C100" s="747">
        <v>379.7</v>
      </c>
      <c r="D100" s="746">
        <f t="shared" si="28"/>
        <v>380</v>
      </c>
      <c r="E100" s="299">
        <v>380</v>
      </c>
      <c r="F100" s="757">
        <f t="shared" si="29"/>
        <v>1.4704459707845603E-3</v>
      </c>
      <c r="G100" s="746">
        <v>26</v>
      </c>
      <c r="H100" s="746">
        <f t="shared" si="32"/>
        <v>15</v>
      </c>
      <c r="I100" s="746">
        <v>15</v>
      </c>
      <c r="J100" s="747">
        <f t="shared" si="33"/>
        <v>32.393437490287063</v>
      </c>
      <c r="K100" s="746">
        <f t="shared" si="30"/>
        <v>225</v>
      </c>
      <c r="L100" s="746">
        <v>600</v>
      </c>
      <c r="M100" s="746">
        <f t="shared" si="31"/>
        <v>1</v>
      </c>
      <c r="N100" s="746">
        <v>840</v>
      </c>
      <c r="O100" s="746">
        <v>520</v>
      </c>
      <c r="P100" s="746">
        <v>280</v>
      </c>
      <c r="Q100" s="746">
        <v>1200</v>
      </c>
      <c r="R100" s="746">
        <v>1080</v>
      </c>
      <c r="S100" s="746">
        <v>1200</v>
      </c>
      <c r="T100" s="746">
        <f t="shared" si="34"/>
        <v>4</v>
      </c>
      <c r="U100" s="746">
        <f t="shared" si="35"/>
        <v>1</v>
      </c>
      <c r="V100" s="746">
        <f t="shared" si="35"/>
        <v>2</v>
      </c>
      <c r="W100" s="746">
        <f t="shared" si="36"/>
        <v>4</v>
      </c>
      <c r="X100" s="746">
        <f t="shared" si="37"/>
        <v>8</v>
      </c>
      <c r="Y100" s="758">
        <f t="shared" si="38"/>
        <v>259.1474999222965</v>
      </c>
      <c r="Z100" s="747">
        <f t="shared" si="39"/>
        <v>3.9370078740157481</v>
      </c>
      <c r="AA100" s="746">
        <f t="shared" si="40"/>
        <v>2</v>
      </c>
      <c r="AB100" s="746">
        <f t="shared" si="41"/>
        <v>122304000</v>
      </c>
      <c r="AC100" s="746">
        <f t="shared" si="42"/>
        <v>4.3191249987049414</v>
      </c>
      <c r="AD100" s="759" t="s">
        <v>594</v>
      </c>
      <c r="AE100" s="746">
        <f t="shared" si="54"/>
        <v>10</v>
      </c>
      <c r="AF100" s="758">
        <f t="shared" si="43"/>
        <v>7.5</v>
      </c>
      <c r="AG100" s="758">
        <f t="shared" si="44"/>
        <v>3</v>
      </c>
      <c r="AH100" s="758">
        <f t="shared" si="45"/>
        <v>3</v>
      </c>
      <c r="AI100" s="758">
        <f t="shared" si="46"/>
        <v>1.5</v>
      </c>
      <c r="AJ100" s="746">
        <f t="shared" si="47"/>
        <v>15</v>
      </c>
      <c r="AK100" s="4">
        <f t="shared" si="48"/>
        <v>1</v>
      </c>
      <c r="AL100" s="4">
        <f t="shared" si="49"/>
        <v>1</v>
      </c>
      <c r="AM100" s="4">
        <f t="shared" si="50"/>
        <v>3</v>
      </c>
      <c r="AN100" s="4">
        <f t="shared" si="51"/>
        <v>11</v>
      </c>
      <c r="AO100" s="4">
        <f t="shared" si="52"/>
        <v>16</v>
      </c>
      <c r="AP100" s="4"/>
      <c r="AQ100" s="4"/>
      <c r="AR100" s="4"/>
    </row>
    <row r="101" spans="1:44">
      <c r="A101" s="763" t="s">
        <v>833</v>
      </c>
      <c r="B101" s="746">
        <v>380</v>
      </c>
      <c r="C101" s="747">
        <v>380</v>
      </c>
      <c r="D101" s="746">
        <f t="shared" si="28"/>
        <v>380</v>
      </c>
      <c r="E101" s="299">
        <v>461</v>
      </c>
      <c r="F101" s="757">
        <f t="shared" si="29"/>
        <v>1.4704459707845603E-3</v>
      </c>
      <c r="G101" s="746">
        <v>26</v>
      </c>
      <c r="H101" s="746">
        <f t="shared" si="32"/>
        <v>18</v>
      </c>
      <c r="I101" s="746">
        <v>15</v>
      </c>
      <c r="J101" s="747">
        <f t="shared" si="33"/>
        <v>114.58333333333331</v>
      </c>
      <c r="K101" s="746">
        <f t="shared" si="30"/>
        <v>270</v>
      </c>
      <c r="L101" s="746">
        <v>600</v>
      </c>
      <c r="M101" s="746">
        <f t="shared" si="31"/>
        <v>1</v>
      </c>
      <c r="N101" s="746">
        <v>1524</v>
      </c>
      <c r="O101" s="746">
        <v>558.79999999999995</v>
      </c>
      <c r="P101" s="746">
        <v>508</v>
      </c>
      <c r="Q101" s="746">
        <v>1500</v>
      </c>
      <c r="R101" s="746">
        <v>1080</v>
      </c>
      <c r="S101" s="746">
        <v>1200</v>
      </c>
      <c r="T101" s="746">
        <f t="shared" si="34"/>
        <v>2</v>
      </c>
      <c r="U101" s="746">
        <f>ROUNDUP(Q101/N101,0)</f>
        <v>1</v>
      </c>
      <c r="V101" s="746">
        <f t="shared" si="35"/>
        <v>1</v>
      </c>
      <c r="W101" s="746">
        <f t="shared" si="36"/>
        <v>2</v>
      </c>
      <c r="X101" s="746">
        <f t="shared" si="37"/>
        <v>2</v>
      </c>
      <c r="Y101" s="758">
        <f t="shared" si="38"/>
        <v>229.16666666666663</v>
      </c>
      <c r="Z101" s="747">
        <f t="shared" si="39"/>
        <v>3.9370078740157481</v>
      </c>
      <c r="AA101" s="746">
        <f t="shared" si="40"/>
        <v>10</v>
      </c>
      <c r="AB101" s="746">
        <f t="shared" si="41"/>
        <v>432618489.59999996</v>
      </c>
      <c r="AC101" s="746">
        <f t="shared" si="42"/>
        <v>15.277777777777775</v>
      </c>
      <c r="AD101" s="759" t="s">
        <v>595</v>
      </c>
      <c r="AE101" s="746">
        <f t="shared" si="53"/>
        <v>100</v>
      </c>
      <c r="AF101" s="758">
        <f t="shared" si="43"/>
        <v>9</v>
      </c>
      <c r="AG101" s="758">
        <f t="shared" si="44"/>
        <v>3.6</v>
      </c>
      <c r="AH101" s="758">
        <f t="shared" si="45"/>
        <v>3.6</v>
      </c>
      <c r="AI101" s="758">
        <f t="shared" si="46"/>
        <v>1.8</v>
      </c>
      <c r="AJ101" s="746">
        <f t="shared" si="47"/>
        <v>18</v>
      </c>
      <c r="AK101" s="4">
        <f t="shared" si="48"/>
        <v>5</v>
      </c>
      <c r="AL101" s="4">
        <f t="shared" si="49"/>
        <v>5</v>
      </c>
      <c r="AM101" s="4">
        <f t="shared" si="50"/>
        <v>13</v>
      </c>
      <c r="AN101" s="4">
        <f t="shared" si="51"/>
        <v>54</v>
      </c>
      <c r="AO101" s="4">
        <f t="shared" si="52"/>
        <v>77</v>
      </c>
      <c r="AP101" s="4"/>
      <c r="AQ101" s="4"/>
      <c r="AR101" s="4"/>
    </row>
    <row r="102" spans="1:44">
      <c r="A102" s="759" t="s">
        <v>834</v>
      </c>
      <c r="B102" s="746">
        <v>1489</v>
      </c>
      <c r="C102" s="747">
        <v>372.25</v>
      </c>
      <c r="D102" s="746">
        <f t="shared" si="28"/>
        <v>373</v>
      </c>
      <c r="E102" s="299">
        <v>483</v>
      </c>
      <c r="F102" s="757">
        <f t="shared" si="29"/>
        <v>1.4433588081648448E-3</v>
      </c>
      <c r="G102" s="746">
        <v>26</v>
      </c>
      <c r="H102" s="746">
        <f t="shared" si="32"/>
        <v>19</v>
      </c>
      <c r="I102" s="746">
        <v>15</v>
      </c>
      <c r="J102" s="747">
        <f t="shared" si="33"/>
        <v>11.176727569990575</v>
      </c>
      <c r="K102" s="746">
        <f t="shared" si="30"/>
        <v>285</v>
      </c>
      <c r="L102" s="746">
        <v>600</v>
      </c>
      <c r="M102" s="746">
        <f t="shared" si="31"/>
        <v>1</v>
      </c>
      <c r="N102" s="746">
        <v>442</v>
      </c>
      <c r="O102" s="746">
        <v>442</v>
      </c>
      <c r="P102" s="746">
        <v>216</v>
      </c>
      <c r="Q102" s="746">
        <v>1200</v>
      </c>
      <c r="R102" s="746">
        <v>1080</v>
      </c>
      <c r="S102" s="746">
        <v>1200</v>
      </c>
      <c r="T102" s="746">
        <f t="shared" si="34"/>
        <v>6</v>
      </c>
      <c r="U102" s="746">
        <f t="shared" si="35"/>
        <v>2</v>
      </c>
      <c r="V102" s="746">
        <f t="shared" si="35"/>
        <v>2</v>
      </c>
      <c r="W102" s="746">
        <f t="shared" si="36"/>
        <v>6</v>
      </c>
      <c r="X102" s="746">
        <f t="shared" si="37"/>
        <v>24</v>
      </c>
      <c r="Y102" s="758">
        <f t="shared" si="38"/>
        <v>268.24146167977381</v>
      </c>
      <c r="Z102" s="747">
        <f t="shared" si="39"/>
        <v>3.9370078740157481</v>
      </c>
      <c r="AA102" s="746">
        <f t="shared" si="40"/>
        <v>1</v>
      </c>
      <c r="AB102" s="746">
        <f t="shared" si="41"/>
        <v>42198624</v>
      </c>
      <c r="AC102" s="746">
        <f t="shared" si="42"/>
        <v>1.49023034266541</v>
      </c>
      <c r="AD102" s="759" t="s">
        <v>594</v>
      </c>
      <c r="AE102" s="746">
        <f t="shared" ref="AE102:AE115" si="55">AA102*5</f>
        <v>5</v>
      </c>
      <c r="AF102" s="758">
        <f t="shared" si="43"/>
        <v>9.5</v>
      </c>
      <c r="AG102" s="758">
        <f t="shared" si="44"/>
        <v>3.8000000000000003</v>
      </c>
      <c r="AH102" s="758">
        <f t="shared" si="45"/>
        <v>3.8000000000000003</v>
      </c>
      <c r="AI102" s="758">
        <f t="shared" si="46"/>
        <v>1.9000000000000001</v>
      </c>
      <c r="AJ102" s="746">
        <f t="shared" si="47"/>
        <v>19</v>
      </c>
      <c r="AK102" s="4">
        <f t="shared" si="48"/>
        <v>0</v>
      </c>
      <c r="AL102" s="4">
        <f t="shared" si="49"/>
        <v>0</v>
      </c>
      <c r="AM102" s="4">
        <f t="shared" si="50"/>
        <v>1</v>
      </c>
      <c r="AN102" s="4">
        <f t="shared" si="51"/>
        <v>5</v>
      </c>
      <c r="AO102" s="4">
        <f t="shared" si="52"/>
        <v>6</v>
      </c>
      <c r="AP102" s="4"/>
      <c r="AQ102" s="4"/>
      <c r="AR102" s="4"/>
    </row>
    <row r="103" spans="1:44">
      <c r="A103" s="746" t="s">
        <v>835</v>
      </c>
      <c r="B103" s="746">
        <v>1008</v>
      </c>
      <c r="C103" s="747">
        <v>336</v>
      </c>
      <c r="D103" s="746">
        <f t="shared" si="28"/>
        <v>336</v>
      </c>
      <c r="E103" s="299">
        <v>355</v>
      </c>
      <c r="F103" s="757">
        <f t="shared" si="29"/>
        <v>1.300183805746348E-3</v>
      </c>
      <c r="G103" s="746">
        <v>26</v>
      </c>
      <c r="H103" s="746">
        <f t="shared" si="32"/>
        <v>14</v>
      </c>
      <c r="I103" s="746">
        <v>15</v>
      </c>
      <c r="J103" s="747">
        <f t="shared" si="33"/>
        <v>7.7289458869982921</v>
      </c>
      <c r="K103" s="746">
        <f t="shared" si="30"/>
        <v>210</v>
      </c>
      <c r="L103" s="746">
        <v>600</v>
      </c>
      <c r="M103" s="746">
        <f t="shared" si="31"/>
        <v>1</v>
      </c>
      <c r="N103" s="746">
        <v>1015</v>
      </c>
      <c r="O103" s="746">
        <v>230</v>
      </c>
      <c r="P103" s="746">
        <v>125</v>
      </c>
      <c r="Q103" s="746">
        <v>1200</v>
      </c>
      <c r="R103" s="746">
        <v>1080</v>
      </c>
      <c r="S103" s="746">
        <v>1200</v>
      </c>
      <c r="T103" s="746">
        <f t="shared" si="34"/>
        <v>10</v>
      </c>
      <c r="U103" s="746">
        <f t="shared" si="35"/>
        <v>1</v>
      </c>
      <c r="V103" s="746">
        <f t="shared" si="35"/>
        <v>4</v>
      </c>
      <c r="W103" s="746">
        <f t="shared" si="36"/>
        <v>10</v>
      </c>
      <c r="X103" s="746">
        <f t="shared" si="37"/>
        <v>40</v>
      </c>
      <c r="Y103" s="758">
        <f t="shared" si="38"/>
        <v>309.15783547993169</v>
      </c>
      <c r="Z103" s="747">
        <f t="shared" si="39"/>
        <v>3.9370078740157481</v>
      </c>
      <c r="AA103" s="746">
        <f t="shared" si="40"/>
        <v>1</v>
      </c>
      <c r="AB103" s="746">
        <f t="shared" si="41"/>
        <v>29181250</v>
      </c>
      <c r="AC103" s="746">
        <f t="shared" si="42"/>
        <v>1.0305261182664389</v>
      </c>
      <c r="AD103" s="759" t="s">
        <v>594</v>
      </c>
      <c r="AE103" s="746">
        <f t="shared" si="55"/>
        <v>5</v>
      </c>
      <c r="AF103" s="758">
        <f t="shared" si="43"/>
        <v>7</v>
      </c>
      <c r="AG103" s="758">
        <f t="shared" si="44"/>
        <v>2.8000000000000003</v>
      </c>
      <c r="AH103" s="758">
        <f t="shared" si="45"/>
        <v>2.8000000000000003</v>
      </c>
      <c r="AI103" s="758">
        <f t="shared" si="46"/>
        <v>1.4000000000000001</v>
      </c>
      <c r="AJ103" s="746">
        <f t="shared" si="47"/>
        <v>14.000000000000002</v>
      </c>
      <c r="AK103" s="4">
        <f t="shared" si="48"/>
        <v>0</v>
      </c>
      <c r="AL103" s="4">
        <f t="shared" si="49"/>
        <v>0</v>
      </c>
      <c r="AM103" s="4">
        <f t="shared" si="50"/>
        <v>0</v>
      </c>
      <c r="AN103" s="4">
        <f t="shared" si="51"/>
        <v>2</v>
      </c>
      <c r="AO103" s="4">
        <f t="shared" si="52"/>
        <v>2</v>
      </c>
      <c r="AP103" s="4"/>
      <c r="AQ103" s="4"/>
      <c r="AR103" s="4"/>
    </row>
    <row r="104" spans="1:44">
      <c r="A104" s="746" t="s">
        <v>836</v>
      </c>
      <c r="B104" s="746">
        <v>630</v>
      </c>
      <c r="C104" s="747">
        <v>315</v>
      </c>
      <c r="D104" s="746">
        <f t="shared" si="28"/>
        <v>315</v>
      </c>
      <c r="E104" s="299">
        <v>323</v>
      </c>
      <c r="F104" s="757">
        <f t="shared" si="29"/>
        <v>1.2189223178872013E-3</v>
      </c>
      <c r="G104" s="746">
        <v>26</v>
      </c>
      <c r="H104" s="746">
        <f t="shared" si="32"/>
        <v>13</v>
      </c>
      <c r="I104" s="746">
        <v>15</v>
      </c>
      <c r="J104" s="747">
        <f t="shared" si="33"/>
        <v>6.3453834598504715</v>
      </c>
      <c r="K104" s="746">
        <f t="shared" si="30"/>
        <v>195</v>
      </c>
      <c r="L104" s="746">
        <v>600</v>
      </c>
      <c r="M104" s="746">
        <f t="shared" si="31"/>
        <v>1</v>
      </c>
      <c r="N104" s="746">
        <v>370</v>
      </c>
      <c r="O104" s="746">
        <v>370</v>
      </c>
      <c r="P104" s="746">
        <v>175</v>
      </c>
      <c r="Q104" s="746">
        <v>1200</v>
      </c>
      <c r="R104" s="746">
        <v>1080</v>
      </c>
      <c r="S104" s="746">
        <v>1200</v>
      </c>
      <c r="T104" s="746">
        <f t="shared" si="34"/>
        <v>7</v>
      </c>
      <c r="U104" s="746">
        <f t="shared" si="35"/>
        <v>3</v>
      </c>
      <c r="V104" s="746">
        <f t="shared" si="35"/>
        <v>2</v>
      </c>
      <c r="W104" s="746">
        <f t="shared" si="36"/>
        <v>7</v>
      </c>
      <c r="X104" s="746">
        <f t="shared" si="37"/>
        <v>42</v>
      </c>
      <c r="Y104" s="758">
        <f t="shared" si="38"/>
        <v>266.50610531371979</v>
      </c>
      <c r="Z104" s="747">
        <f t="shared" si="39"/>
        <v>3.9370078740157481</v>
      </c>
      <c r="AA104" s="746">
        <f t="shared" si="40"/>
        <v>1</v>
      </c>
      <c r="AB104" s="746">
        <f t="shared" si="41"/>
        <v>23957500</v>
      </c>
      <c r="AC104" s="746">
        <f t="shared" si="42"/>
        <v>0.84605112798006288</v>
      </c>
      <c r="AD104" s="759" t="s">
        <v>594</v>
      </c>
      <c r="AE104" s="746">
        <f t="shared" si="55"/>
        <v>5</v>
      </c>
      <c r="AF104" s="758">
        <f t="shared" si="43"/>
        <v>6.5</v>
      </c>
      <c r="AG104" s="758">
        <f t="shared" si="44"/>
        <v>2.6</v>
      </c>
      <c r="AH104" s="758">
        <f t="shared" si="45"/>
        <v>2.6</v>
      </c>
      <c r="AI104" s="758">
        <f t="shared" si="46"/>
        <v>1.3</v>
      </c>
      <c r="AJ104" s="746">
        <f t="shared" si="47"/>
        <v>13</v>
      </c>
      <c r="AK104" s="4">
        <f t="shared" si="48"/>
        <v>0</v>
      </c>
      <c r="AL104" s="4">
        <f t="shared" si="49"/>
        <v>0</v>
      </c>
      <c r="AM104" s="4">
        <f t="shared" si="50"/>
        <v>0</v>
      </c>
      <c r="AN104" s="4">
        <f t="shared" si="51"/>
        <v>2</v>
      </c>
      <c r="AO104" s="4">
        <f t="shared" si="52"/>
        <v>2</v>
      </c>
      <c r="AP104" s="4"/>
      <c r="AQ104" s="4"/>
      <c r="AR104" s="4"/>
    </row>
    <row r="105" spans="1:44">
      <c r="A105" s="746" t="s">
        <v>837</v>
      </c>
      <c r="B105" s="746">
        <v>300</v>
      </c>
      <c r="C105" s="747">
        <v>300</v>
      </c>
      <c r="D105" s="746">
        <f t="shared" si="28"/>
        <v>300</v>
      </c>
      <c r="E105" s="299">
        <v>400</v>
      </c>
      <c r="F105" s="757">
        <f t="shared" si="29"/>
        <v>1.1608783979878108E-3</v>
      </c>
      <c r="G105" s="746">
        <v>26</v>
      </c>
      <c r="H105" s="746">
        <f t="shared" si="32"/>
        <v>16</v>
      </c>
      <c r="I105" s="746">
        <v>15</v>
      </c>
      <c r="J105" s="747">
        <f t="shared" si="33"/>
        <v>2.2569444444444446</v>
      </c>
      <c r="K105" s="746">
        <f t="shared" si="30"/>
        <v>240</v>
      </c>
      <c r="L105" s="746">
        <v>600</v>
      </c>
      <c r="M105" s="746">
        <f t="shared" si="31"/>
        <v>1</v>
      </c>
      <c r="N105" s="746">
        <v>330.2</v>
      </c>
      <c r="O105" s="746">
        <v>203.2</v>
      </c>
      <c r="P105" s="746">
        <v>127</v>
      </c>
      <c r="Q105" s="746">
        <v>1200</v>
      </c>
      <c r="R105" s="746">
        <v>1080</v>
      </c>
      <c r="S105" s="746">
        <v>1200</v>
      </c>
      <c r="T105" s="746">
        <f t="shared" si="34"/>
        <v>9</v>
      </c>
      <c r="U105" s="746">
        <f t="shared" si="35"/>
        <v>3</v>
      </c>
      <c r="V105" s="746">
        <f t="shared" si="35"/>
        <v>5</v>
      </c>
      <c r="W105" s="746">
        <f t="shared" si="36"/>
        <v>9</v>
      </c>
      <c r="X105" s="746">
        <f t="shared" si="37"/>
        <v>135</v>
      </c>
      <c r="Y105" s="758">
        <f t="shared" si="38"/>
        <v>304.6875</v>
      </c>
      <c r="Z105" s="747">
        <f t="shared" si="39"/>
        <v>3.9370078740157481</v>
      </c>
      <c r="AA105" s="746">
        <f t="shared" si="40"/>
        <v>1</v>
      </c>
      <c r="AB105" s="746">
        <f t="shared" si="41"/>
        <v>8521273.2799999993</v>
      </c>
      <c r="AC105" s="746">
        <f t="shared" si="42"/>
        <v>0.30092592592592593</v>
      </c>
      <c r="AD105" s="759" t="s">
        <v>594</v>
      </c>
      <c r="AE105" s="746">
        <f t="shared" si="55"/>
        <v>5</v>
      </c>
      <c r="AF105" s="758">
        <f t="shared" si="43"/>
        <v>8</v>
      </c>
      <c r="AG105" s="758">
        <f t="shared" si="44"/>
        <v>3.2</v>
      </c>
      <c r="AH105" s="758">
        <f t="shared" si="45"/>
        <v>3.2</v>
      </c>
      <c r="AI105" s="758">
        <f t="shared" si="46"/>
        <v>1.6</v>
      </c>
      <c r="AJ105" s="746">
        <f t="shared" si="47"/>
        <v>15.999999999999998</v>
      </c>
      <c r="AK105" s="4">
        <f t="shared" si="48"/>
        <v>0</v>
      </c>
      <c r="AL105" s="4">
        <f t="shared" si="49"/>
        <v>0</v>
      </c>
      <c r="AM105" s="4">
        <f t="shared" si="50"/>
        <v>0</v>
      </c>
      <c r="AN105" s="4">
        <f t="shared" si="51"/>
        <v>1</v>
      </c>
      <c r="AO105" s="4">
        <f t="shared" si="52"/>
        <v>1</v>
      </c>
      <c r="AP105" s="4"/>
      <c r="AQ105" s="4"/>
      <c r="AR105" s="4"/>
    </row>
    <row r="106" spans="1:44">
      <c r="A106" s="746" t="s">
        <v>838</v>
      </c>
      <c r="B106" s="746">
        <v>300</v>
      </c>
      <c r="C106" s="747">
        <v>300</v>
      </c>
      <c r="D106" s="746">
        <f t="shared" si="28"/>
        <v>300</v>
      </c>
      <c r="E106" s="299">
        <v>300</v>
      </c>
      <c r="F106" s="757">
        <f t="shared" si="29"/>
        <v>1.1608783979878108E-3</v>
      </c>
      <c r="G106" s="746">
        <v>26</v>
      </c>
      <c r="H106" s="746">
        <f t="shared" si="32"/>
        <v>12</v>
      </c>
      <c r="I106" s="746">
        <v>15</v>
      </c>
      <c r="J106" s="747">
        <f t="shared" si="33"/>
        <v>8.3333333333333321</v>
      </c>
      <c r="K106" s="746">
        <f t="shared" si="30"/>
        <v>180</v>
      </c>
      <c r="L106" s="746">
        <v>600</v>
      </c>
      <c r="M106" s="746">
        <f t="shared" si="31"/>
        <v>1</v>
      </c>
      <c r="N106" s="746">
        <v>508</v>
      </c>
      <c r="O106" s="746">
        <v>304.8</v>
      </c>
      <c r="P106" s="746">
        <v>203.2</v>
      </c>
      <c r="Q106" s="746">
        <v>1200</v>
      </c>
      <c r="R106" s="746">
        <v>1080</v>
      </c>
      <c r="S106" s="746">
        <v>1200</v>
      </c>
      <c r="T106" s="746">
        <f t="shared" si="34"/>
        <v>6</v>
      </c>
      <c r="U106" s="746">
        <f t="shared" si="35"/>
        <v>2</v>
      </c>
      <c r="V106" s="746">
        <f t="shared" si="35"/>
        <v>3</v>
      </c>
      <c r="W106" s="746">
        <f t="shared" si="36"/>
        <v>6</v>
      </c>
      <c r="X106" s="746">
        <f t="shared" si="37"/>
        <v>36</v>
      </c>
      <c r="Y106" s="758">
        <f t="shared" si="38"/>
        <v>299.99999999999994</v>
      </c>
      <c r="Z106" s="747">
        <f t="shared" si="39"/>
        <v>3.9370078740157481</v>
      </c>
      <c r="AA106" s="746">
        <f t="shared" si="40"/>
        <v>1</v>
      </c>
      <c r="AB106" s="746">
        <f t="shared" si="41"/>
        <v>31463162.879999995</v>
      </c>
      <c r="AC106" s="746">
        <f t="shared" si="42"/>
        <v>1.1111111111111109</v>
      </c>
      <c r="AD106" s="759" t="s">
        <v>594</v>
      </c>
      <c r="AE106" s="746">
        <f t="shared" si="55"/>
        <v>5</v>
      </c>
      <c r="AF106" s="758">
        <f t="shared" si="43"/>
        <v>6</v>
      </c>
      <c r="AG106" s="758">
        <f t="shared" si="44"/>
        <v>2.4000000000000004</v>
      </c>
      <c r="AH106" s="758">
        <f t="shared" si="45"/>
        <v>2.4000000000000004</v>
      </c>
      <c r="AI106" s="758">
        <f t="shared" si="46"/>
        <v>1.2000000000000002</v>
      </c>
      <c r="AJ106" s="746">
        <f t="shared" si="47"/>
        <v>12</v>
      </c>
      <c r="AK106" s="4">
        <f t="shared" si="48"/>
        <v>0</v>
      </c>
      <c r="AL106" s="4">
        <f t="shared" si="49"/>
        <v>0</v>
      </c>
      <c r="AM106" s="4">
        <f t="shared" si="50"/>
        <v>0</v>
      </c>
      <c r="AN106" s="4">
        <f t="shared" si="51"/>
        <v>2</v>
      </c>
      <c r="AO106" s="4">
        <f t="shared" si="52"/>
        <v>2</v>
      </c>
      <c r="AP106" s="4"/>
      <c r="AQ106" s="4"/>
      <c r="AR106" s="4"/>
    </row>
    <row r="107" spans="1:44">
      <c r="A107" s="746" t="s">
        <v>839</v>
      </c>
      <c r="B107" s="746">
        <v>600</v>
      </c>
      <c r="C107" s="747">
        <v>300</v>
      </c>
      <c r="D107" s="746">
        <f t="shared" si="28"/>
        <v>300</v>
      </c>
      <c r="E107" s="299">
        <v>300</v>
      </c>
      <c r="F107" s="757">
        <f t="shared" si="29"/>
        <v>1.1608783979878108E-3</v>
      </c>
      <c r="G107" s="746">
        <v>26</v>
      </c>
      <c r="H107" s="746">
        <f t="shared" si="32"/>
        <v>12</v>
      </c>
      <c r="I107" s="746">
        <v>15</v>
      </c>
      <c r="J107" s="747">
        <f t="shared" si="33"/>
        <v>10.992643513064806</v>
      </c>
      <c r="K107" s="746">
        <f t="shared" si="30"/>
        <v>180</v>
      </c>
      <c r="L107" s="746">
        <v>600</v>
      </c>
      <c r="M107" s="746">
        <f t="shared" si="31"/>
        <v>1</v>
      </c>
      <c r="N107" s="746">
        <v>508</v>
      </c>
      <c r="O107" s="746">
        <v>430</v>
      </c>
      <c r="P107" s="746">
        <v>190</v>
      </c>
      <c r="Q107" s="746">
        <v>1200</v>
      </c>
      <c r="R107" s="746">
        <v>1080</v>
      </c>
      <c r="S107" s="746">
        <v>1200</v>
      </c>
      <c r="T107" s="746">
        <f t="shared" si="34"/>
        <v>6</v>
      </c>
      <c r="U107" s="746">
        <f t="shared" si="35"/>
        <v>2</v>
      </c>
      <c r="V107" s="746">
        <f t="shared" si="35"/>
        <v>2</v>
      </c>
      <c r="W107" s="746">
        <f t="shared" si="36"/>
        <v>6</v>
      </c>
      <c r="X107" s="746">
        <f t="shared" si="37"/>
        <v>24</v>
      </c>
      <c r="Y107" s="758">
        <f t="shared" si="38"/>
        <v>263.82344431355534</v>
      </c>
      <c r="Z107" s="747">
        <f t="shared" si="39"/>
        <v>3.9370078740157481</v>
      </c>
      <c r="AA107" s="746">
        <f t="shared" si="40"/>
        <v>1</v>
      </c>
      <c r="AB107" s="746">
        <f t="shared" si="41"/>
        <v>41503600</v>
      </c>
      <c r="AC107" s="746">
        <f t="shared" si="42"/>
        <v>1.465685801741974</v>
      </c>
      <c r="AD107" s="759" t="s">
        <v>594</v>
      </c>
      <c r="AE107" s="746">
        <f t="shared" si="55"/>
        <v>5</v>
      </c>
      <c r="AF107" s="758">
        <f t="shared" si="43"/>
        <v>6</v>
      </c>
      <c r="AG107" s="758">
        <f t="shared" si="44"/>
        <v>2.4000000000000004</v>
      </c>
      <c r="AH107" s="758">
        <f t="shared" si="45"/>
        <v>2.4000000000000004</v>
      </c>
      <c r="AI107" s="758">
        <f t="shared" si="46"/>
        <v>1.2000000000000002</v>
      </c>
      <c r="AJ107" s="746">
        <f t="shared" si="47"/>
        <v>12</v>
      </c>
      <c r="AK107" s="4">
        <f t="shared" si="48"/>
        <v>0</v>
      </c>
      <c r="AL107" s="4">
        <f t="shared" si="49"/>
        <v>0</v>
      </c>
      <c r="AM107" s="4">
        <f t="shared" si="50"/>
        <v>1</v>
      </c>
      <c r="AN107" s="4">
        <f t="shared" si="51"/>
        <v>3</v>
      </c>
      <c r="AO107" s="4">
        <f t="shared" si="52"/>
        <v>4</v>
      </c>
      <c r="AP107" s="4"/>
      <c r="AQ107" s="4"/>
      <c r="AR107" s="4"/>
    </row>
    <row r="108" spans="1:44">
      <c r="A108" s="746" t="s">
        <v>840</v>
      </c>
      <c r="B108" s="746">
        <v>296</v>
      </c>
      <c r="C108" s="747">
        <v>296</v>
      </c>
      <c r="D108" s="746">
        <f t="shared" si="28"/>
        <v>296</v>
      </c>
      <c r="E108" s="299">
        <v>296</v>
      </c>
      <c r="F108" s="757">
        <f t="shared" si="29"/>
        <v>1.1454000193479733E-3</v>
      </c>
      <c r="G108" s="746">
        <v>26</v>
      </c>
      <c r="H108" s="746">
        <f t="shared" si="32"/>
        <v>12</v>
      </c>
      <c r="I108" s="746">
        <v>15</v>
      </c>
      <c r="J108" s="747">
        <f t="shared" si="33"/>
        <v>28.437500000000004</v>
      </c>
      <c r="K108" s="746">
        <f t="shared" si="30"/>
        <v>180</v>
      </c>
      <c r="L108" s="746">
        <v>600</v>
      </c>
      <c r="M108" s="746">
        <f t="shared" si="31"/>
        <v>1</v>
      </c>
      <c r="N108" s="746">
        <v>1066.8</v>
      </c>
      <c r="O108" s="746">
        <v>330.2</v>
      </c>
      <c r="P108" s="746">
        <v>304.8</v>
      </c>
      <c r="Q108" s="746">
        <v>1200</v>
      </c>
      <c r="R108" s="746">
        <v>1080</v>
      </c>
      <c r="S108" s="746">
        <v>1200</v>
      </c>
      <c r="T108" s="746">
        <f t="shared" si="34"/>
        <v>4</v>
      </c>
      <c r="U108" s="746">
        <f t="shared" si="35"/>
        <v>1</v>
      </c>
      <c r="V108" s="746">
        <f t="shared" si="35"/>
        <v>3</v>
      </c>
      <c r="W108" s="746">
        <f t="shared" si="36"/>
        <v>4</v>
      </c>
      <c r="X108" s="746">
        <f t="shared" si="37"/>
        <v>12</v>
      </c>
      <c r="Y108" s="758">
        <f t="shared" si="38"/>
        <v>341.25000000000006</v>
      </c>
      <c r="Z108" s="747">
        <f t="shared" si="39"/>
        <v>3.9370078740157481</v>
      </c>
      <c r="AA108" s="746">
        <f t="shared" si="40"/>
        <v>2</v>
      </c>
      <c r="AB108" s="746">
        <f t="shared" si="41"/>
        <v>107368043.32799999</v>
      </c>
      <c r="AC108" s="746">
        <f t="shared" si="42"/>
        <v>3.791666666666667</v>
      </c>
      <c r="AD108" s="759" t="s">
        <v>594</v>
      </c>
      <c r="AE108" s="746">
        <f t="shared" si="55"/>
        <v>10</v>
      </c>
      <c r="AF108" s="758">
        <f t="shared" si="43"/>
        <v>6</v>
      </c>
      <c r="AG108" s="758">
        <f t="shared" si="44"/>
        <v>2.4000000000000004</v>
      </c>
      <c r="AH108" s="758">
        <f t="shared" si="45"/>
        <v>2.4000000000000004</v>
      </c>
      <c r="AI108" s="758">
        <f t="shared" si="46"/>
        <v>1.2000000000000002</v>
      </c>
      <c r="AJ108" s="746">
        <f t="shared" si="47"/>
        <v>12</v>
      </c>
      <c r="AK108" s="4">
        <f t="shared" si="48"/>
        <v>1</v>
      </c>
      <c r="AL108" s="4">
        <f t="shared" si="49"/>
        <v>1</v>
      </c>
      <c r="AM108" s="4">
        <f t="shared" si="50"/>
        <v>1</v>
      </c>
      <c r="AN108" s="4">
        <f t="shared" si="51"/>
        <v>6</v>
      </c>
      <c r="AO108" s="4">
        <f t="shared" si="52"/>
        <v>9</v>
      </c>
      <c r="AP108" s="4"/>
      <c r="AQ108" s="4"/>
      <c r="AR108" s="4"/>
    </row>
    <row r="109" spans="1:44">
      <c r="A109" s="746" t="s">
        <v>841</v>
      </c>
      <c r="B109" s="746">
        <v>295</v>
      </c>
      <c r="C109" s="747">
        <v>295</v>
      </c>
      <c r="D109" s="746">
        <f t="shared" si="28"/>
        <v>295</v>
      </c>
      <c r="E109" s="299">
        <v>295</v>
      </c>
      <c r="F109" s="757">
        <f t="shared" si="29"/>
        <v>1.1415304246880139E-3</v>
      </c>
      <c r="G109" s="746">
        <v>26</v>
      </c>
      <c r="H109" s="746">
        <f t="shared" si="32"/>
        <v>12</v>
      </c>
      <c r="I109" s="746">
        <v>15</v>
      </c>
      <c r="J109" s="747">
        <f t="shared" si="33"/>
        <v>69.270833333333314</v>
      </c>
      <c r="K109" s="746">
        <f t="shared" si="30"/>
        <v>180</v>
      </c>
      <c r="L109" s="746">
        <v>600</v>
      </c>
      <c r="M109" s="746">
        <f t="shared" si="31"/>
        <v>1</v>
      </c>
      <c r="N109" s="746">
        <v>965.19999999999993</v>
      </c>
      <c r="O109" s="746">
        <v>533.4</v>
      </c>
      <c r="P109" s="746">
        <v>508</v>
      </c>
      <c r="Q109" s="746">
        <v>1200</v>
      </c>
      <c r="R109" s="746">
        <v>1080</v>
      </c>
      <c r="S109" s="746">
        <v>1200</v>
      </c>
      <c r="T109" s="746">
        <f t="shared" si="34"/>
        <v>2</v>
      </c>
      <c r="U109" s="746">
        <f t="shared" si="35"/>
        <v>1</v>
      </c>
      <c r="V109" s="746">
        <f t="shared" si="35"/>
        <v>2</v>
      </c>
      <c r="W109" s="746">
        <f t="shared" si="36"/>
        <v>2</v>
      </c>
      <c r="X109" s="746">
        <f t="shared" si="37"/>
        <v>4</v>
      </c>
      <c r="Y109" s="758">
        <f t="shared" si="38"/>
        <v>277.08333333333326</v>
      </c>
      <c r="Z109" s="747">
        <f t="shared" si="39"/>
        <v>3.9370078740157481</v>
      </c>
      <c r="AA109" s="746">
        <f t="shared" si="40"/>
        <v>4</v>
      </c>
      <c r="AB109" s="746">
        <f t="shared" si="41"/>
        <v>261537541.43999997</v>
      </c>
      <c r="AC109" s="746">
        <f t="shared" si="42"/>
        <v>9.2361111111111089</v>
      </c>
      <c r="AD109" s="759" t="s">
        <v>594</v>
      </c>
      <c r="AE109" s="746">
        <f t="shared" si="55"/>
        <v>20</v>
      </c>
      <c r="AF109" s="758">
        <f t="shared" si="43"/>
        <v>6</v>
      </c>
      <c r="AG109" s="758">
        <f t="shared" si="44"/>
        <v>2.4000000000000004</v>
      </c>
      <c r="AH109" s="758">
        <f t="shared" si="45"/>
        <v>2.4000000000000004</v>
      </c>
      <c r="AI109" s="758">
        <f t="shared" si="46"/>
        <v>1.2000000000000002</v>
      </c>
      <c r="AJ109" s="746">
        <f t="shared" si="47"/>
        <v>12</v>
      </c>
      <c r="AK109" s="4">
        <f t="shared" si="48"/>
        <v>2</v>
      </c>
      <c r="AL109" s="4">
        <f t="shared" si="49"/>
        <v>2</v>
      </c>
      <c r="AM109" s="4">
        <f t="shared" si="50"/>
        <v>4</v>
      </c>
      <c r="AN109" s="4">
        <f t="shared" si="51"/>
        <v>18</v>
      </c>
      <c r="AO109" s="4">
        <f t="shared" si="52"/>
        <v>26</v>
      </c>
      <c r="AP109" s="4"/>
      <c r="AQ109" s="4"/>
      <c r="AR109" s="4"/>
    </row>
    <row r="110" spans="1:44">
      <c r="A110" s="746" t="s">
        <v>842</v>
      </c>
      <c r="B110" s="746">
        <v>2627</v>
      </c>
      <c r="C110" s="747">
        <v>262.7</v>
      </c>
      <c r="D110" s="746">
        <f t="shared" si="28"/>
        <v>263</v>
      </c>
      <c r="E110" s="299">
        <v>343</v>
      </c>
      <c r="F110" s="757">
        <f t="shared" si="29"/>
        <v>1.0177033955693141E-3</v>
      </c>
      <c r="G110" s="746">
        <v>26</v>
      </c>
      <c r="H110" s="746">
        <f t="shared" si="32"/>
        <v>14</v>
      </c>
      <c r="I110" s="746">
        <v>15</v>
      </c>
      <c r="J110" s="747">
        <f t="shared" si="33"/>
        <v>69.755416835787187</v>
      </c>
      <c r="K110" s="746">
        <f t="shared" si="30"/>
        <v>210</v>
      </c>
      <c r="L110" s="746">
        <v>600</v>
      </c>
      <c r="M110" s="746">
        <f t="shared" si="31"/>
        <v>1</v>
      </c>
      <c r="N110" s="746">
        <v>1015</v>
      </c>
      <c r="O110" s="746">
        <v>535</v>
      </c>
      <c r="P110" s="746">
        <v>485</v>
      </c>
      <c r="Q110" s="746">
        <v>1200</v>
      </c>
      <c r="R110" s="746">
        <v>1080</v>
      </c>
      <c r="S110" s="746">
        <v>1200</v>
      </c>
      <c r="T110" s="746">
        <f t="shared" si="34"/>
        <v>2</v>
      </c>
      <c r="U110" s="746">
        <f t="shared" si="35"/>
        <v>1</v>
      </c>
      <c r="V110" s="746">
        <f t="shared" si="35"/>
        <v>2</v>
      </c>
      <c r="W110" s="746">
        <f t="shared" si="36"/>
        <v>2</v>
      </c>
      <c r="X110" s="746">
        <f t="shared" si="37"/>
        <v>4</v>
      </c>
      <c r="Y110" s="758">
        <f t="shared" si="38"/>
        <v>279.02166734314875</v>
      </c>
      <c r="Z110" s="747">
        <f t="shared" si="39"/>
        <v>3.9370078740157481</v>
      </c>
      <c r="AA110" s="746">
        <f t="shared" si="40"/>
        <v>4</v>
      </c>
      <c r="AB110" s="746">
        <f t="shared" si="41"/>
        <v>263367125</v>
      </c>
      <c r="AC110" s="746">
        <f t="shared" si="42"/>
        <v>9.3007222447716256</v>
      </c>
      <c r="AD110" s="759" t="s">
        <v>594</v>
      </c>
      <c r="AE110" s="746">
        <f t="shared" si="55"/>
        <v>20</v>
      </c>
      <c r="AF110" s="758">
        <f t="shared" si="43"/>
        <v>7</v>
      </c>
      <c r="AG110" s="758">
        <f t="shared" si="44"/>
        <v>2.8000000000000003</v>
      </c>
      <c r="AH110" s="758">
        <f t="shared" si="45"/>
        <v>2.8000000000000003</v>
      </c>
      <c r="AI110" s="758">
        <f t="shared" si="46"/>
        <v>1.4000000000000001</v>
      </c>
      <c r="AJ110" s="746">
        <f t="shared" si="47"/>
        <v>14.000000000000002</v>
      </c>
      <c r="AK110" s="4">
        <f t="shared" si="48"/>
        <v>2</v>
      </c>
      <c r="AL110" s="4">
        <f t="shared" si="49"/>
        <v>2</v>
      </c>
      <c r="AM110" s="4">
        <f t="shared" si="50"/>
        <v>5</v>
      </c>
      <c r="AN110" s="4">
        <f t="shared" si="51"/>
        <v>21</v>
      </c>
      <c r="AO110" s="4">
        <f t="shared" si="52"/>
        <v>30</v>
      </c>
      <c r="AP110" s="4"/>
      <c r="AQ110" s="4"/>
      <c r="AR110" s="4"/>
    </row>
    <row r="111" spans="1:44">
      <c r="A111" s="746" t="s">
        <v>843</v>
      </c>
      <c r="B111" s="746">
        <v>2015</v>
      </c>
      <c r="C111" s="747">
        <v>251.875</v>
      </c>
      <c r="D111" s="746">
        <f t="shared" si="28"/>
        <v>252</v>
      </c>
      <c r="E111" s="299">
        <v>337</v>
      </c>
      <c r="F111" s="757">
        <f t="shared" si="29"/>
        <v>9.7513785430976101E-4</v>
      </c>
      <c r="G111" s="746">
        <v>26</v>
      </c>
      <c r="H111" s="746">
        <f t="shared" si="32"/>
        <v>13</v>
      </c>
      <c r="I111" s="746">
        <v>15</v>
      </c>
      <c r="J111" s="747">
        <f t="shared" si="33"/>
        <v>13.020833333333336</v>
      </c>
      <c r="K111" s="746">
        <f t="shared" si="30"/>
        <v>195</v>
      </c>
      <c r="L111" s="746">
        <v>600</v>
      </c>
      <c r="M111" s="746">
        <f t="shared" si="31"/>
        <v>1</v>
      </c>
      <c r="N111" s="746">
        <v>508</v>
      </c>
      <c r="O111" s="746">
        <v>381</v>
      </c>
      <c r="P111" s="746">
        <v>254</v>
      </c>
      <c r="Q111" s="746">
        <v>1200</v>
      </c>
      <c r="R111" s="746">
        <v>1080</v>
      </c>
      <c r="S111" s="746">
        <v>1200</v>
      </c>
      <c r="T111" s="746">
        <f t="shared" si="34"/>
        <v>5</v>
      </c>
      <c r="U111" s="746">
        <f t="shared" si="35"/>
        <v>2</v>
      </c>
      <c r="V111" s="746">
        <f t="shared" si="35"/>
        <v>2</v>
      </c>
      <c r="W111" s="746">
        <f t="shared" si="36"/>
        <v>5</v>
      </c>
      <c r="X111" s="746">
        <f t="shared" si="37"/>
        <v>20</v>
      </c>
      <c r="Y111" s="758">
        <f t="shared" si="38"/>
        <v>260.41666666666674</v>
      </c>
      <c r="Z111" s="747">
        <f t="shared" si="39"/>
        <v>3.9370078740157481</v>
      </c>
      <c r="AA111" s="746">
        <f t="shared" si="40"/>
        <v>1</v>
      </c>
      <c r="AB111" s="746">
        <f t="shared" si="41"/>
        <v>49161192</v>
      </c>
      <c r="AC111" s="746">
        <f t="shared" si="42"/>
        <v>1.7361111111111114</v>
      </c>
      <c r="AD111" s="759" t="s">
        <v>594</v>
      </c>
      <c r="AE111" s="746">
        <f t="shared" si="55"/>
        <v>5</v>
      </c>
      <c r="AF111" s="758">
        <f t="shared" si="43"/>
        <v>6.5</v>
      </c>
      <c r="AG111" s="758">
        <f t="shared" si="44"/>
        <v>2.6</v>
      </c>
      <c r="AH111" s="758">
        <f t="shared" si="45"/>
        <v>2.6</v>
      </c>
      <c r="AI111" s="758">
        <f t="shared" si="46"/>
        <v>1.3</v>
      </c>
      <c r="AJ111" s="746">
        <f t="shared" si="47"/>
        <v>13</v>
      </c>
      <c r="AK111" s="4">
        <f t="shared" si="48"/>
        <v>0</v>
      </c>
      <c r="AL111" s="4">
        <f t="shared" si="49"/>
        <v>0</v>
      </c>
      <c r="AM111" s="4">
        <f t="shared" si="50"/>
        <v>1</v>
      </c>
      <c r="AN111" s="4">
        <f t="shared" si="51"/>
        <v>4</v>
      </c>
      <c r="AO111" s="4">
        <f t="shared" si="52"/>
        <v>5</v>
      </c>
      <c r="AP111" s="4"/>
      <c r="AQ111" s="4"/>
      <c r="AR111" s="4"/>
    </row>
    <row r="112" spans="1:44">
      <c r="A112" s="746" t="s">
        <v>844</v>
      </c>
      <c r="B112" s="746">
        <v>250</v>
      </c>
      <c r="C112" s="747">
        <v>250</v>
      </c>
      <c r="D112" s="746">
        <f t="shared" si="28"/>
        <v>250</v>
      </c>
      <c r="E112" s="299">
        <v>250</v>
      </c>
      <c r="F112" s="757">
        <f t="shared" si="29"/>
        <v>9.6739866498984234E-4</v>
      </c>
      <c r="G112" s="746">
        <v>26</v>
      </c>
      <c r="H112" s="746">
        <f t="shared" si="32"/>
        <v>10</v>
      </c>
      <c r="I112" s="746">
        <v>15</v>
      </c>
      <c r="J112" s="747">
        <f t="shared" si="33"/>
        <v>3.5636913055322172</v>
      </c>
      <c r="K112" s="746">
        <f t="shared" si="30"/>
        <v>150</v>
      </c>
      <c r="L112" s="746">
        <v>600</v>
      </c>
      <c r="M112" s="746">
        <f t="shared" si="31"/>
        <v>1</v>
      </c>
      <c r="N112" s="746">
        <v>390</v>
      </c>
      <c r="O112" s="746">
        <v>230</v>
      </c>
      <c r="P112" s="746">
        <v>150</v>
      </c>
      <c r="Q112" s="746">
        <v>1200</v>
      </c>
      <c r="R112" s="746">
        <v>1080</v>
      </c>
      <c r="S112" s="746">
        <v>1200</v>
      </c>
      <c r="T112" s="746">
        <f t="shared" si="34"/>
        <v>8</v>
      </c>
      <c r="U112" s="746">
        <f t="shared" si="35"/>
        <v>3</v>
      </c>
      <c r="V112" s="746">
        <f t="shared" si="35"/>
        <v>4</v>
      </c>
      <c r="W112" s="746">
        <f t="shared" si="36"/>
        <v>8</v>
      </c>
      <c r="X112" s="746">
        <f t="shared" si="37"/>
        <v>96</v>
      </c>
      <c r="Y112" s="758">
        <f t="shared" si="38"/>
        <v>342.11436533109287</v>
      </c>
      <c r="Z112" s="747">
        <f t="shared" si="39"/>
        <v>3.9370078740157481</v>
      </c>
      <c r="AA112" s="746">
        <f t="shared" si="40"/>
        <v>1</v>
      </c>
      <c r="AB112" s="746">
        <f t="shared" si="41"/>
        <v>13455000</v>
      </c>
      <c r="AC112" s="746">
        <f t="shared" si="42"/>
        <v>0.47515884073762898</v>
      </c>
      <c r="AD112" s="759" t="s">
        <v>594</v>
      </c>
      <c r="AE112" s="746">
        <f t="shared" si="55"/>
        <v>5</v>
      </c>
      <c r="AF112" s="758">
        <f t="shared" si="43"/>
        <v>5</v>
      </c>
      <c r="AG112" s="758">
        <f t="shared" si="44"/>
        <v>2</v>
      </c>
      <c r="AH112" s="758">
        <f t="shared" si="45"/>
        <v>2</v>
      </c>
      <c r="AI112" s="758">
        <f t="shared" si="46"/>
        <v>1</v>
      </c>
      <c r="AJ112" s="746">
        <f t="shared" si="47"/>
        <v>10</v>
      </c>
      <c r="AK112" s="4">
        <f t="shared" si="48"/>
        <v>0</v>
      </c>
      <c r="AL112" s="4">
        <f t="shared" si="49"/>
        <v>0</v>
      </c>
      <c r="AM112" s="4">
        <f t="shared" si="50"/>
        <v>0</v>
      </c>
      <c r="AN112" s="4">
        <f t="shared" si="51"/>
        <v>1</v>
      </c>
      <c r="AO112" s="4">
        <f t="shared" si="52"/>
        <v>1</v>
      </c>
      <c r="AP112" s="4"/>
      <c r="AQ112" s="4"/>
      <c r="AR112" s="4"/>
    </row>
    <row r="113" spans="1:44">
      <c r="A113" s="746" t="s">
        <v>845</v>
      </c>
      <c r="B113" s="746">
        <v>2490</v>
      </c>
      <c r="C113" s="747">
        <v>249</v>
      </c>
      <c r="D113" s="746">
        <f t="shared" si="28"/>
        <v>249</v>
      </c>
      <c r="E113" s="299">
        <v>326</v>
      </c>
      <c r="F113" s="757">
        <f t="shared" si="29"/>
        <v>9.6352907032988295E-4</v>
      </c>
      <c r="G113" s="746">
        <v>26</v>
      </c>
      <c r="H113" s="746">
        <f t="shared" si="32"/>
        <v>13</v>
      </c>
      <c r="I113" s="746">
        <v>15</v>
      </c>
      <c r="J113" s="747">
        <f t="shared" si="33"/>
        <v>18.275340028370344</v>
      </c>
      <c r="K113" s="746">
        <f t="shared" si="30"/>
        <v>195</v>
      </c>
      <c r="L113" s="746">
        <v>600</v>
      </c>
      <c r="M113" s="746">
        <f t="shared" si="31"/>
        <v>1</v>
      </c>
      <c r="N113" s="746">
        <v>750</v>
      </c>
      <c r="O113" s="746">
        <v>460</v>
      </c>
      <c r="P113" s="746">
        <v>200</v>
      </c>
      <c r="Q113" s="746">
        <v>1200</v>
      </c>
      <c r="R113" s="746">
        <v>1080</v>
      </c>
      <c r="S113" s="746">
        <v>1200</v>
      </c>
      <c r="T113" s="746">
        <f t="shared" si="34"/>
        <v>6</v>
      </c>
      <c r="U113" s="746">
        <f t="shared" si="35"/>
        <v>1</v>
      </c>
      <c r="V113" s="746">
        <f t="shared" si="35"/>
        <v>2</v>
      </c>
      <c r="W113" s="746">
        <f t="shared" si="36"/>
        <v>6</v>
      </c>
      <c r="X113" s="746">
        <f t="shared" si="37"/>
        <v>12</v>
      </c>
      <c r="Y113" s="758">
        <f t="shared" si="38"/>
        <v>219.30408034044413</v>
      </c>
      <c r="Z113" s="747">
        <f t="shared" si="39"/>
        <v>3.9370078740157481</v>
      </c>
      <c r="AA113" s="746">
        <f t="shared" si="40"/>
        <v>2</v>
      </c>
      <c r="AB113" s="746">
        <f t="shared" si="41"/>
        <v>69000000</v>
      </c>
      <c r="AC113" s="746">
        <f t="shared" si="42"/>
        <v>2.4367120037827128</v>
      </c>
      <c r="AD113" s="759" t="s">
        <v>594</v>
      </c>
      <c r="AE113" s="746">
        <f t="shared" si="55"/>
        <v>10</v>
      </c>
      <c r="AF113" s="758">
        <f t="shared" si="43"/>
        <v>6.5</v>
      </c>
      <c r="AG113" s="758">
        <f t="shared" si="44"/>
        <v>2.6</v>
      </c>
      <c r="AH113" s="758">
        <f t="shared" si="45"/>
        <v>2.6</v>
      </c>
      <c r="AI113" s="758">
        <f t="shared" si="46"/>
        <v>1.3</v>
      </c>
      <c r="AJ113" s="746">
        <f t="shared" si="47"/>
        <v>13</v>
      </c>
      <c r="AK113" s="4">
        <f t="shared" si="48"/>
        <v>1</v>
      </c>
      <c r="AL113" s="4">
        <f t="shared" si="49"/>
        <v>1</v>
      </c>
      <c r="AM113" s="4">
        <f t="shared" si="50"/>
        <v>2</v>
      </c>
      <c r="AN113" s="4">
        <f t="shared" si="51"/>
        <v>7</v>
      </c>
      <c r="AO113" s="4">
        <f t="shared" si="52"/>
        <v>11</v>
      </c>
      <c r="AP113" s="4"/>
      <c r="AQ113" s="4"/>
      <c r="AR113" s="4"/>
    </row>
    <row r="114" spans="1:44">
      <c r="A114" s="746" t="s">
        <v>846</v>
      </c>
      <c r="B114" s="746">
        <v>242</v>
      </c>
      <c r="C114" s="747">
        <v>242</v>
      </c>
      <c r="D114" s="746">
        <f t="shared" si="28"/>
        <v>242</v>
      </c>
      <c r="E114" s="299">
        <v>242</v>
      </c>
      <c r="F114" s="757">
        <f t="shared" si="29"/>
        <v>9.3644190771016733E-4</v>
      </c>
      <c r="G114" s="746">
        <v>26</v>
      </c>
      <c r="H114" s="746">
        <f t="shared" si="32"/>
        <v>10</v>
      </c>
      <c r="I114" s="746">
        <v>15</v>
      </c>
      <c r="J114" s="747">
        <f t="shared" si="33"/>
        <v>83.333333333333329</v>
      </c>
      <c r="K114" s="746">
        <f t="shared" si="30"/>
        <v>150</v>
      </c>
      <c r="L114" s="746">
        <v>600</v>
      </c>
      <c r="M114" s="746">
        <f t="shared" si="31"/>
        <v>1</v>
      </c>
      <c r="N114" s="746">
        <v>1016</v>
      </c>
      <c r="O114" s="746">
        <v>609.6</v>
      </c>
      <c r="P114" s="746">
        <v>508</v>
      </c>
      <c r="Q114" s="746">
        <v>1200</v>
      </c>
      <c r="R114" s="746">
        <v>1080</v>
      </c>
      <c r="S114" s="746">
        <v>1200</v>
      </c>
      <c r="T114" s="746">
        <f t="shared" si="34"/>
        <v>2</v>
      </c>
      <c r="U114" s="746">
        <f t="shared" si="35"/>
        <v>1</v>
      </c>
      <c r="V114" s="746">
        <f t="shared" si="35"/>
        <v>1</v>
      </c>
      <c r="W114" s="746">
        <f t="shared" si="36"/>
        <v>2</v>
      </c>
      <c r="X114" s="746">
        <f t="shared" si="37"/>
        <v>2</v>
      </c>
      <c r="Y114" s="758">
        <f t="shared" si="38"/>
        <v>166.66666666666666</v>
      </c>
      <c r="Z114" s="747">
        <f t="shared" si="39"/>
        <v>3.9370078740157481</v>
      </c>
      <c r="AA114" s="746">
        <f t="shared" si="40"/>
        <v>6</v>
      </c>
      <c r="AB114" s="746">
        <f t="shared" si="41"/>
        <v>314631628.80000001</v>
      </c>
      <c r="AC114" s="746">
        <f t="shared" si="42"/>
        <v>11.111111111111111</v>
      </c>
      <c r="AD114" s="759" t="s">
        <v>594</v>
      </c>
      <c r="AE114" s="746">
        <f t="shared" si="55"/>
        <v>30</v>
      </c>
      <c r="AF114" s="758">
        <f t="shared" si="43"/>
        <v>5</v>
      </c>
      <c r="AG114" s="758">
        <f t="shared" si="44"/>
        <v>2</v>
      </c>
      <c r="AH114" s="758">
        <f t="shared" si="45"/>
        <v>2</v>
      </c>
      <c r="AI114" s="758">
        <f t="shared" si="46"/>
        <v>1</v>
      </c>
      <c r="AJ114" s="746">
        <f t="shared" si="47"/>
        <v>10</v>
      </c>
      <c r="AK114" s="4">
        <f t="shared" si="48"/>
        <v>3</v>
      </c>
      <c r="AL114" s="4">
        <f t="shared" si="49"/>
        <v>3</v>
      </c>
      <c r="AM114" s="4">
        <f t="shared" si="50"/>
        <v>7</v>
      </c>
      <c r="AN114" s="4">
        <f t="shared" si="51"/>
        <v>30</v>
      </c>
      <c r="AO114" s="4">
        <f t="shared" si="52"/>
        <v>43</v>
      </c>
      <c r="AP114" s="4"/>
      <c r="AQ114" s="4"/>
      <c r="AR114" s="4"/>
    </row>
    <row r="115" spans="1:44">
      <c r="A115" s="746" t="s">
        <v>847</v>
      </c>
      <c r="B115" s="746">
        <v>639</v>
      </c>
      <c r="C115" s="747">
        <v>235</v>
      </c>
      <c r="D115" s="746">
        <f t="shared" si="28"/>
        <v>235</v>
      </c>
      <c r="E115" s="299">
        <v>293</v>
      </c>
      <c r="F115" s="757">
        <f t="shared" si="29"/>
        <v>9.0935474509045182E-4</v>
      </c>
      <c r="G115" s="746">
        <v>26</v>
      </c>
      <c r="H115" s="746">
        <f t="shared" si="32"/>
        <v>12</v>
      </c>
      <c r="I115" s="746">
        <v>15</v>
      </c>
      <c r="J115" s="747">
        <f t="shared" si="33"/>
        <v>43.333333333333336</v>
      </c>
      <c r="K115" s="746">
        <f t="shared" si="30"/>
        <v>180</v>
      </c>
      <c r="L115" s="746">
        <v>600</v>
      </c>
      <c r="M115" s="746">
        <f t="shared" si="31"/>
        <v>1</v>
      </c>
      <c r="N115" s="746">
        <v>660.4</v>
      </c>
      <c r="O115" s="746">
        <v>609.6</v>
      </c>
      <c r="P115" s="746">
        <v>406.4</v>
      </c>
      <c r="Q115" s="746">
        <v>1200</v>
      </c>
      <c r="R115" s="746">
        <v>1080</v>
      </c>
      <c r="S115" s="746">
        <v>1200</v>
      </c>
      <c r="T115" s="746">
        <f t="shared" si="34"/>
        <v>3</v>
      </c>
      <c r="U115" s="746">
        <f t="shared" si="35"/>
        <v>1</v>
      </c>
      <c r="V115" s="746">
        <f t="shared" si="35"/>
        <v>1</v>
      </c>
      <c r="W115" s="746">
        <f t="shared" si="36"/>
        <v>3</v>
      </c>
      <c r="X115" s="746">
        <f t="shared" si="37"/>
        <v>3</v>
      </c>
      <c r="Y115" s="758">
        <f t="shared" si="38"/>
        <v>130</v>
      </c>
      <c r="Z115" s="747">
        <f t="shared" si="39"/>
        <v>3.9370078740157481</v>
      </c>
      <c r="AA115" s="746">
        <f t="shared" si="40"/>
        <v>5</v>
      </c>
      <c r="AB115" s="746">
        <f t="shared" si="41"/>
        <v>163608446.97600001</v>
      </c>
      <c r="AC115" s="746">
        <f t="shared" si="42"/>
        <v>5.7777777777777777</v>
      </c>
      <c r="AD115" s="759" t="s">
        <v>594</v>
      </c>
      <c r="AE115" s="746">
        <f t="shared" si="55"/>
        <v>25</v>
      </c>
      <c r="AF115" s="758">
        <f t="shared" si="43"/>
        <v>6</v>
      </c>
      <c r="AG115" s="758">
        <f t="shared" si="44"/>
        <v>2.4000000000000004</v>
      </c>
      <c r="AH115" s="758">
        <f t="shared" si="45"/>
        <v>2.4000000000000004</v>
      </c>
      <c r="AI115" s="758">
        <f t="shared" si="46"/>
        <v>1.2000000000000002</v>
      </c>
      <c r="AJ115" s="746">
        <f t="shared" si="47"/>
        <v>12</v>
      </c>
      <c r="AK115" s="4">
        <f t="shared" si="48"/>
        <v>2</v>
      </c>
      <c r="AL115" s="4">
        <f t="shared" si="49"/>
        <v>2</v>
      </c>
      <c r="AM115" s="4">
        <f t="shared" si="50"/>
        <v>6</v>
      </c>
      <c r="AN115" s="4">
        <f t="shared" si="51"/>
        <v>24</v>
      </c>
      <c r="AO115" s="4">
        <f t="shared" si="52"/>
        <v>34</v>
      </c>
      <c r="AP115" s="4"/>
      <c r="AQ115" s="4"/>
      <c r="AR115" s="4"/>
    </row>
    <row r="116" spans="1:44">
      <c r="A116" s="763" t="s">
        <v>848</v>
      </c>
      <c r="B116" s="746">
        <v>1515</v>
      </c>
      <c r="C116" s="747">
        <v>216.42857142857142</v>
      </c>
      <c r="D116" s="746">
        <f t="shared" si="28"/>
        <v>217</v>
      </c>
      <c r="E116" s="299">
        <v>270</v>
      </c>
      <c r="F116" s="757">
        <f t="shared" si="29"/>
        <v>8.3970204121118313E-4</v>
      </c>
      <c r="G116" s="746">
        <v>26</v>
      </c>
      <c r="H116" s="746">
        <f t="shared" si="32"/>
        <v>11</v>
      </c>
      <c r="I116" s="746">
        <v>15</v>
      </c>
      <c r="J116" s="747">
        <f t="shared" si="33"/>
        <v>17.013888888888893</v>
      </c>
      <c r="K116" s="746">
        <f t="shared" si="30"/>
        <v>165</v>
      </c>
      <c r="L116" s="746">
        <v>600</v>
      </c>
      <c r="M116" s="746">
        <f t="shared" si="31"/>
        <v>1</v>
      </c>
      <c r="N116" s="746">
        <v>1422.4</v>
      </c>
      <c r="O116" s="746">
        <v>254</v>
      </c>
      <c r="P116" s="746">
        <v>177.8</v>
      </c>
      <c r="Q116" s="746">
        <v>1500</v>
      </c>
      <c r="R116" s="746">
        <v>1080</v>
      </c>
      <c r="S116" s="746">
        <v>1200</v>
      </c>
      <c r="T116" s="746">
        <f t="shared" si="34"/>
        <v>7</v>
      </c>
      <c r="U116" s="746">
        <f t="shared" si="35"/>
        <v>1</v>
      </c>
      <c r="V116" s="746">
        <f t="shared" si="35"/>
        <v>4</v>
      </c>
      <c r="W116" s="746">
        <f t="shared" si="36"/>
        <v>7</v>
      </c>
      <c r="X116" s="746">
        <f t="shared" si="37"/>
        <v>28</v>
      </c>
      <c r="Y116" s="758">
        <f t="shared" si="38"/>
        <v>476.38888888888903</v>
      </c>
      <c r="Z116" s="747">
        <f t="shared" si="39"/>
        <v>3.9370078740157481</v>
      </c>
      <c r="AA116" s="746">
        <f t="shared" si="40"/>
        <v>1</v>
      </c>
      <c r="AB116" s="746">
        <f t="shared" si="41"/>
        <v>64237290.88000001</v>
      </c>
      <c r="AC116" s="746">
        <f t="shared" si="42"/>
        <v>2.268518518518519</v>
      </c>
      <c r="AD116" s="759" t="s">
        <v>595</v>
      </c>
      <c r="AE116" s="746">
        <f t="shared" si="53"/>
        <v>10</v>
      </c>
      <c r="AF116" s="758">
        <f t="shared" si="43"/>
        <v>5.5</v>
      </c>
      <c r="AG116" s="758">
        <f t="shared" si="44"/>
        <v>2.2000000000000002</v>
      </c>
      <c r="AH116" s="758">
        <f t="shared" si="45"/>
        <v>2.2000000000000002</v>
      </c>
      <c r="AI116" s="758">
        <f t="shared" si="46"/>
        <v>1.1000000000000001</v>
      </c>
      <c r="AJ116" s="746">
        <f t="shared" si="47"/>
        <v>11</v>
      </c>
      <c r="AK116" s="4">
        <f t="shared" si="48"/>
        <v>0</v>
      </c>
      <c r="AL116" s="4">
        <f t="shared" si="49"/>
        <v>0</v>
      </c>
      <c r="AM116" s="4">
        <f t="shared" si="50"/>
        <v>1</v>
      </c>
      <c r="AN116" s="4">
        <f t="shared" si="51"/>
        <v>2</v>
      </c>
      <c r="AO116" s="4">
        <f t="shared" si="52"/>
        <v>3</v>
      </c>
      <c r="AP116" s="4"/>
      <c r="AQ116" s="4"/>
      <c r="AR116" s="4"/>
    </row>
    <row r="117" spans="1:44">
      <c r="A117" s="763" t="s">
        <v>849</v>
      </c>
      <c r="B117" s="746">
        <v>2575</v>
      </c>
      <c r="C117" s="747">
        <v>214.58333333333334</v>
      </c>
      <c r="D117" s="746">
        <f t="shared" si="28"/>
        <v>215</v>
      </c>
      <c r="E117" s="299">
        <v>254</v>
      </c>
      <c r="F117" s="757">
        <f t="shared" si="29"/>
        <v>8.3196285189126435E-4</v>
      </c>
      <c r="G117" s="746">
        <v>26</v>
      </c>
      <c r="H117" s="746">
        <f t="shared" si="32"/>
        <v>10</v>
      </c>
      <c r="I117" s="746">
        <v>15</v>
      </c>
      <c r="J117" s="747">
        <f t="shared" si="33"/>
        <v>114.90474369837629</v>
      </c>
      <c r="K117" s="746">
        <f t="shared" si="30"/>
        <v>150</v>
      </c>
      <c r="L117" s="746">
        <v>600</v>
      </c>
      <c r="M117" s="746">
        <f t="shared" si="31"/>
        <v>1</v>
      </c>
      <c r="N117" s="746">
        <v>1525</v>
      </c>
      <c r="O117" s="746">
        <v>560</v>
      </c>
      <c r="P117" s="746">
        <v>508</v>
      </c>
      <c r="Q117" s="746">
        <v>1500</v>
      </c>
      <c r="R117" s="746">
        <v>1080</v>
      </c>
      <c r="S117" s="746">
        <v>1200</v>
      </c>
      <c r="T117" s="746">
        <f t="shared" si="34"/>
        <v>2</v>
      </c>
      <c r="U117" s="746">
        <f>ROUNDUP(Q117/N117,0)</f>
        <v>1</v>
      </c>
      <c r="V117" s="746">
        <f t="shared" si="35"/>
        <v>1</v>
      </c>
      <c r="W117" s="746">
        <f t="shared" si="36"/>
        <v>2</v>
      </c>
      <c r="X117" s="746">
        <f t="shared" si="37"/>
        <v>2</v>
      </c>
      <c r="Y117" s="758">
        <f t="shared" si="38"/>
        <v>229.80948739675259</v>
      </c>
      <c r="Z117" s="747">
        <f t="shared" si="39"/>
        <v>3.9370078740157481</v>
      </c>
      <c r="AA117" s="746">
        <f t="shared" si="40"/>
        <v>6</v>
      </c>
      <c r="AB117" s="746">
        <f t="shared" si="41"/>
        <v>433832000</v>
      </c>
      <c r="AC117" s="746">
        <f t="shared" si="42"/>
        <v>15.32063249311684</v>
      </c>
      <c r="AD117" s="759" t="s">
        <v>595</v>
      </c>
      <c r="AE117" s="746">
        <f t="shared" si="53"/>
        <v>60</v>
      </c>
      <c r="AF117" s="758">
        <f t="shared" si="43"/>
        <v>5</v>
      </c>
      <c r="AG117" s="758">
        <f t="shared" si="44"/>
        <v>2</v>
      </c>
      <c r="AH117" s="758">
        <f t="shared" si="45"/>
        <v>2</v>
      </c>
      <c r="AI117" s="758">
        <f t="shared" si="46"/>
        <v>1</v>
      </c>
      <c r="AJ117" s="746">
        <f t="shared" si="47"/>
        <v>10</v>
      </c>
      <c r="AK117" s="4">
        <f t="shared" si="48"/>
        <v>3</v>
      </c>
      <c r="AL117" s="4">
        <f t="shared" si="49"/>
        <v>3</v>
      </c>
      <c r="AM117" s="4">
        <f t="shared" si="50"/>
        <v>7</v>
      </c>
      <c r="AN117" s="4">
        <f t="shared" si="51"/>
        <v>30</v>
      </c>
      <c r="AO117" s="4">
        <f t="shared" si="52"/>
        <v>43</v>
      </c>
      <c r="AP117" s="4"/>
      <c r="AQ117" s="4"/>
      <c r="AR117" s="4"/>
    </row>
    <row r="118" spans="1:44">
      <c r="A118" s="746" t="s">
        <v>850</v>
      </c>
      <c r="B118" s="746">
        <v>931</v>
      </c>
      <c r="C118" s="747">
        <v>211.57142857142856</v>
      </c>
      <c r="D118" s="746">
        <f t="shared" si="28"/>
        <v>212</v>
      </c>
      <c r="E118" s="299">
        <v>274</v>
      </c>
      <c r="F118" s="757">
        <f t="shared" si="29"/>
        <v>8.2035406791138629E-4</v>
      </c>
      <c r="G118" s="746">
        <v>26</v>
      </c>
      <c r="H118" s="746">
        <f t="shared" si="32"/>
        <v>11</v>
      </c>
      <c r="I118" s="746">
        <v>15</v>
      </c>
      <c r="J118" s="747">
        <f t="shared" si="33"/>
        <v>77.074260119648855</v>
      </c>
      <c r="K118" s="746">
        <f t="shared" si="30"/>
        <v>165</v>
      </c>
      <c r="L118" s="746">
        <v>600</v>
      </c>
      <c r="M118" s="746">
        <f t="shared" si="31"/>
        <v>1</v>
      </c>
      <c r="N118" s="746">
        <v>970</v>
      </c>
      <c r="O118" s="746">
        <v>1000</v>
      </c>
      <c r="P118" s="746">
        <v>300</v>
      </c>
      <c r="Q118" s="746">
        <v>1200</v>
      </c>
      <c r="R118" s="746">
        <v>1080</v>
      </c>
      <c r="S118" s="746">
        <v>1200</v>
      </c>
      <c r="T118" s="746">
        <f t="shared" si="34"/>
        <v>4</v>
      </c>
      <c r="U118" s="746">
        <f t="shared" si="35"/>
        <v>1</v>
      </c>
      <c r="V118" s="746">
        <f t="shared" si="35"/>
        <v>1</v>
      </c>
      <c r="W118" s="746">
        <f t="shared" si="36"/>
        <v>4</v>
      </c>
      <c r="X118" s="746">
        <f t="shared" si="37"/>
        <v>4</v>
      </c>
      <c r="Y118" s="758">
        <f t="shared" si="38"/>
        <v>308.29704047859542</v>
      </c>
      <c r="Z118" s="747">
        <f t="shared" si="39"/>
        <v>3.9370078740157481</v>
      </c>
      <c r="AA118" s="746">
        <f t="shared" si="40"/>
        <v>3</v>
      </c>
      <c r="AB118" s="746">
        <f t="shared" si="41"/>
        <v>291000000</v>
      </c>
      <c r="AC118" s="746">
        <f t="shared" si="42"/>
        <v>10.276568015953181</v>
      </c>
      <c r="AD118" s="759" t="s">
        <v>594</v>
      </c>
      <c r="AE118" s="746">
        <f t="shared" ref="AE118:AE122" si="56">AA118*5</f>
        <v>15</v>
      </c>
      <c r="AF118" s="758">
        <f t="shared" si="43"/>
        <v>5.5</v>
      </c>
      <c r="AG118" s="758">
        <f t="shared" si="44"/>
        <v>2.2000000000000002</v>
      </c>
      <c r="AH118" s="758">
        <f t="shared" si="45"/>
        <v>2.2000000000000002</v>
      </c>
      <c r="AI118" s="758">
        <f t="shared" si="46"/>
        <v>1.1000000000000001</v>
      </c>
      <c r="AJ118" s="746">
        <f t="shared" si="47"/>
        <v>11</v>
      </c>
      <c r="AK118" s="4">
        <f t="shared" si="48"/>
        <v>1</v>
      </c>
      <c r="AL118" s="4">
        <f t="shared" si="49"/>
        <v>2</v>
      </c>
      <c r="AM118" s="4">
        <f t="shared" si="50"/>
        <v>4</v>
      </c>
      <c r="AN118" s="4">
        <f t="shared" si="51"/>
        <v>17</v>
      </c>
      <c r="AO118" s="4">
        <f t="shared" si="52"/>
        <v>24</v>
      </c>
      <c r="AP118" s="4"/>
      <c r="AQ118" s="4"/>
      <c r="AR118" s="4"/>
    </row>
    <row r="119" spans="1:44">
      <c r="A119" s="746" t="s">
        <v>851</v>
      </c>
      <c r="B119" s="746">
        <v>520</v>
      </c>
      <c r="C119" s="747">
        <v>206.75</v>
      </c>
      <c r="D119" s="746">
        <f t="shared" si="28"/>
        <v>207</v>
      </c>
      <c r="E119" s="299">
        <v>250</v>
      </c>
      <c r="F119" s="757">
        <f t="shared" si="29"/>
        <v>8.0100609461158944E-4</v>
      </c>
      <c r="G119" s="746">
        <v>26</v>
      </c>
      <c r="H119" s="746">
        <f t="shared" si="32"/>
        <v>10</v>
      </c>
      <c r="I119" s="746">
        <v>15</v>
      </c>
      <c r="J119" s="747">
        <f t="shared" si="33"/>
        <v>9.140625</v>
      </c>
      <c r="K119" s="746">
        <f t="shared" si="30"/>
        <v>150</v>
      </c>
      <c r="L119" s="746">
        <v>600</v>
      </c>
      <c r="M119" s="746">
        <f t="shared" si="31"/>
        <v>1</v>
      </c>
      <c r="N119" s="746">
        <v>660.4</v>
      </c>
      <c r="O119" s="746">
        <v>228.6</v>
      </c>
      <c r="P119" s="746">
        <v>228.6</v>
      </c>
      <c r="Q119" s="746">
        <v>1200</v>
      </c>
      <c r="R119" s="746">
        <v>1080</v>
      </c>
      <c r="S119" s="746">
        <v>1200</v>
      </c>
      <c r="T119" s="746">
        <f t="shared" si="34"/>
        <v>5</v>
      </c>
      <c r="U119" s="746">
        <f t="shared" si="35"/>
        <v>1</v>
      </c>
      <c r="V119" s="746">
        <f t="shared" si="35"/>
        <v>4</v>
      </c>
      <c r="W119" s="746">
        <f t="shared" si="36"/>
        <v>5</v>
      </c>
      <c r="X119" s="746">
        <f t="shared" si="37"/>
        <v>20</v>
      </c>
      <c r="Y119" s="758">
        <f t="shared" si="38"/>
        <v>182.8125</v>
      </c>
      <c r="Z119" s="747">
        <f t="shared" si="39"/>
        <v>3.9370078740157481</v>
      </c>
      <c r="AA119" s="746">
        <f t="shared" si="40"/>
        <v>1</v>
      </c>
      <c r="AB119" s="746">
        <f t="shared" si="41"/>
        <v>34511156.784000002</v>
      </c>
      <c r="AC119" s="746">
        <f t="shared" si="42"/>
        <v>1.21875</v>
      </c>
      <c r="AD119" s="759" t="s">
        <v>594</v>
      </c>
      <c r="AE119" s="746">
        <f t="shared" si="56"/>
        <v>5</v>
      </c>
      <c r="AF119" s="758">
        <f t="shared" si="43"/>
        <v>5</v>
      </c>
      <c r="AG119" s="758">
        <f t="shared" si="44"/>
        <v>2</v>
      </c>
      <c r="AH119" s="758">
        <f t="shared" si="45"/>
        <v>2</v>
      </c>
      <c r="AI119" s="758">
        <f t="shared" si="46"/>
        <v>1</v>
      </c>
      <c r="AJ119" s="746">
        <f t="shared" si="47"/>
        <v>10</v>
      </c>
      <c r="AK119" s="4">
        <f t="shared" si="48"/>
        <v>0</v>
      </c>
      <c r="AL119" s="4">
        <f t="shared" si="49"/>
        <v>0</v>
      </c>
      <c r="AM119" s="4">
        <f t="shared" si="50"/>
        <v>1</v>
      </c>
      <c r="AN119" s="4">
        <f t="shared" si="51"/>
        <v>3</v>
      </c>
      <c r="AO119" s="4">
        <f t="shared" si="52"/>
        <v>4</v>
      </c>
      <c r="AP119" s="4"/>
      <c r="AQ119" s="4"/>
      <c r="AR119" s="4"/>
    </row>
    <row r="120" spans="1:44">
      <c r="A120" s="746" t="s">
        <v>852</v>
      </c>
      <c r="B120" s="746">
        <v>412</v>
      </c>
      <c r="C120" s="747">
        <v>206</v>
      </c>
      <c r="D120" s="746">
        <f t="shared" si="28"/>
        <v>206</v>
      </c>
      <c r="E120" s="299">
        <v>257</v>
      </c>
      <c r="F120" s="757">
        <f t="shared" si="29"/>
        <v>7.9713649995163006E-4</v>
      </c>
      <c r="G120" s="746">
        <v>26</v>
      </c>
      <c r="H120" s="746">
        <f t="shared" si="32"/>
        <v>10</v>
      </c>
      <c r="I120" s="746">
        <v>15</v>
      </c>
      <c r="J120" s="747">
        <f t="shared" si="33"/>
        <v>3.9474734461279946</v>
      </c>
      <c r="K120" s="746">
        <f t="shared" si="30"/>
        <v>150</v>
      </c>
      <c r="L120" s="746">
        <v>600</v>
      </c>
      <c r="M120" s="746">
        <f t="shared" si="31"/>
        <v>1</v>
      </c>
      <c r="N120" s="746">
        <v>460</v>
      </c>
      <c r="O120" s="746">
        <v>270</v>
      </c>
      <c r="P120" s="746">
        <v>120</v>
      </c>
      <c r="Q120" s="746">
        <v>1200</v>
      </c>
      <c r="R120" s="746">
        <v>1080</v>
      </c>
      <c r="S120" s="746">
        <v>1200</v>
      </c>
      <c r="T120" s="746">
        <f t="shared" si="34"/>
        <v>10</v>
      </c>
      <c r="U120" s="746">
        <f t="shared" si="35"/>
        <v>2</v>
      </c>
      <c r="V120" s="746">
        <f t="shared" si="35"/>
        <v>4</v>
      </c>
      <c r="W120" s="746">
        <f t="shared" si="36"/>
        <v>10</v>
      </c>
      <c r="X120" s="746">
        <f t="shared" si="37"/>
        <v>80</v>
      </c>
      <c r="Y120" s="758">
        <f t="shared" si="38"/>
        <v>315.79787569023955</v>
      </c>
      <c r="Z120" s="747">
        <f t="shared" si="39"/>
        <v>3.9370078740157481</v>
      </c>
      <c r="AA120" s="746">
        <f t="shared" si="40"/>
        <v>1</v>
      </c>
      <c r="AB120" s="746">
        <f t="shared" si="41"/>
        <v>14904000</v>
      </c>
      <c r="AC120" s="746">
        <f t="shared" si="42"/>
        <v>0.52632979281706593</v>
      </c>
      <c r="AD120" s="759" t="s">
        <v>594</v>
      </c>
      <c r="AE120" s="746">
        <f t="shared" si="56"/>
        <v>5</v>
      </c>
      <c r="AF120" s="758">
        <f t="shared" si="43"/>
        <v>5</v>
      </c>
      <c r="AG120" s="758">
        <f t="shared" si="44"/>
        <v>2</v>
      </c>
      <c r="AH120" s="758">
        <f t="shared" si="45"/>
        <v>2</v>
      </c>
      <c r="AI120" s="758">
        <f t="shared" si="46"/>
        <v>1</v>
      </c>
      <c r="AJ120" s="746">
        <f t="shared" si="47"/>
        <v>10</v>
      </c>
      <c r="AK120" s="4">
        <f t="shared" si="48"/>
        <v>0</v>
      </c>
      <c r="AL120" s="4">
        <f t="shared" si="49"/>
        <v>0</v>
      </c>
      <c r="AM120" s="4">
        <f t="shared" si="50"/>
        <v>0</v>
      </c>
      <c r="AN120" s="4">
        <f t="shared" si="51"/>
        <v>1</v>
      </c>
      <c r="AO120" s="4">
        <f t="shared" si="52"/>
        <v>1</v>
      </c>
      <c r="AP120" s="4"/>
      <c r="AQ120" s="4"/>
      <c r="AR120" s="4"/>
    </row>
    <row r="121" spans="1:44">
      <c r="A121" s="746" t="s">
        <v>853</v>
      </c>
      <c r="B121" s="746">
        <v>2375</v>
      </c>
      <c r="C121" s="747">
        <v>182.69230769230768</v>
      </c>
      <c r="D121" s="746">
        <f t="shared" si="28"/>
        <v>183</v>
      </c>
      <c r="E121" s="299">
        <v>230</v>
      </c>
      <c r="F121" s="757">
        <f t="shared" si="29"/>
        <v>7.0813582277256453E-4</v>
      </c>
      <c r="G121" s="746">
        <v>26</v>
      </c>
      <c r="H121" s="746">
        <f t="shared" si="32"/>
        <v>9</v>
      </c>
      <c r="I121" s="746">
        <v>15</v>
      </c>
      <c r="J121" s="747">
        <f t="shared" si="33"/>
        <v>31.719057578740152</v>
      </c>
      <c r="K121" s="746">
        <f t="shared" si="30"/>
        <v>135</v>
      </c>
      <c r="L121" s="746">
        <v>600</v>
      </c>
      <c r="M121" s="746">
        <f t="shared" si="31"/>
        <v>1</v>
      </c>
      <c r="N121" s="746">
        <v>279.39999999999998</v>
      </c>
      <c r="O121" s="746">
        <v>1143</v>
      </c>
      <c r="P121" s="763">
        <v>375</v>
      </c>
      <c r="Q121" s="746">
        <v>1200</v>
      </c>
      <c r="R121" s="746">
        <v>1200</v>
      </c>
      <c r="S121" s="746">
        <v>1200</v>
      </c>
      <c r="T121" s="746">
        <f t="shared" si="34"/>
        <v>3</v>
      </c>
      <c r="U121" s="746">
        <f t="shared" si="35"/>
        <v>4</v>
      </c>
      <c r="V121" s="746">
        <f t="shared" si="35"/>
        <v>1</v>
      </c>
      <c r="W121" s="746">
        <f t="shared" si="36"/>
        <v>3</v>
      </c>
      <c r="X121" s="746">
        <f t="shared" si="37"/>
        <v>12</v>
      </c>
      <c r="Y121" s="758">
        <f t="shared" si="38"/>
        <v>380.62869094488184</v>
      </c>
      <c r="Z121" s="747">
        <f t="shared" si="39"/>
        <v>3.9370078740157481</v>
      </c>
      <c r="AA121" s="746">
        <f t="shared" si="40"/>
        <v>1</v>
      </c>
      <c r="AB121" s="746">
        <f t="shared" si="41"/>
        <v>119757824.99999999</v>
      </c>
      <c r="AC121" s="746">
        <f t="shared" si="42"/>
        <v>4.2292076771653537</v>
      </c>
      <c r="AD121" s="759" t="s">
        <v>594</v>
      </c>
      <c r="AE121" s="746">
        <f t="shared" si="56"/>
        <v>5</v>
      </c>
      <c r="AF121" s="758">
        <f t="shared" si="43"/>
        <v>4.5</v>
      </c>
      <c r="AG121" s="758">
        <f t="shared" si="44"/>
        <v>1.8</v>
      </c>
      <c r="AH121" s="758">
        <f t="shared" si="45"/>
        <v>1.8</v>
      </c>
      <c r="AI121" s="758">
        <f t="shared" si="46"/>
        <v>0.9</v>
      </c>
      <c r="AJ121" s="746">
        <f t="shared" si="47"/>
        <v>9</v>
      </c>
      <c r="AK121" s="4">
        <f t="shared" si="48"/>
        <v>0</v>
      </c>
      <c r="AL121" s="4">
        <f t="shared" si="49"/>
        <v>0</v>
      </c>
      <c r="AM121" s="4">
        <f t="shared" si="50"/>
        <v>1</v>
      </c>
      <c r="AN121" s="4">
        <f t="shared" si="51"/>
        <v>5</v>
      </c>
      <c r="AO121" s="4">
        <f t="shared" si="52"/>
        <v>6</v>
      </c>
      <c r="AP121" s="4"/>
      <c r="AQ121" s="4"/>
      <c r="AR121" s="4"/>
    </row>
    <row r="122" spans="1:44">
      <c r="A122" s="746" t="s">
        <v>854</v>
      </c>
      <c r="B122" s="746">
        <v>1405</v>
      </c>
      <c r="C122" s="747">
        <v>175.625</v>
      </c>
      <c r="D122" s="746">
        <f t="shared" si="28"/>
        <v>176</v>
      </c>
      <c r="E122" s="299">
        <v>180</v>
      </c>
      <c r="F122" s="757">
        <f t="shared" si="29"/>
        <v>6.8104866015284901E-4</v>
      </c>
      <c r="G122" s="746">
        <v>26</v>
      </c>
      <c r="H122" s="746">
        <f t="shared" si="32"/>
        <v>7</v>
      </c>
      <c r="I122" s="746">
        <v>15</v>
      </c>
      <c r="J122" s="747">
        <f t="shared" si="33"/>
        <v>19.184027777777779</v>
      </c>
      <c r="K122" s="746">
        <f t="shared" si="30"/>
        <v>105</v>
      </c>
      <c r="L122" s="746">
        <v>600</v>
      </c>
      <c r="M122" s="746">
        <f t="shared" si="31"/>
        <v>1</v>
      </c>
      <c r="N122" s="746">
        <v>660.4</v>
      </c>
      <c r="O122" s="746">
        <v>431.8</v>
      </c>
      <c r="P122" s="746">
        <v>254</v>
      </c>
      <c r="Q122" s="746">
        <v>1200</v>
      </c>
      <c r="R122" s="746">
        <v>1080</v>
      </c>
      <c r="S122" s="746">
        <v>1200</v>
      </c>
      <c r="T122" s="746">
        <f t="shared" si="34"/>
        <v>5</v>
      </c>
      <c r="U122" s="746">
        <f t="shared" si="35"/>
        <v>1</v>
      </c>
      <c r="V122" s="746">
        <f t="shared" si="35"/>
        <v>2</v>
      </c>
      <c r="W122" s="746">
        <f t="shared" si="36"/>
        <v>5</v>
      </c>
      <c r="X122" s="746">
        <f t="shared" si="37"/>
        <v>10</v>
      </c>
      <c r="Y122" s="758">
        <f t="shared" si="38"/>
        <v>191.84027777777777</v>
      </c>
      <c r="Z122" s="747">
        <f t="shared" si="39"/>
        <v>3.9370078740157481</v>
      </c>
      <c r="AA122" s="746">
        <f t="shared" si="40"/>
        <v>1</v>
      </c>
      <c r="AB122" s="746">
        <f t="shared" si="41"/>
        <v>72430822.879999995</v>
      </c>
      <c r="AC122" s="746">
        <f t="shared" si="42"/>
        <v>2.5578703703703707</v>
      </c>
      <c r="AD122" s="759" t="s">
        <v>594</v>
      </c>
      <c r="AE122" s="746">
        <f t="shared" si="56"/>
        <v>5</v>
      </c>
      <c r="AF122" s="758">
        <f t="shared" si="43"/>
        <v>3.5</v>
      </c>
      <c r="AG122" s="758">
        <f t="shared" si="44"/>
        <v>1.4000000000000001</v>
      </c>
      <c r="AH122" s="758">
        <f t="shared" si="45"/>
        <v>1.4000000000000001</v>
      </c>
      <c r="AI122" s="758">
        <f t="shared" si="46"/>
        <v>0.70000000000000007</v>
      </c>
      <c r="AJ122" s="746">
        <f t="shared" si="47"/>
        <v>7.0000000000000009</v>
      </c>
      <c r="AK122" s="4">
        <f t="shared" si="48"/>
        <v>0</v>
      </c>
      <c r="AL122" s="4">
        <f t="shared" si="49"/>
        <v>0</v>
      </c>
      <c r="AM122" s="4">
        <f t="shared" si="50"/>
        <v>1</v>
      </c>
      <c r="AN122" s="4">
        <f t="shared" si="51"/>
        <v>4</v>
      </c>
      <c r="AO122" s="4">
        <f t="shared" si="52"/>
        <v>5</v>
      </c>
      <c r="AP122" s="4"/>
      <c r="AQ122" s="4"/>
      <c r="AR122" s="4"/>
    </row>
    <row r="123" spans="1:44">
      <c r="A123" s="763" t="s">
        <v>855</v>
      </c>
      <c r="B123" s="746">
        <v>1353</v>
      </c>
      <c r="C123" s="747">
        <v>169.125</v>
      </c>
      <c r="D123" s="746">
        <f t="shared" si="28"/>
        <v>170</v>
      </c>
      <c r="E123" s="299">
        <v>186</v>
      </c>
      <c r="F123" s="757">
        <f t="shared" si="29"/>
        <v>6.5783109219309278E-4</v>
      </c>
      <c r="G123" s="746">
        <v>26</v>
      </c>
      <c r="H123" s="746">
        <f t="shared" si="32"/>
        <v>8</v>
      </c>
      <c r="I123" s="746">
        <v>15</v>
      </c>
      <c r="J123" s="747">
        <f t="shared" si="33"/>
        <v>30.988090328105415</v>
      </c>
      <c r="K123" s="746">
        <f t="shared" si="30"/>
        <v>120</v>
      </c>
      <c r="L123" s="746">
        <v>600</v>
      </c>
      <c r="M123" s="746">
        <f t="shared" si="31"/>
        <v>1</v>
      </c>
      <c r="N123" s="746">
        <v>1370</v>
      </c>
      <c r="O123" s="746">
        <v>305</v>
      </c>
      <c r="P123" s="746">
        <v>280</v>
      </c>
      <c r="Q123" s="746">
        <v>1500</v>
      </c>
      <c r="R123" s="746">
        <v>1080</v>
      </c>
      <c r="S123" s="746">
        <v>1200</v>
      </c>
      <c r="T123" s="746">
        <f t="shared" si="34"/>
        <v>4</v>
      </c>
      <c r="U123" s="746">
        <f t="shared" si="35"/>
        <v>1</v>
      </c>
      <c r="V123" s="746">
        <f t="shared" si="35"/>
        <v>3</v>
      </c>
      <c r="W123" s="746">
        <f t="shared" si="36"/>
        <v>4</v>
      </c>
      <c r="X123" s="746">
        <f t="shared" si="37"/>
        <v>12</v>
      </c>
      <c r="Y123" s="758">
        <f t="shared" si="38"/>
        <v>371.85708393726497</v>
      </c>
      <c r="Z123" s="747">
        <f t="shared" si="39"/>
        <v>3.9370078740157481</v>
      </c>
      <c r="AA123" s="746">
        <f t="shared" si="40"/>
        <v>1</v>
      </c>
      <c r="AB123" s="746">
        <f t="shared" si="41"/>
        <v>116998000</v>
      </c>
      <c r="AC123" s="746">
        <f t="shared" si="42"/>
        <v>4.1317453770807218</v>
      </c>
      <c r="AD123" s="759" t="s">
        <v>595</v>
      </c>
      <c r="AE123" s="746">
        <f t="shared" si="53"/>
        <v>10</v>
      </c>
      <c r="AF123" s="758">
        <f t="shared" si="43"/>
        <v>4</v>
      </c>
      <c r="AG123" s="758">
        <f t="shared" si="44"/>
        <v>1.6</v>
      </c>
      <c r="AH123" s="758">
        <f t="shared" si="45"/>
        <v>1.6</v>
      </c>
      <c r="AI123" s="758">
        <f t="shared" si="46"/>
        <v>0.8</v>
      </c>
      <c r="AJ123" s="746">
        <f t="shared" si="47"/>
        <v>7.9999999999999991</v>
      </c>
      <c r="AK123" s="4">
        <f t="shared" si="48"/>
        <v>0</v>
      </c>
      <c r="AL123" s="4">
        <f t="shared" si="49"/>
        <v>0</v>
      </c>
      <c r="AM123" s="4">
        <f t="shared" si="50"/>
        <v>1</v>
      </c>
      <c r="AN123" s="4">
        <f t="shared" si="51"/>
        <v>4</v>
      </c>
      <c r="AO123" s="4">
        <f t="shared" si="52"/>
        <v>5</v>
      </c>
      <c r="AP123" s="4"/>
      <c r="AQ123" s="4"/>
      <c r="AR123" s="4"/>
    </row>
    <row r="124" spans="1:44">
      <c r="A124" s="746" t="s">
        <v>856</v>
      </c>
      <c r="B124" s="746">
        <v>649</v>
      </c>
      <c r="C124" s="747">
        <v>162.25</v>
      </c>
      <c r="D124" s="746">
        <f t="shared" si="28"/>
        <v>163</v>
      </c>
      <c r="E124" s="299">
        <v>214</v>
      </c>
      <c r="F124" s="757">
        <f t="shared" si="29"/>
        <v>6.3074392957337716E-4</v>
      </c>
      <c r="G124" s="746">
        <v>26</v>
      </c>
      <c r="H124" s="746">
        <f t="shared" si="32"/>
        <v>9</v>
      </c>
      <c r="I124" s="746">
        <v>15</v>
      </c>
      <c r="J124" s="747">
        <f t="shared" si="33"/>
        <v>17.329895770902652</v>
      </c>
      <c r="K124" s="746">
        <f t="shared" si="30"/>
        <v>135</v>
      </c>
      <c r="L124" s="746">
        <v>600</v>
      </c>
      <c r="M124" s="746">
        <f t="shared" si="31"/>
        <v>1</v>
      </c>
      <c r="N124" s="746">
        <v>560</v>
      </c>
      <c r="O124" s="746">
        <v>508</v>
      </c>
      <c r="P124" s="746">
        <v>230</v>
      </c>
      <c r="Q124" s="746">
        <v>1200</v>
      </c>
      <c r="R124" s="746">
        <v>1080</v>
      </c>
      <c r="S124" s="746">
        <v>1200</v>
      </c>
      <c r="T124" s="746">
        <f t="shared" si="34"/>
        <v>5</v>
      </c>
      <c r="U124" s="746">
        <f t="shared" si="35"/>
        <v>2</v>
      </c>
      <c r="V124" s="746">
        <f t="shared" si="35"/>
        <v>2</v>
      </c>
      <c r="W124" s="746">
        <f t="shared" si="36"/>
        <v>5</v>
      </c>
      <c r="X124" s="746">
        <f t="shared" si="37"/>
        <v>20</v>
      </c>
      <c r="Y124" s="758">
        <f t="shared" si="38"/>
        <v>346.59791541805305</v>
      </c>
      <c r="Z124" s="747">
        <f t="shared" si="39"/>
        <v>3.9370078740157481</v>
      </c>
      <c r="AA124" s="746">
        <f t="shared" si="40"/>
        <v>1</v>
      </c>
      <c r="AB124" s="746">
        <f t="shared" si="41"/>
        <v>65430400</v>
      </c>
      <c r="AC124" s="746">
        <f t="shared" si="42"/>
        <v>2.3106527694536871</v>
      </c>
      <c r="AD124" s="759" t="s">
        <v>594</v>
      </c>
      <c r="AE124" s="746">
        <f t="shared" ref="AE124:AE132" si="57">AA124*5</f>
        <v>5</v>
      </c>
      <c r="AF124" s="758">
        <f t="shared" si="43"/>
        <v>4.5</v>
      </c>
      <c r="AG124" s="758">
        <f t="shared" si="44"/>
        <v>1.8</v>
      </c>
      <c r="AH124" s="758">
        <f t="shared" si="45"/>
        <v>1.8</v>
      </c>
      <c r="AI124" s="758">
        <f t="shared" si="46"/>
        <v>0.9</v>
      </c>
      <c r="AJ124" s="746">
        <f t="shared" si="47"/>
        <v>9</v>
      </c>
      <c r="AK124" s="4">
        <f t="shared" si="48"/>
        <v>0</v>
      </c>
      <c r="AL124" s="4">
        <f t="shared" si="49"/>
        <v>0</v>
      </c>
      <c r="AM124" s="4">
        <f t="shared" si="50"/>
        <v>1</v>
      </c>
      <c r="AN124" s="4">
        <f t="shared" si="51"/>
        <v>3</v>
      </c>
      <c r="AO124" s="4">
        <f t="shared" si="52"/>
        <v>4</v>
      </c>
      <c r="AP124" s="4"/>
      <c r="AQ124" s="4"/>
      <c r="AR124" s="4"/>
    </row>
    <row r="125" spans="1:44">
      <c r="A125" s="746" t="s">
        <v>857</v>
      </c>
      <c r="B125" s="746">
        <v>454</v>
      </c>
      <c r="C125" s="747">
        <v>151.33333333333334</v>
      </c>
      <c r="D125" s="746">
        <f t="shared" si="28"/>
        <v>152</v>
      </c>
      <c r="E125" s="299">
        <v>152</v>
      </c>
      <c r="F125" s="757">
        <f t="shared" si="29"/>
        <v>5.8817838831382409E-4</v>
      </c>
      <c r="G125" s="746">
        <v>26</v>
      </c>
      <c r="H125" s="746">
        <f t="shared" si="32"/>
        <v>6</v>
      </c>
      <c r="I125" s="746">
        <v>15</v>
      </c>
      <c r="J125" s="747">
        <f t="shared" si="33"/>
        <v>12.3046875</v>
      </c>
      <c r="K125" s="746">
        <f t="shared" si="30"/>
        <v>90</v>
      </c>
      <c r="L125" s="746">
        <v>600</v>
      </c>
      <c r="M125" s="746">
        <f t="shared" si="31"/>
        <v>1</v>
      </c>
      <c r="N125" s="746">
        <v>889</v>
      </c>
      <c r="O125" s="746">
        <v>228.6</v>
      </c>
      <c r="P125" s="746">
        <v>228.6</v>
      </c>
      <c r="Q125" s="746">
        <v>1200</v>
      </c>
      <c r="R125" s="746">
        <v>1080</v>
      </c>
      <c r="S125" s="746">
        <v>1200</v>
      </c>
      <c r="T125" s="746">
        <f t="shared" si="34"/>
        <v>5</v>
      </c>
      <c r="U125" s="746">
        <f t="shared" si="35"/>
        <v>1</v>
      </c>
      <c r="V125" s="746">
        <f t="shared" si="35"/>
        <v>4</v>
      </c>
      <c r="W125" s="746">
        <f t="shared" si="36"/>
        <v>5</v>
      </c>
      <c r="X125" s="746">
        <f t="shared" si="37"/>
        <v>20</v>
      </c>
      <c r="Y125" s="758">
        <f t="shared" si="38"/>
        <v>246.09375</v>
      </c>
      <c r="Z125" s="747">
        <f t="shared" si="39"/>
        <v>3.9370078740157481</v>
      </c>
      <c r="AA125" s="746">
        <f t="shared" si="40"/>
        <v>1</v>
      </c>
      <c r="AB125" s="746">
        <f t="shared" si="41"/>
        <v>46457326.439999998</v>
      </c>
      <c r="AC125" s="746">
        <f t="shared" si="42"/>
        <v>1.640625</v>
      </c>
      <c r="AD125" s="759" t="s">
        <v>594</v>
      </c>
      <c r="AE125" s="746">
        <f t="shared" si="57"/>
        <v>5</v>
      </c>
      <c r="AF125" s="758">
        <f t="shared" si="43"/>
        <v>3</v>
      </c>
      <c r="AG125" s="758">
        <f t="shared" si="44"/>
        <v>1.2000000000000002</v>
      </c>
      <c r="AH125" s="758">
        <f t="shared" si="45"/>
        <v>1.2000000000000002</v>
      </c>
      <c r="AI125" s="758">
        <f t="shared" si="46"/>
        <v>0.60000000000000009</v>
      </c>
      <c r="AJ125" s="746">
        <f t="shared" si="47"/>
        <v>6</v>
      </c>
      <c r="AK125" s="4">
        <f t="shared" si="48"/>
        <v>0</v>
      </c>
      <c r="AL125" s="4">
        <f t="shared" si="49"/>
        <v>0</v>
      </c>
      <c r="AM125" s="4">
        <f t="shared" si="50"/>
        <v>0</v>
      </c>
      <c r="AN125" s="4">
        <f t="shared" si="51"/>
        <v>2</v>
      </c>
      <c r="AO125" s="4">
        <f t="shared" si="52"/>
        <v>2</v>
      </c>
      <c r="AP125" s="4"/>
      <c r="AQ125" s="4"/>
      <c r="AR125" s="4"/>
    </row>
    <row r="126" spans="1:44">
      <c r="A126" s="746" t="s">
        <v>858</v>
      </c>
      <c r="B126" s="746">
        <v>152</v>
      </c>
      <c r="C126" s="747">
        <v>152</v>
      </c>
      <c r="D126" s="746">
        <f t="shared" si="28"/>
        <v>152</v>
      </c>
      <c r="E126" s="299">
        <v>176</v>
      </c>
      <c r="F126" s="757">
        <f t="shared" si="29"/>
        <v>5.8817838831382409E-4</v>
      </c>
      <c r="G126" s="746">
        <v>26</v>
      </c>
      <c r="H126" s="746">
        <f t="shared" si="32"/>
        <v>7</v>
      </c>
      <c r="I126" s="746">
        <v>15</v>
      </c>
      <c r="J126" s="747">
        <f t="shared" si="33"/>
        <v>7.4428308715541309</v>
      </c>
      <c r="K126" s="746">
        <f t="shared" si="30"/>
        <v>105</v>
      </c>
      <c r="L126" s="746">
        <v>600</v>
      </c>
      <c r="M126" s="746">
        <f t="shared" si="31"/>
        <v>1</v>
      </c>
      <c r="N126" s="746">
        <v>510</v>
      </c>
      <c r="O126" s="746">
        <v>380</v>
      </c>
      <c r="P126" s="746">
        <v>145</v>
      </c>
      <c r="Q126" s="746">
        <v>1200</v>
      </c>
      <c r="R126" s="746">
        <v>1080</v>
      </c>
      <c r="S126" s="746">
        <v>1200</v>
      </c>
      <c r="T126" s="746">
        <f t="shared" si="34"/>
        <v>8</v>
      </c>
      <c r="U126" s="746">
        <f t="shared" si="35"/>
        <v>2</v>
      </c>
      <c r="V126" s="746">
        <f t="shared" si="35"/>
        <v>2</v>
      </c>
      <c r="W126" s="746">
        <f t="shared" si="36"/>
        <v>8</v>
      </c>
      <c r="X126" s="746">
        <f t="shared" si="37"/>
        <v>32</v>
      </c>
      <c r="Y126" s="758">
        <f t="shared" si="38"/>
        <v>238.17058788973219</v>
      </c>
      <c r="Z126" s="747">
        <f t="shared" si="39"/>
        <v>3.9370078740157481</v>
      </c>
      <c r="AA126" s="746">
        <f t="shared" si="40"/>
        <v>1</v>
      </c>
      <c r="AB126" s="746">
        <f t="shared" si="41"/>
        <v>28101000</v>
      </c>
      <c r="AC126" s="746">
        <f t="shared" si="42"/>
        <v>0.99237744954055085</v>
      </c>
      <c r="AD126" s="759" t="s">
        <v>594</v>
      </c>
      <c r="AE126" s="746">
        <f t="shared" si="57"/>
        <v>5</v>
      </c>
      <c r="AF126" s="758">
        <f t="shared" si="43"/>
        <v>3.5</v>
      </c>
      <c r="AG126" s="758">
        <f t="shared" si="44"/>
        <v>1.4000000000000001</v>
      </c>
      <c r="AH126" s="758">
        <f t="shared" si="45"/>
        <v>1.4000000000000001</v>
      </c>
      <c r="AI126" s="758">
        <f t="shared" si="46"/>
        <v>0.70000000000000007</v>
      </c>
      <c r="AJ126" s="746">
        <f t="shared" si="47"/>
        <v>7.0000000000000009</v>
      </c>
      <c r="AK126" s="4">
        <f t="shared" si="48"/>
        <v>0</v>
      </c>
      <c r="AL126" s="4">
        <f t="shared" si="49"/>
        <v>0</v>
      </c>
      <c r="AM126" s="4">
        <f t="shared" si="50"/>
        <v>0</v>
      </c>
      <c r="AN126" s="4">
        <f t="shared" si="51"/>
        <v>1</v>
      </c>
      <c r="AO126" s="4">
        <f t="shared" si="52"/>
        <v>1</v>
      </c>
      <c r="AP126" s="4"/>
      <c r="AQ126" s="4"/>
      <c r="AR126" s="4"/>
    </row>
    <row r="127" spans="1:44">
      <c r="A127" s="746" t="s">
        <v>859</v>
      </c>
      <c r="B127" s="746">
        <v>150</v>
      </c>
      <c r="C127" s="747">
        <v>150</v>
      </c>
      <c r="D127" s="746">
        <f t="shared" si="28"/>
        <v>150</v>
      </c>
      <c r="E127" s="299">
        <v>150</v>
      </c>
      <c r="F127" s="757">
        <f t="shared" si="29"/>
        <v>5.8043919899390542E-4</v>
      </c>
      <c r="G127" s="746">
        <v>26</v>
      </c>
      <c r="H127" s="746">
        <f t="shared" si="32"/>
        <v>6</v>
      </c>
      <c r="I127" s="746">
        <v>15</v>
      </c>
      <c r="J127" s="747">
        <f t="shared" si="33"/>
        <v>11.926645818514736</v>
      </c>
      <c r="K127" s="746">
        <f t="shared" si="30"/>
        <v>90</v>
      </c>
      <c r="L127" s="746">
        <v>600</v>
      </c>
      <c r="M127" s="746">
        <f t="shared" si="31"/>
        <v>1</v>
      </c>
      <c r="N127" s="746">
        <v>790</v>
      </c>
      <c r="O127" s="746">
        <v>380</v>
      </c>
      <c r="P127" s="746">
        <v>150</v>
      </c>
      <c r="Q127" s="746">
        <v>1200</v>
      </c>
      <c r="R127" s="746">
        <v>1080</v>
      </c>
      <c r="S127" s="746">
        <v>1200</v>
      </c>
      <c r="T127" s="746">
        <f t="shared" si="34"/>
        <v>8</v>
      </c>
      <c r="U127" s="746">
        <f t="shared" si="35"/>
        <v>1</v>
      </c>
      <c r="V127" s="746">
        <f t="shared" si="35"/>
        <v>2</v>
      </c>
      <c r="W127" s="746">
        <f t="shared" si="36"/>
        <v>8</v>
      </c>
      <c r="X127" s="746">
        <f t="shared" si="37"/>
        <v>16</v>
      </c>
      <c r="Y127" s="758">
        <f t="shared" si="38"/>
        <v>190.82633309623577</v>
      </c>
      <c r="Z127" s="747">
        <f t="shared" si="39"/>
        <v>3.9370078740157481</v>
      </c>
      <c r="AA127" s="746">
        <f t="shared" si="40"/>
        <v>1</v>
      </c>
      <c r="AB127" s="746">
        <f t="shared" si="41"/>
        <v>45030000</v>
      </c>
      <c r="AC127" s="746">
        <f t="shared" si="42"/>
        <v>1.5902194424686313</v>
      </c>
      <c r="AD127" s="759" t="s">
        <v>594</v>
      </c>
      <c r="AE127" s="746">
        <f t="shared" si="57"/>
        <v>5</v>
      </c>
      <c r="AF127" s="758">
        <f t="shared" si="43"/>
        <v>3</v>
      </c>
      <c r="AG127" s="758">
        <f t="shared" si="44"/>
        <v>1.2000000000000002</v>
      </c>
      <c r="AH127" s="758">
        <f t="shared" si="45"/>
        <v>1.2000000000000002</v>
      </c>
      <c r="AI127" s="758">
        <f t="shared" si="46"/>
        <v>0.60000000000000009</v>
      </c>
      <c r="AJ127" s="746">
        <f t="shared" si="47"/>
        <v>6</v>
      </c>
      <c r="AK127" s="4">
        <f t="shared" si="48"/>
        <v>0</v>
      </c>
      <c r="AL127" s="4">
        <f t="shared" si="49"/>
        <v>0</v>
      </c>
      <c r="AM127" s="4">
        <f t="shared" si="50"/>
        <v>1</v>
      </c>
      <c r="AN127" s="4">
        <f t="shared" si="51"/>
        <v>2</v>
      </c>
      <c r="AO127" s="4">
        <f t="shared" si="52"/>
        <v>3</v>
      </c>
      <c r="AP127" s="4"/>
      <c r="AQ127" s="4"/>
      <c r="AR127" s="4"/>
    </row>
    <row r="128" spans="1:44">
      <c r="A128" s="746" t="s">
        <v>860</v>
      </c>
      <c r="B128" s="746">
        <v>150</v>
      </c>
      <c r="C128" s="747">
        <v>150</v>
      </c>
      <c r="D128" s="746">
        <f t="shared" si="28"/>
        <v>150</v>
      </c>
      <c r="E128" s="299">
        <v>150</v>
      </c>
      <c r="F128" s="757">
        <f t="shared" si="29"/>
        <v>5.8043919899390542E-4</v>
      </c>
      <c r="G128" s="746">
        <v>26</v>
      </c>
      <c r="H128" s="746">
        <f t="shared" si="32"/>
        <v>6</v>
      </c>
      <c r="I128" s="746">
        <v>15</v>
      </c>
      <c r="J128" s="747">
        <f t="shared" si="33"/>
        <v>23.324895936209199</v>
      </c>
      <c r="K128" s="746">
        <f t="shared" si="30"/>
        <v>90</v>
      </c>
      <c r="L128" s="746">
        <v>600</v>
      </c>
      <c r="M128" s="746">
        <f t="shared" si="31"/>
        <v>1</v>
      </c>
      <c r="N128" s="746">
        <v>900</v>
      </c>
      <c r="O128" s="746">
        <v>515</v>
      </c>
      <c r="P128" s="746">
        <v>190</v>
      </c>
      <c r="Q128" s="746">
        <v>1200</v>
      </c>
      <c r="R128" s="746">
        <v>1080</v>
      </c>
      <c r="S128" s="746">
        <v>1200</v>
      </c>
      <c r="T128" s="746">
        <f t="shared" si="34"/>
        <v>6</v>
      </c>
      <c r="U128" s="746">
        <f t="shared" si="35"/>
        <v>1</v>
      </c>
      <c r="V128" s="746">
        <f t="shared" si="35"/>
        <v>2</v>
      </c>
      <c r="W128" s="746">
        <f t="shared" si="36"/>
        <v>6</v>
      </c>
      <c r="X128" s="746">
        <f t="shared" si="37"/>
        <v>12</v>
      </c>
      <c r="Y128" s="758">
        <f t="shared" si="38"/>
        <v>279.89875123451037</v>
      </c>
      <c r="Z128" s="747">
        <f t="shared" si="39"/>
        <v>3.9370078740157481</v>
      </c>
      <c r="AA128" s="746">
        <f t="shared" si="40"/>
        <v>1</v>
      </c>
      <c r="AB128" s="746">
        <f t="shared" si="41"/>
        <v>88065000</v>
      </c>
      <c r="AC128" s="746">
        <f t="shared" si="42"/>
        <v>3.1099861248278931</v>
      </c>
      <c r="AD128" s="759" t="s">
        <v>594</v>
      </c>
      <c r="AE128" s="746">
        <f t="shared" si="57"/>
        <v>5</v>
      </c>
      <c r="AF128" s="758">
        <f t="shared" si="43"/>
        <v>3</v>
      </c>
      <c r="AG128" s="758">
        <f t="shared" si="44"/>
        <v>1.2000000000000002</v>
      </c>
      <c r="AH128" s="758">
        <f t="shared" si="45"/>
        <v>1.2000000000000002</v>
      </c>
      <c r="AI128" s="758">
        <f t="shared" si="46"/>
        <v>0.60000000000000009</v>
      </c>
      <c r="AJ128" s="746">
        <f t="shared" si="47"/>
        <v>6</v>
      </c>
      <c r="AK128" s="4">
        <f t="shared" si="48"/>
        <v>0</v>
      </c>
      <c r="AL128" s="4">
        <f t="shared" si="49"/>
        <v>0</v>
      </c>
      <c r="AM128" s="4">
        <f t="shared" si="50"/>
        <v>1</v>
      </c>
      <c r="AN128" s="4">
        <f t="shared" si="51"/>
        <v>3</v>
      </c>
      <c r="AO128" s="4">
        <f t="shared" si="52"/>
        <v>4</v>
      </c>
      <c r="AP128" s="4"/>
      <c r="AQ128" s="4"/>
      <c r="AR128" s="4"/>
    </row>
    <row r="129" spans="1:44">
      <c r="A129" s="746" t="s">
        <v>861</v>
      </c>
      <c r="B129" s="746">
        <v>1193</v>
      </c>
      <c r="C129" s="747">
        <v>149.125</v>
      </c>
      <c r="D129" s="746">
        <f t="shared" si="28"/>
        <v>150</v>
      </c>
      <c r="E129" s="299">
        <v>150</v>
      </c>
      <c r="F129" s="757">
        <f t="shared" si="29"/>
        <v>5.8043919899390542E-4</v>
      </c>
      <c r="G129" s="746">
        <v>26</v>
      </c>
      <c r="H129" s="746">
        <f t="shared" si="32"/>
        <v>6</v>
      </c>
      <c r="I129" s="746">
        <v>15</v>
      </c>
      <c r="J129" s="747">
        <f t="shared" si="33"/>
        <v>13.460185220895376</v>
      </c>
      <c r="K129" s="746">
        <f t="shared" si="30"/>
        <v>90</v>
      </c>
      <c r="L129" s="746">
        <v>600</v>
      </c>
      <c r="M129" s="746">
        <f t="shared" si="31"/>
        <v>1</v>
      </c>
      <c r="N129" s="746">
        <v>770</v>
      </c>
      <c r="O129" s="746">
        <v>330</v>
      </c>
      <c r="P129" s="746">
        <v>200</v>
      </c>
      <c r="Q129" s="746">
        <v>1200</v>
      </c>
      <c r="R129" s="746">
        <v>1080</v>
      </c>
      <c r="S129" s="746">
        <v>1200</v>
      </c>
      <c r="T129" s="746">
        <f t="shared" si="34"/>
        <v>6</v>
      </c>
      <c r="U129" s="746">
        <f t="shared" si="35"/>
        <v>1</v>
      </c>
      <c r="V129" s="746">
        <f t="shared" si="35"/>
        <v>3</v>
      </c>
      <c r="W129" s="746">
        <f t="shared" si="36"/>
        <v>6</v>
      </c>
      <c r="X129" s="746">
        <f t="shared" si="37"/>
        <v>18</v>
      </c>
      <c r="Y129" s="758">
        <f t="shared" si="38"/>
        <v>242.28333397611675</v>
      </c>
      <c r="Z129" s="747">
        <f t="shared" si="39"/>
        <v>3.9370078740157481</v>
      </c>
      <c r="AA129" s="746">
        <f t="shared" si="40"/>
        <v>1</v>
      </c>
      <c r="AB129" s="746">
        <f t="shared" si="41"/>
        <v>50820000</v>
      </c>
      <c r="AC129" s="746">
        <f t="shared" si="42"/>
        <v>1.7946913627860501</v>
      </c>
      <c r="AD129" s="759" t="s">
        <v>594</v>
      </c>
      <c r="AE129" s="746">
        <f t="shared" si="57"/>
        <v>5</v>
      </c>
      <c r="AF129" s="758">
        <f t="shared" si="43"/>
        <v>3</v>
      </c>
      <c r="AG129" s="758">
        <f t="shared" si="44"/>
        <v>1.2000000000000002</v>
      </c>
      <c r="AH129" s="758">
        <f t="shared" si="45"/>
        <v>1.2000000000000002</v>
      </c>
      <c r="AI129" s="758">
        <f t="shared" si="46"/>
        <v>0.60000000000000009</v>
      </c>
      <c r="AJ129" s="746">
        <f t="shared" si="47"/>
        <v>6</v>
      </c>
      <c r="AK129" s="4">
        <f t="shared" si="48"/>
        <v>0</v>
      </c>
      <c r="AL129" s="4">
        <f t="shared" si="49"/>
        <v>0</v>
      </c>
      <c r="AM129" s="4">
        <f t="shared" si="50"/>
        <v>0</v>
      </c>
      <c r="AN129" s="4">
        <f t="shared" si="51"/>
        <v>2</v>
      </c>
      <c r="AO129" s="4">
        <f t="shared" si="52"/>
        <v>2</v>
      </c>
      <c r="AP129" s="4"/>
      <c r="AQ129" s="4"/>
      <c r="AR129" s="4"/>
    </row>
    <row r="130" spans="1:44">
      <c r="A130" s="746" t="s">
        <v>862</v>
      </c>
      <c r="B130" s="746">
        <v>150</v>
      </c>
      <c r="C130" s="747">
        <v>150</v>
      </c>
      <c r="D130" s="746">
        <f t="shared" si="28"/>
        <v>150</v>
      </c>
      <c r="E130" s="299">
        <v>197</v>
      </c>
      <c r="F130" s="757">
        <f t="shared" si="29"/>
        <v>5.8043919899390542E-4</v>
      </c>
      <c r="G130" s="746">
        <v>26</v>
      </c>
      <c r="H130" s="746">
        <f t="shared" si="32"/>
        <v>8</v>
      </c>
      <c r="I130" s="746">
        <v>15</v>
      </c>
      <c r="J130" s="747">
        <f t="shared" si="33"/>
        <v>10.467267216249219</v>
      </c>
      <c r="K130" s="746">
        <f t="shared" si="30"/>
        <v>120</v>
      </c>
      <c r="L130" s="746">
        <v>600</v>
      </c>
      <c r="M130" s="746">
        <f t="shared" si="31"/>
        <v>1</v>
      </c>
      <c r="N130" s="746">
        <v>650</v>
      </c>
      <c r="O130" s="746">
        <v>380</v>
      </c>
      <c r="P130" s="746">
        <v>160</v>
      </c>
      <c r="Q130" s="746">
        <v>1200</v>
      </c>
      <c r="R130" s="746">
        <v>1080</v>
      </c>
      <c r="S130" s="746">
        <v>1200</v>
      </c>
      <c r="T130" s="746">
        <f t="shared" si="34"/>
        <v>8</v>
      </c>
      <c r="U130" s="746">
        <f t="shared" si="35"/>
        <v>1</v>
      </c>
      <c r="V130" s="746">
        <f t="shared" si="35"/>
        <v>2</v>
      </c>
      <c r="W130" s="746">
        <f t="shared" si="36"/>
        <v>8</v>
      </c>
      <c r="X130" s="746">
        <f t="shared" si="37"/>
        <v>16</v>
      </c>
      <c r="Y130" s="758">
        <f t="shared" si="38"/>
        <v>167.47627545998751</v>
      </c>
      <c r="Z130" s="747">
        <f t="shared" si="39"/>
        <v>3.9370078740157481</v>
      </c>
      <c r="AA130" s="746">
        <f t="shared" si="40"/>
        <v>1</v>
      </c>
      <c r="AB130" s="746">
        <f t="shared" si="41"/>
        <v>39520000</v>
      </c>
      <c r="AC130" s="746">
        <f t="shared" si="42"/>
        <v>1.3956356288332292</v>
      </c>
      <c r="AD130" s="759" t="s">
        <v>594</v>
      </c>
      <c r="AE130" s="746">
        <f t="shared" si="57"/>
        <v>5</v>
      </c>
      <c r="AF130" s="758">
        <f t="shared" si="43"/>
        <v>4</v>
      </c>
      <c r="AG130" s="758">
        <f t="shared" si="44"/>
        <v>1.6</v>
      </c>
      <c r="AH130" s="758">
        <f t="shared" si="45"/>
        <v>1.6</v>
      </c>
      <c r="AI130" s="758">
        <f t="shared" si="46"/>
        <v>0.8</v>
      </c>
      <c r="AJ130" s="746">
        <f t="shared" si="47"/>
        <v>7.9999999999999991</v>
      </c>
      <c r="AK130" s="4">
        <f t="shared" si="48"/>
        <v>0</v>
      </c>
      <c r="AL130" s="4">
        <f t="shared" si="49"/>
        <v>0</v>
      </c>
      <c r="AM130" s="4">
        <f t="shared" si="50"/>
        <v>1</v>
      </c>
      <c r="AN130" s="4">
        <f t="shared" si="51"/>
        <v>3</v>
      </c>
      <c r="AO130" s="4">
        <f t="shared" si="52"/>
        <v>4</v>
      </c>
      <c r="AP130" s="4"/>
      <c r="AQ130" s="4"/>
      <c r="AR130" s="4"/>
    </row>
    <row r="131" spans="1:44">
      <c r="A131" s="746" t="s">
        <v>863</v>
      </c>
      <c r="B131" s="746">
        <v>149</v>
      </c>
      <c r="C131" s="747">
        <v>149</v>
      </c>
      <c r="D131" s="746">
        <f t="shared" ref="D131:D148" si="58">ROUNDUP(C131,0)</f>
        <v>149</v>
      </c>
      <c r="E131" s="299">
        <v>149</v>
      </c>
      <c r="F131" s="757">
        <f t="shared" ref="F131:F148" si="59">D131/$D$1</f>
        <v>5.7656960433394603E-4</v>
      </c>
      <c r="G131" s="746">
        <v>26</v>
      </c>
      <c r="H131" s="746">
        <f t="shared" si="32"/>
        <v>6</v>
      </c>
      <c r="I131" s="746">
        <v>15</v>
      </c>
      <c r="J131" s="747">
        <f t="shared" si="33"/>
        <v>7.6994802119525492</v>
      </c>
      <c r="K131" s="746">
        <f t="shared" ref="K131:K148" si="60">H131*I131</f>
        <v>90</v>
      </c>
      <c r="L131" s="746">
        <v>600</v>
      </c>
      <c r="M131" s="746">
        <f t="shared" ref="M131:M148" si="61">ROUNDUP(K131/L131,0)</f>
        <v>1</v>
      </c>
      <c r="N131" s="746">
        <v>570</v>
      </c>
      <c r="O131" s="746">
        <v>340</v>
      </c>
      <c r="P131" s="746">
        <v>150</v>
      </c>
      <c r="Q131" s="746">
        <v>1200</v>
      </c>
      <c r="R131" s="746">
        <v>1080</v>
      </c>
      <c r="S131" s="746">
        <v>1200</v>
      </c>
      <c r="T131" s="746">
        <f t="shared" si="34"/>
        <v>8</v>
      </c>
      <c r="U131" s="746">
        <f t="shared" si="35"/>
        <v>2</v>
      </c>
      <c r="V131" s="746">
        <f t="shared" si="35"/>
        <v>3</v>
      </c>
      <c r="W131" s="746">
        <f t="shared" si="36"/>
        <v>8</v>
      </c>
      <c r="X131" s="746">
        <f t="shared" si="37"/>
        <v>48</v>
      </c>
      <c r="Y131" s="758">
        <f t="shared" si="38"/>
        <v>369.57505017372239</v>
      </c>
      <c r="Z131" s="747">
        <f t="shared" si="39"/>
        <v>3.9370078740157481</v>
      </c>
      <c r="AA131" s="746">
        <f t="shared" si="40"/>
        <v>1</v>
      </c>
      <c r="AB131" s="746">
        <f t="shared" si="41"/>
        <v>29070000</v>
      </c>
      <c r="AC131" s="746">
        <f t="shared" si="42"/>
        <v>1.0265973615936732</v>
      </c>
      <c r="AD131" s="759" t="s">
        <v>594</v>
      </c>
      <c r="AE131" s="746">
        <f t="shared" si="57"/>
        <v>5</v>
      </c>
      <c r="AF131" s="758">
        <f t="shared" si="43"/>
        <v>3</v>
      </c>
      <c r="AG131" s="758">
        <f t="shared" si="44"/>
        <v>1.2000000000000002</v>
      </c>
      <c r="AH131" s="758">
        <f t="shared" si="45"/>
        <v>1.2000000000000002</v>
      </c>
      <c r="AI131" s="758">
        <f t="shared" si="46"/>
        <v>0.60000000000000009</v>
      </c>
      <c r="AJ131" s="746">
        <f t="shared" si="47"/>
        <v>6</v>
      </c>
      <c r="AK131" s="4">
        <f t="shared" si="48"/>
        <v>0</v>
      </c>
      <c r="AL131" s="4">
        <f t="shared" si="49"/>
        <v>0</v>
      </c>
      <c r="AM131" s="4">
        <f t="shared" si="50"/>
        <v>0</v>
      </c>
      <c r="AN131" s="4">
        <f t="shared" si="51"/>
        <v>1</v>
      </c>
      <c r="AO131" s="4">
        <f t="shared" si="52"/>
        <v>1</v>
      </c>
      <c r="AP131" s="4"/>
      <c r="AQ131" s="4"/>
      <c r="AR131" s="4"/>
    </row>
    <row r="132" spans="1:44">
      <c r="A132" s="746" t="s">
        <v>864</v>
      </c>
      <c r="B132" s="746">
        <v>149</v>
      </c>
      <c r="C132" s="747">
        <v>149</v>
      </c>
      <c r="D132" s="746">
        <f t="shared" si="58"/>
        <v>149</v>
      </c>
      <c r="E132" s="299">
        <v>149</v>
      </c>
      <c r="F132" s="757">
        <f t="shared" si="59"/>
        <v>5.7656960433394603E-4</v>
      </c>
      <c r="G132" s="746">
        <v>26</v>
      </c>
      <c r="H132" s="746">
        <f t="shared" ref="H132:H148" si="62">ROUNDUP(E132/G132,0)</f>
        <v>6</v>
      </c>
      <c r="I132" s="746">
        <v>15</v>
      </c>
      <c r="J132" s="747">
        <f t="shared" ref="J132:J148" si="63">AC132*7.5</f>
        <v>9.8388868652737322</v>
      </c>
      <c r="K132" s="746">
        <f t="shared" si="60"/>
        <v>90</v>
      </c>
      <c r="L132" s="746">
        <v>600</v>
      </c>
      <c r="M132" s="746">
        <f t="shared" si="61"/>
        <v>1</v>
      </c>
      <c r="N132" s="746">
        <v>635</v>
      </c>
      <c r="O132" s="746">
        <v>390</v>
      </c>
      <c r="P132" s="746">
        <v>150</v>
      </c>
      <c r="Q132" s="746">
        <v>1200</v>
      </c>
      <c r="R132" s="746">
        <v>1080</v>
      </c>
      <c r="S132" s="746">
        <v>1200</v>
      </c>
      <c r="T132" s="746">
        <f t="shared" ref="T132:T148" si="64">W132</f>
        <v>8</v>
      </c>
      <c r="U132" s="746">
        <f t="shared" ref="U132:V148" si="65">ROUNDDOWN(Q132/N132,0)</f>
        <v>1</v>
      </c>
      <c r="V132" s="746">
        <f t="shared" si="65"/>
        <v>2</v>
      </c>
      <c r="W132" s="746">
        <f t="shared" ref="W132:W148" si="66">ROUND(S132/P132,0)</f>
        <v>8</v>
      </c>
      <c r="X132" s="746">
        <f t="shared" ref="X132:X148" si="67">U132*V132*W132</f>
        <v>16</v>
      </c>
      <c r="Y132" s="758">
        <f t="shared" ref="Y132:Y148" si="68">J132*X132</f>
        <v>157.42218984437972</v>
      </c>
      <c r="Z132" s="747">
        <f t="shared" ref="Z132:Z148" si="69">CONVERT(S132,"mm","ft")</f>
        <v>3.9370078740157481</v>
      </c>
      <c r="AA132" s="746">
        <f t="shared" ref="AA132:AA148" si="70">IFERROR(ROUNDUP(H132/X132*1.05,0),0)</f>
        <v>1</v>
      </c>
      <c r="AB132" s="746">
        <f t="shared" ref="AB132:AB148" si="71">N132*O132*P132</f>
        <v>37147500</v>
      </c>
      <c r="AC132" s="746">
        <f t="shared" ref="AC132:AC148" si="72">CONVERT(AB132,"mm^3","ft^3")</f>
        <v>1.3118515820364975</v>
      </c>
      <c r="AD132" s="759" t="s">
        <v>594</v>
      </c>
      <c r="AE132" s="746">
        <f t="shared" si="57"/>
        <v>5</v>
      </c>
      <c r="AF132" s="758">
        <f t="shared" ref="AF132:AF148" si="73">(H132*$AF$2)</f>
        <v>3</v>
      </c>
      <c r="AG132" s="758">
        <f t="shared" ref="AG132:AG148" si="74">(H132*$AG$2)</f>
        <v>1.2000000000000002</v>
      </c>
      <c r="AH132" s="758">
        <f t="shared" ref="AH132:AH148" si="75">(H132*$AH$2)</f>
        <v>1.2000000000000002</v>
      </c>
      <c r="AI132" s="758">
        <f t="shared" ref="AI132:AI148" si="76">(H132*$AI$2)</f>
        <v>0.60000000000000009</v>
      </c>
      <c r="AJ132" s="746">
        <f t="shared" ref="AJ132:AJ148" si="77">SUM(AF132:AI132)</f>
        <v>6</v>
      </c>
      <c r="AK132" s="4">
        <f t="shared" ref="AK132:AK148" si="78">IFERROR(ROUND(AF132/X132*$AK$1,0),0)</f>
        <v>0</v>
      </c>
      <c r="AL132" s="4">
        <f t="shared" ref="AL132:AL148" si="79">IFERROR(ROUND(AG132/X132*$AL$1,0),0)</f>
        <v>0</v>
      </c>
      <c r="AM132" s="4">
        <f t="shared" ref="AM132:AM148" si="80">IFERROR(ROUND(AH132/X132*$AM$1,0),0)</f>
        <v>1</v>
      </c>
      <c r="AN132" s="4">
        <f t="shared" ref="AN132:AN148" si="81">IFERROR(ROUND(AI132/X132*$AN$1,0),0)</f>
        <v>2</v>
      </c>
      <c r="AO132" s="4">
        <f t="shared" ref="AO132:AO148" si="82">SUM(AK132:AN132)</f>
        <v>3</v>
      </c>
      <c r="AP132" s="4"/>
      <c r="AQ132" s="4"/>
      <c r="AR132" s="4"/>
    </row>
    <row r="133" spans="1:44">
      <c r="A133" s="763" t="s">
        <v>865</v>
      </c>
      <c r="B133" s="746">
        <v>322</v>
      </c>
      <c r="C133" s="747">
        <v>133</v>
      </c>
      <c r="D133" s="746">
        <f t="shared" si="58"/>
        <v>133</v>
      </c>
      <c r="E133" s="299">
        <v>172</v>
      </c>
      <c r="F133" s="757">
        <f t="shared" si="59"/>
        <v>5.1465608977459612E-4</v>
      </c>
      <c r="G133" s="746">
        <v>26</v>
      </c>
      <c r="H133" s="746">
        <f t="shared" si="62"/>
        <v>7</v>
      </c>
      <c r="I133" s="746">
        <v>15</v>
      </c>
      <c r="J133" s="747">
        <f t="shared" si="63"/>
        <v>42.52380278601327</v>
      </c>
      <c r="K133" s="746">
        <f t="shared" si="60"/>
        <v>105</v>
      </c>
      <c r="L133" s="746">
        <v>600</v>
      </c>
      <c r="M133" s="746">
        <f t="shared" si="61"/>
        <v>1</v>
      </c>
      <c r="N133" s="746">
        <v>1880</v>
      </c>
      <c r="O133" s="746">
        <v>305</v>
      </c>
      <c r="P133" s="746">
        <v>280</v>
      </c>
      <c r="Q133" s="746">
        <v>2000</v>
      </c>
      <c r="R133" s="746">
        <v>1080</v>
      </c>
      <c r="S133" s="746">
        <v>1200</v>
      </c>
      <c r="T133" s="746">
        <f t="shared" si="64"/>
        <v>4</v>
      </c>
      <c r="U133" s="746">
        <f t="shared" si="65"/>
        <v>1</v>
      </c>
      <c r="V133" s="746">
        <f t="shared" si="65"/>
        <v>3</v>
      </c>
      <c r="W133" s="746">
        <f t="shared" si="66"/>
        <v>4</v>
      </c>
      <c r="X133" s="746">
        <f t="shared" si="67"/>
        <v>12</v>
      </c>
      <c r="Y133" s="758">
        <f t="shared" si="68"/>
        <v>510.28563343215922</v>
      </c>
      <c r="Z133" s="747">
        <f t="shared" si="69"/>
        <v>3.9370078740157481</v>
      </c>
      <c r="AA133" s="746">
        <f t="shared" si="70"/>
        <v>1</v>
      </c>
      <c r="AB133" s="746">
        <f t="shared" si="71"/>
        <v>160552000</v>
      </c>
      <c r="AC133" s="746">
        <f t="shared" si="72"/>
        <v>5.6698403714684362</v>
      </c>
      <c r="AD133" s="759" t="s">
        <v>596</v>
      </c>
      <c r="AE133" s="746">
        <f t="shared" ref="AE133:AE145" si="83">AA133*10</f>
        <v>10</v>
      </c>
      <c r="AF133" s="758">
        <f t="shared" si="73"/>
        <v>3.5</v>
      </c>
      <c r="AG133" s="758">
        <f t="shared" si="74"/>
        <v>1.4000000000000001</v>
      </c>
      <c r="AH133" s="758">
        <f t="shared" si="75"/>
        <v>1.4000000000000001</v>
      </c>
      <c r="AI133" s="758">
        <f t="shared" si="76"/>
        <v>0.70000000000000007</v>
      </c>
      <c r="AJ133" s="746">
        <f t="shared" si="77"/>
        <v>7.0000000000000009</v>
      </c>
      <c r="AK133" s="4">
        <f t="shared" si="78"/>
        <v>0</v>
      </c>
      <c r="AL133" s="4">
        <f t="shared" si="79"/>
        <v>0</v>
      </c>
      <c r="AM133" s="4">
        <f t="shared" si="80"/>
        <v>1</v>
      </c>
      <c r="AN133" s="4">
        <f t="shared" si="81"/>
        <v>4</v>
      </c>
      <c r="AO133" s="4">
        <f t="shared" si="82"/>
        <v>5</v>
      </c>
      <c r="AP133" s="4"/>
      <c r="AQ133" s="4"/>
      <c r="AR133" s="4"/>
    </row>
    <row r="134" spans="1:44">
      <c r="A134" s="746" t="s">
        <v>866</v>
      </c>
      <c r="B134" s="746">
        <v>120</v>
      </c>
      <c r="C134" s="747">
        <v>120</v>
      </c>
      <c r="D134" s="746">
        <f t="shared" si="58"/>
        <v>120</v>
      </c>
      <c r="E134" s="299">
        <v>120</v>
      </c>
      <c r="F134" s="757">
        <f t="shared" si="59"/>
        <v>4.6435135919512433E-4</v>
      </c>
      <c r="G134" s="746">
        <v>26</v>
      </c>
      <c r="H134" s="746">
        <f t="shared" si="62"/>
        <v>5</v>
      </c>
      <c r="I134" s="746">
        <v>15</v>
      </c>
      <c r="J134" s="747">
        <f t="shared" si="63"/>
        <v>7.1614583333333321</v>
      </c>
      <c r="K134" s="746">
        <f t="shared" si="60"/>
        <v>75</v>
      </c>
      <c r="L134" s="746">
        <v>600</v>
      </c>
      <c r="M134" s="746">
        <f t="shared" si="61"/>
        <v>1</v>
      </c>
      <c r="N134" s="746">
        <v>279.39999999999998</v>
      </c>
      <c r="O134" s="746">
        <v>381</v>
      </c>
      <c r="P134" s="746">
        <v>254</v>
      </c>
      <c r="Q134" s="746">
        <v>1200</v>
      </c>
      <c r="R134" s="746">
        <v>1080</v>
      </c>
      <c r="S134" s="746">
        <v>1200</v>
      </c>
      <c r="T134" s="746">
        <f t="shared" si="64"/>
        <v>5</v>
      </c>
      <c r="U134" s="746">
        <f t="shared" si="65"/>
        <v>4</v>
      </c>
      <c r="V134" s="746">
        <f t="shared" si="65"/>
        <v>2</v>
      </c>
      <c r="W134" s="746">
        <f t="shared" si="66"/>
        <v>5</v>
      </c>
      <c r="X134" s="746">
        <f t="shared" si="67"/>
        <v>40</v>
      </c>
      <c r="Y134" s="758">
        <f t="shared" si="68"/>
        <v>286.45833333333326</v>
      </c>
      <c r="Z134" s="747">
        <f t="shared" si="69"/>
        <v>3.9370078740157481</v>
      </c>
      <c r="AA134" s="746">
        <f t="shared" si="70"/>
        <v>1</v>
      </c>
      <c r="AB134" s="746">
        <f t="shared" si="71"/>
        <v>27038655.599999998</v>
      </c>
      <c r="AC134" s="746">
        <f t="shared" si="72"/>
        <v>0.95486111111111094</v>
      </c>
      <c r="AD134" s="759" t="s">
        <v>594</v>
      </c>
      <c r="AE134" s="746">
        <f t="shared" ref="AE134:AE135" si="84">AA134*5</f>
        <v>5</v>
      </c>
      <c r="AF134" s="758">
        <f t="shared" si="73"/>
        <v>2.5</v>
      </c>
      <c r="AG134" s="758">
        <f t="shared" si="74"/>
        <v>1</v>
      </c>
      <c r="AH134" s="758">
        <f t="shared" si="75"/>
        <v>1</v>
      </c>
      <c r="AI134" s="758">
        <f t="shared" si="76"/>
        <v>0.5</v>
      </c>
      <c r="AJ134" s="746">
        <f t="shared" si="77"/>
        <v>5</v>
      </c>
      <c r="AK134" s="4">
        <f t="shared" si="78"/>
        <v>0</v>
      </c>
      <c r="AL134" s="4">
        <f t="shared" si="79"/>
        <v>0</v>
      </c>
      <c r="AM134" s="4">
        <f t="shared" si="80"/>
        <v>0</v>
      </c>
      <c r="AN134" s="4">
        <f t="shared" si="81"/>
        <v>1</v>
      </c>
      <c r="AO134" s="4">
        <f t="shared" si="82"/>
        <v>1</v>
      </c>
      <c r="AP134" s="4"/>
      <c r="AQ134" s="4"/>
      <c r="AR134" s="4"/>
    </row>
    <row r="135" spans="1:44">
      <c r="A135" s="746" t="s">
        <v>867</v>
      </c>
      <c r="B135" s="746">
        <v>100</v>
      </c>
      <c r="C135" s="747">
        <v>100</v>
      </c>
      <c r="D135" s="746">
        <f t="shared" si="58"/>
        <v>100</v>
      </c>
      <c r="E135" s="299">
        <v>100</v>
      </c>
      <c r="F135" s="757">
        <f t="shared" si="59"/>
        <v>3.8695946599593691E-4</v>
      </c>
      <c r="G135" s="746">
        <v>26</v>
      </c>
      <c r="H135" s="746">
        <f t="shared" si="62"/>
        <v>4</v>
      </c>
      <c r="I135" s="746">
        <v>15</v>
      </c>
      <c r="J135" s="747">
        <f t="shared" si="63"/>
        <v>38.139840059207678</v>
      </c>
      <c r="K135" s="746">
        <f t="shared" si="60"/>
        <v>60</v>
      </c>
      <c r="L135" s="746">
        <v>600</v>
      </c>
      <c r="M135" s="746">
        <f t="shared" si="61"/>
        <v>1</v>
      </c>
      <c r="N135" s="746">
        <v>960</v>
      </c>
      <c r="O135" s="746">
        <v>500</v>
      </c>
      <c r="P135" s="746">
        <v>300</v>
      </c>
      <c r="Q135" s="746">
        <v>1200</v>
      </c>
      <c r="R135" s="746">
        <v>1080</v>
      </c>
      <c r="S135" s="746">
        <v>1200</v>
      </c>
      <c r="T135" s="746">
        <f t="shared" si="64"/>
        <v>4</v>
      </c>
      <c r="U135" s="746">
        <f t="shared" si="65"/>
        <v>1</v>
      </c>
      <c r="V135" s="746">
        <f t="shared" si="65"/>
        <v>2</v>
      </c>
      <c r="W135" s="746">
        <f t="shared" si="66"/>
        <v>4</v>
      </c>
      <c r="X135" s="746">
        <f t="shared" si="67"/>
        <v>8</v>
      </c>
      <c r="Y135" s="758">
        <f t="shared" si="68"/>
        <v>305.11872047366143</v>
      </c>
      <c r="Z135" s="747">
        <f t="shared" si="69"/>
        <v>3.9370078740157481</v>
      </c>
      <c r="AA135" s="746">
        <f t="shared" si="70"/>
        <v>1</v>
      </c>
      <c r="AB135" s="746">
        <f t="shared" si="71"/>
        <v>144000000</v>
      </c>
      <c r="AC135" s="746">
        <f t="shared" si="72"/>
        <v>5.0853120078943572</v>
      </c>
      <c r="AD135" s="759" t="s">
        <v>594</v>
      </c>
      <c r="AE135" s="746">
        <f t="shared" si="84"/>
        <v>5</v>
      </c>
      <c r="AF135" s="758">
        <f t="shared" si="73"/>
        <v>2</v>
      </c>
      <c r="AG135" s="758">
        <f t="shared" si="74"/>
        <v>0.8</v>
      </c>
      <c r="AH135" s="758">
        <f t="shared" si="75"/>
        <v>0.8</v>
      </c>
      <c r="AI135" s="758">
        <f t="shared" si="76"/>
        <v>0.4</v>
      </c>
      <c r="AJ135" s="746">
        <f t="shared" si="77"/>
        <v>3.9999999999999996</v>
      </c>
      <c r="AK135" s="4">
        <f t="shared" si="78"/>
        <v>0</v>
      </c>
      <c r="AL135" s="4">
        <f t="shared" si="79"/>
        <v>0</v>
      </c>
      <c r="AM135" s="4">
        <f t="shared" si="80"/>
        <v>1</v>
      </c>
      <c r="AN135" s="4">
        <f t="shared" si="81"/>
        <v>3</v>
      </c>
      <c r="AO135" s="4">
        <f t="shared" si="82"/>
        <v>4</v>
      </c>
      <c r="AP135" s="4"/>
      <c r="AQ135" s="4"/>
      <c r="AR135" s="4"/>
    </row>
    <row r="136" spans="1:44">
      <c r="A136" s="763" t="s">
        <v>868</v>
      </c>
      <c r="B136" s="746">
        <v>100</v>
      </c>
      <c r="C136" s="747">
        <v>100</v>
      </c>
      <c r="D136" s="746">
        <f t="shared" si="58"/>
        <v>100</v>
      </c>
      <c r="E136" s="299">
        <v>100</v>
      </c>
      <c r="F136" s="757">
        <f t="shared" si="59"/>
        <v>3.8695946599593691E-4</v>
      </c>
      <c r="G136" s="746">
        <v>26</v>
      </c>
      <c r="H136" s="746">
        <f t="shared" si="62"/>
        <v>4</v>
      </c>
      <c r="I136" s="746">
        <v>15</v>
      </c>
      <c r="J136" s="747">
        <f t="shared" si="63"/>
        <v>12.395448019242496</v>
      </c>
      <c r="K136" s="746">
        <f t="shared" si="60"/>
        <v>60</v>
      </c>
      <c r="L136" s="746">
        <v>600</v>
      </c>
      <c r="M136" s="746">
        <f t="shared" si="61"/>
        <v>1</v>
      </c>
      <c r="N136" s="746">
        <v>1560</v>
      </c>
      <c r="O136" s="746">
        <v>200</v>
      </c>
      <c r="P136" s="746">
        <v>150</v>
      </c>
      <c r="Q136" s="746">
        <v>1500</v>
      </c>
      <c r="R136" s="746">
        <v>1080</v>
      </c>
      <c r="S136" s="746">
        <v>1200</v>
      </c>
      <c r="T136" s="746">
        <f t="shared" si="64"/>
        <v>8</v>
      </c>
      <c r="U136" s="746">
        <f>ROUNDUP(Q136/N136,0)</f>
        <v>1</v>
      </c>
      <c r="V136" s="746">
        <f t="shared" si="65"/>
        <v>5</v>
      </c>
      <c r="W136" s="746">
        <f t="shared" si="66"/>
        <v>8</v>
      </c>
      <c r="X136" s="746">
        <f t="shared" si="67"/>
        <v>40</v>
      </c>
      <c r="Y136" s="758">
        <f t="shared" si="68"/>
        <v>495.81792076969981</v>
      </c>
      <c r="Z136" s="747">
        <f t="shared" si="69"/>
        <v>3.9370078740157481</v>
      </c>
      <c r="AA136" s="746">
        <f t="shared" si="70"/>
        <v>1</v>
      </c>
      <c r="AB136" s="746">
        <f t="shared" si="71"/>
        <v>46800000</v>
      </c>
      <c r="AC136" s="746">
        <f t="shared" si="72"/>
        <v>1.6527264025656661</v>
      </c>
      <c r="AD136" s="759" t="s">
        <v>595</v>
      </c>
      <c r="AE136" s="746">
        <f t="shared" si="83"/>
        <v>10</v>
      </c>
      <c r="AF136" s="758">
        <f t="shared" si="73"/>
        <v>2</v>
      </c>
      <c r="AG136" s="758">
        <f t="shared" si="74"/>
        <v>0.8</v>
      </c>
      <c r="AH136" s="758">
        <f t="shared" si="75"/>
        <v>0.8</v>
      </c>
      <c r="AI136" s="758">
        <f t="shared" si="76"/>
        <v>0.4</v>
      </c>
      <c r="AJ136" s="746">
        <f t="shared" si="77"/>
        <v>3.9999999999999996</v>
      </c>
      <c r="AK136" s="4">
        <f t="shared" si="78"/>
        <v>0</v>
      </c>
      <c r="AL136" s="4">
        <f t="shared" si="79"/>
        <v>0</v>
      </c>
      <c r="AM136" s="4">
        <f t="shared" si="80"/>
        <v>0</v>
      </c>
      <c r="AN136" s="4">
        <f t="shared" si="81"/>
        <v>1</v>
      </c>
      <c r="AO136" s="4">
        <f t="shared" si="82"/>
        <v>1</v>
      </c>
      <c r="AP136" s="4"/>
      <c r="AQ136" s="4"/>
      <c r="AR136" s="4"/>
    </row>
    <row r="137" spans="1:44">
      <c r="A137" s="763" t="s">
        <v>869</v>
      </c>
      <c r="B137" s="746">
        <v>976</v>
      </c>
      <c r="C137" s="747">
        <v>88.727272727272734</v>
      </c>
      <c r="D137" s="746">
        <f t="shared" si="58"/>
        <v>89</v>
      </c>
      <c r="E137" s="299">
        <v>102</v>
      </c>
      <c r="F137" s="757">
        <f t="shared" si="59"/>
        <v>3.4439392473638384E-4</v>
      </c>
      <c r="G137" s="746">
        <v>26</v>
      </c>
      <c r="H137" s="746">
        <f t="shared" si="62"/>
        <v>4</v>
      </c>
      <c r="I137" s="746">
        <v>15</v>
      </c>
      <c r="J137" s="747">
        <f t="shared" si="63"/>
        <v>62.828433922533861</v>
      </c>
      <c r="K137" s="746">
        <f t="shared" si="60"/>
        <v>60</v>
      </c>
      <c r="L137" s="746">
        <v>600</v>
      </c>
      <c r="M137" s="746">
        <f t="shared" si="61"/>
        <v>1</v>
      </c>
      <c r="N137" s="746">
        <v>1525</v>
      </c>
      <c r="O137" s="746">
        <v>610</v>
      </c>
      <c r="P137" s="746">
        <v>255</v>
      </c>
      <c r="Q137" s="746">
        <v>1500</v>
      </c>
      <c r="R137" s="746">
        <v>1080</v>
      </c>
      <c r="S137" s="746">
        <v>1200</v>
      </c>
      <c r="T137" s="746">
        <f t="shared" si="64"/>
        <v>5</v>
      </c>
      <c r="U137" s="746">
        <f>ROUNDUP(Q137/N137,0)</f>
        <v>1</v>
      </c>
      <c r="V137" s="746">
        <f t="shared" si="65"/>
        <v>1</v>
      </c>
      <c r="W137" s="746">
        <f t="shared" si="66"/>
        <v>5</v>
      </c>
      <c r="X137" s="746">
        <f t="shared" si="67"/>
        <v>5</v>
      </c>
      <c r="Y137" s="758">
        <f t="shared" si="68"/>
        <v>314.14216961266931</v>
      </c>
      <c r="Z137" s="747">
        <f t="shared" si="69"/>
        <v>3.9370078740157481</v>
      </c>
      <c r="AA137" s="746">
        <f t="shared" si="70"/>
        <v>1</v>
      </c>
      <c r="AB137" s="746">
        <f t="shared" si="71"/>
        <v>237213750</v>
      </c>
      <c r="AC137" s="746">
        <f t="shared" si="72"/>
        <v>8.3771245230045146</v>
      </c>
      <c r="AD137" s="759" t="s">
        <v>595</v>
      </c>
      <c r="AE137" s="746">
        <f t="shared" si="83"/>
        <v>10</v>
      </c>
      <c r="AF137" s="758">
        <f t="shared" si="73"/>
        <v>2</v>
      </c>
      <c r="AG137" s="758">
        <f t="shared" si="74"/>
        <v>0.8</v>
      </c>
      <c r="AH137" s="758">
        <f t="shared" si="75"/>
        <v>0.8</v>
      </c>
      <c r="AI137" s="758">
        <f t="shared" si="76"/>
        <v>0.4</v>
      </c>
      <c r="AJ137" s="746">
        <f t="shared" si="77"/>
        <v>3.9999999999999996</v>
      </c>
      <c r="AK137" s="4">
        <f t="shared" si="78"/>
        <v>0</v>
      </c>
      <c r="AL137" s="4">
        <f t="shared" si="79"/>
        <v>0</v>
      </c>
      <c r="AM137" s="4">
        <f t="shared" si="80"/>
        <v>1</v>
      </c>
      <c r="AN137" s="4">
        <f t="shared" si="81"/>
        <v>5</v>
      </c>
      <c r="AO137" s="4">
        <f t="shared" si="82"/>
        <v>6</v>
      </c>
      <c r="AP137" s="4"/>
      <c r="AQ137" s="4"/>
      <c r="AR137" s="4"/>
    </row>
    <row r="138" spans="1:44">
      <c r="A138" s="746" t="s">
        <v>870</v>
      </c>
      <c r="B138" s="746">
        <v>780</v>
      </c>
      <c r="C138" s="747">
        <v>86.666666666666671</v>
      </c>
      <c r="D138" s="746">
        <f t="shared" si="58"/>
        <v>87</v>
      </c>
      <c r="E138" s="299">
        <v>101</v>
      </c>
      <c r="F138" s="757">
        <f t="shared" si="59"/>
        <v>3.3665473541646512E-4</v>
      </c>
      <c r="G138" s="746">
        <v>26</v>
      </c>
      <c r="H138" s="746">
        <f t="shared" si="62"/>
        <v>4</v>
      </c>
      <c r="I138" s="746">
        <v>15</v>
      </c>
      <c r="J138" s="747">
        <f t="shared" si="63"/>
        <v>19.999999999999996</v>
      </c>
      <c r="K138" s="746">
        <f t="shared" si="60"/>
        <v>60</v>
      </c>
      <c r="L138" s="746">
        <v>600</v>
      </c>
      <c r="M138" s="746">
        <f t="shared" si="61"/>
        <v>1</v>
      </c>
      <c r="N138" s="746">
        <v>914.4</v>
      </c>
      <c r="O138" s="746">
        <v>406.4</v>
      </c>
      <c r="P138" s="746">
        <v>203.2</v>
      </c>
      <c r="Q138" s="746">
        <v>1200</v>
      </c>
      <c r="R138" s="746">
        <v>1080</v>
      </c>
      <c r="S138" s="746">
        <v>1200</v>
      </c>
      <c r="T138" s="746">
        <f t="shared" si="64"/>
        <v>6</v>
      </c>
      <c r="U138" s="746">
        <f t="shared" si="65"/>
        <v>1</v>
      </c>
      <c r="V138" s="746">
        <f t="shared" si="65"/>
        <v>2</v>
      </c>
      <c r="W138" s="746">
        <f t="shared" si="66"/>
        <v>6</v>
      </c>
      <c r="X138" s="746">
        <f t="shared" si="67"/>
        <v>12</v>
      </c>
      <c r="Y138" s="758">
        <f t="shared" si="68"/>
        <v>239.99999999999994</v>
      </c>
      <c r="Z138" s="747">
        <f t="shared" si="69"/>
        <v>3.9370078740157481</v>
      </c>
      <c r="AA138" s="746">
        <f t="shared" si="70"/>
        <v>1</v>
      </c>
      <c r="AB138" s="746">
        <f t="shared" si="71"/>
        <v>75511590.911999986</v>
      </c>
      <c r="AC138" s="746">
        <f t="shared" si="72"/>
        <v>2.6666666666666661</v>
      </c>
      <c r="AD138" s="759" t="s">
        <v>594</v>
      </c>
      <c r="AE138" s="746">
        <f t="shared" ref="AE138:AE142" si="85">AA138*5</f>
        <v>5</v>
      </c>
      <c r="AF138" s="758">
        <f t="shared" si="73"/>
        <v>2</v>
      </c>
      <c r="AG138" s="758">
        <f t="shared" si="74"/>
        <v>0.8</v>
      </c>
      <c r="AH138" s="758">
        <f t="shared" si="75"/>
        <v>0.8</v>
      </c>
      <c r="AI138" s="758">
        <f t="shared" si="76"/>
        <v>0.4</v>
      </c>
      <c r="AJ138" s="746">
        <f t="shared" si="77"/>
        <v>3.9999999999999996</v>
      </c>
      <c r="AK138" s="4">
        <f t="shared" si="78"/>
        <v>0</v>
      </c>
      <c r="AL138" s="4">
        <f t="shared" si="79"/>
        <v>0</v>
      </c>
      <c r="AM138" s="4">
        <f t="shared" si="80"/>
        <v>0</v>
      </c>
      <c r="AN138" s="4">
        <f t="shared" si="81"/>
        <v>2</v>
      </c>
      <c r="AO138" s="4">
        <f t="shared" si="82"/>
        <v>2</v>
      </c>
      <c r="AP138" s="4"/>
      <c r="AQ138" s="4"/>
      <c r="AR138" s="4"/>
    </row>
    <row r="139" spans="1:44">
      <c r="A139" s="746" t="s">
        <v>871</v>
      </c>
      <c r="B139" s="746">
        <v>163</v>
      </c>
      <c r="C139" s="747">
        <v>81.5</v>
      </c>
      <c r="D139" s="746">
        <f t="shared" si="58"/>
        <v>82</v>
      </c>
      <c r="E139" s="299">
        <v>91</v>
      </c>
      <c r="F139" s="757">
        <f t="shared" si="59"/>
        <v>3.1730676211666828E-4</v>
      </c>
      <c r="G139" s="746">
        <v>26</v>
      </c>
      <c r="H139" s="746">
        <f t="shared" si="62"/>
        <v>4</v>
      </c>
      <c r="I139" s="746">
        <v>15</v>
      </c>
      <c r="J139" s="747">
        <f t="shared" si="63"/>
        <v>21.203963267916691</v>
      </c>
      <c r="K139" s="746">
        <f t="shared" si="60"/>
        <v>60</v>
      </c>
      <c r="L139" s="746">
        <v>600</v>
      </c>
      <c r="M139" s="746">
        <f t="shared" si="61"/>
        <v>1</v>
      </c>
      <c r="N139" s="746">
        <v>765</v>
      </c>
      <c r="O139" s="746">
        <v>455</v>
      </c>
      <c r="P139" s="746">
        <v>230</v>
      </c>
      <c r="Q139" s="746">
        <v>1200</v>
      </c>
      <c r="R139" s="746">
        <v>1080</v>
      </c>
      <c r="S139" s="746">
        <v>1200</v>
      </c>
      <c r="T139" s="746">
        <f t="shared" si="64"/>
        <v>5</v>
      </c>
      <c r="U139" s="746">
        <f t="shared" si="65"/>
        <v>1</v>
      </c>
      <c r="V139" s="746">
        <f t="shared" si="65"/>
        <v>2</v>
      </c>
      <c r="W139" s="746">
        <f t="shared" si="66"/>
        <v>5</v>
      </c>
      <c r="X139" s="746">
        <f t="shared" si="67"/>
        <v>10</v>
      </c>
      <c r="Y139" s="758">
        <f t="shared" si="68"/>
        <v>212.03963267916691</v>
      </c>
      <c r="Z139" s="747">
        <f t="shared" si="69"/>
        <v>3.9370078740157481</v>
      </c>
      <c r="AA139" s="746">
        <f t="shared" si="70"/>
        <v>1</v>
      </c>
      <c r="AB139" s="746">
        <f t="shared" si="71"/>
        <v>80057250</v>
      </c>
      <c r="AC139" s="746">
        <f t="shared" si="72"/>
        <v>2.8271951023888922</v>
      </c>
      <c r="AD139" s="759" t="s">
        <v>594</v>
      </c>
      <c r="AE139" s="746">
        <f t="shared" si="85"/>
        <v>5</v>
      </c>
      <c r="AF139" s="758">
        <f t="shared" si="73"/>
        <v>2</v>
      </c>
      <c r="AG139" s="758">
        <f t="shared" si="74"/>
        <v>0.8</v>
      </c>
      <c r="AH139" s="758">
        <f t="shared" si="75"/>
        <v>0.8</v>
      </c>
      <c r="AI139" s="758">
        <f t="shared" si="76"/>
        <v>0.4</v>
      </c>
      <c r="AJ139" s="746">
        <f t="shared" si="77"/>
        <v>3.9999999999999996</v>
      </c>
      <c r="AK139" s="4">
        <f t="shared" si="78"/>
        <v>0</v>
      </c>
      <c r="AL139" s="4">
        <f t="shared" si="79"/>
        <v>0</v>
      </c>
      <c r="AM139" s="4">
        <f t="shared" si="80"/>
        <v>1</v>
      </c>
      <c r="AN139" s="4">
        <f t="shared" si="81"/>
        <v>2</v>
      </c>
      <c r="AO139" s="4">
        <f t="shared" si="82"/>
        <v>3</v>
      </c>
      <c r="AP139" s="4"/>
      <c r="AQ139" s="4"/>
      <c r="AR139" s="4"/>
    </row>
    <row r="140" spans="1:44">
      <c r="A140" s="746" t="s">
        <v>872</v>
      </c>
      <c r="B140" s="746">
        <v>153</v>
      </c>
      <c r="C140" s="747">
        <v>76.5</v>
      </c>
      <c r="D140" s="746">
        <f t="shared" si="58"/>
        <v>77</v>
      </c>
      <c r="E140" s="299">
        <v>91</v>
      </c>
      <c r="F140" s="757">
        <f t="shared" si="59"/>
        <v>2.9795878881687144E-4</v>
      </c>
      <c r="G140" s="746">
        <v>26</v>
      </c>
      <c r="H140" s="746">
        <f t="shared" si="62"/>
        <v>4</v>
      </c>
      <c r="I140" s="746">
        <v>15</v>
      </c>
      <c r="J140" s="747">
        <f t="shared" si="63"/>
        <v>4.6912003272825444</v>
      </c>
      <c r="K140" s="746">
        <f t="shared" si="60"/>
        <v>60</v>
      </c>
      <c r="L140" s="746">
        <v>600</v>
      </c>
      <c r="M140" s="746">
        <f t="shared" si="61"/>
        <v>1</v>
      </c>
      <c r="N140" s="746">
        <v>410</v>
      </c>
      <c r="O140" s="746">
        <v>240</v>
      </c>
      <c r="P140" s="746">
        <v>180</v>
      </c>
      <c r="Q140" s="746">
        <v>1200</v>
      </c>
      <c r="R140" s="746">
        <v>1080</v>
      </c>
      <c r="S140" s="746">
        <v>1200</v>
      </c>
      <c r="T140" s="746">
        <f t="shared" si="64"/>
        <v>7</v>
      </c>
      <c r="U140" s="746">
        <f t="shared" si="65"/>
        <v>2</v>
      </c>
      <c r="V140" s="746">
        <f t="shared" si="65"/>
        <v>4</v>
      </c>
      <c r="W140" s="746">
        <f t="shared" si="66"/>
        <v>7</v>
      </c>
      <c r="X140" s="746">
        <f t="shared" si="67"/>
        <v>56</v>
      </c>
      <c r="Y140" s="758">
        <f t="shared" si="68"/>
        <v>262.70721832782249</v>
      </c>
      <c r="Z140" s="747">
        <f t="shared" si="69"/>
        <v>3.9370078740157481</v>
      </c>
      <c r="AA140" s="746">
        <f t="shared" si="70"/>
        <v>1</v>
      </c>
      <c r="AB140" s="746">
        <f t="shared" si="71"/>
        <v>17712000</v>
      </c>
      <c r="AC140" s="746">
        <f t="shared" si="72"/>
        <v>0.62549337697100593</v>
      </c>
      <c r="AD140" s="759" t="s">
        <v>594</v>
      </c>
      <c r="AE140" s="746">
        <f t="shared" si="85"/>
        <v>5</v>
      </c>
      <c r="AF140" s="758">
        <f t="shared" si="73"/>
        <v>2</v>
      </c>
      <c r="AG140" s="758">
        <f t="shared" si="74"/>
        <v>0.8</v>
      </c>
      <c r="AH140" s="758">
        <f t="shared" si="75"/>
        <v>0.8</v>
      </c>
      <c r="AI140" s="758">
        <f t="shared" si="76"/>
        <v>0.4</v>
      </c>
      <c r="AJ140" s="746">
        <f t="shared" si="77"/>
        <v>3.9999999999999996</v>
      </c>
      <c r="AK140" s="4">
        <f t="shared" si="78"/>
        <v>0</v>
      </c>
      <c r="AL140" s="4">
        <f t="shared" si="79"/>
        <v>0</v>
      </c>
      <c r="AM140" s="4">
        <f t="shared" si="80"/>
        <v>0</v>
      </c>
      <c r="AN140" s="4">
        <f t="shared" si="81"/>
        <v>0</v>
      </c>
      <c r="AO140" s="4">
        <f t="shared" si="82"/>
        <v>0</v>
      </c>
      <c r="AP140" s="4"/>
      <c r="AQ140" s="4"/>
      <c r="AR140" s="4"/>
    </row>
    <row r="141" spans="1:44">
      <c r="A141" s="746" t="s">
        <v>873</v>
      </c>
      <c r="B141" s="746">
        <v>527</v>
      </c>
      <c r="C141" s="747">
        <v>75.285714285714292</v>
      </c>
      <c r="D141" s="746">
        <f t="shared" si="58"/>
        <v>76</v>
      </c>
      <c r="E141" s="299">
        <v>90</v>
      </c>
      <c r="F141" s="757">
        <f t="shared" si="59"/>
        <v>2.9408919415691205E-4</v>
      </c>
      <c r="G141" s="746">
        <v>26</v>
      </c>
      <c r="H141" s="746">
        <f t="shared" si="62"/>
        <v>4</v>
      </c>
      <c r="I141" s="746">
        <v>15</v>
      </c>
      <c r="J141" s="747">
        <f t="shared" si="63"/>
        <v>38.139840059207678</v>
      </c>
      <c r="K141" s="746">
        <f t="shared" si="60"/>
        <v>60</v>
      </c>
      <c r="L141" s="746">
        <v>600</v>
      </c>
      <c r="M141" s="746">
        <f t="shared" si="61"/>
        <v>1</v>
      </c>
      <c r="N141" s="746">
        <v>960</v>
      </c>
      <c r="O141" s="746">
        <v>500</v>
      </c>
      <c r="P141" s="746">
        <v>300</v>
      </c>
      <c r="Q141" s="746">
        <v>1200</v>
      </c>
      <c r="R141" s="746">
        <v>1080</v>
      </c>
      <c r="S141" s="746">
        <v>1200</v>
      </c>
      <c r="T141" s="746">
        <f t="shared" si="64"/>
        <v>4</v>
      </c>
      <c r="U141" s="746">
        <f t="shared" si="65"/>
        <v>1</v>
      </c>
      <c r="V141" s="746">
        <f t="shared" si="65"/>
        <v>2</v>
      </c>
      <c r="W141" s="746">
        <f t="shared" si="66"/>
        <v>4</v>
      </c>
      <c r="X141" s="746">
        <f t="shared" si="67"/>
        <v>8</v>
      </c>
      <c r="Y141" s="758">
        <f t="shared" si="68"/>
        <v>305.11872047366143</v>
      </c>
      <c r="Z141" s="747">
        <f t="shared" si="69"/>
        <v>3.9370078740157481</v>
      </c>
      <c r="AA141" s="746">
        <f t="shared" si="70"/>
        <v>1</v>
      </c>
      <c r="AB141" s="746">
        <f t="shared" si="71"/>
        <v>144000000</v>
      </c>
      <c r="AC141" s="746">
        <f t="shared" si="72"/>
        <v>5.0853120078943572</v>
      </c>
      <c r="AD141" s="759" t="s">
        <v>594</v>
      </c>
      <c r="AE141" s="746">
        <f t="shared" si="85"/>
        <v>5</v>
      </c>
      <c r="AF141" s="758">
        <f t="shared" si="73"/>
        <v>2</v>
      </c>
      <c r="AG141" s="758">
        <f t="shared" si="74"/>
        <v>0.8</v>
      </c>
      <c r="AH141" s="758">
        <f t="shared" si="75"/>
        <v>0.8</v>
      </c>
      <c r="AI141" s="758">
        <f t="shared" si="76"/>
        <v>0.4</v>
      </c>
      <c r="AJ141" s="746">
        <f t="shared" si="77"/>
        <v>3.9999999999999996</v>
      </c>
      <c r="AK141" s="4">
        <f t="shared" si="78"/>
        <v>0</v>
      </c>
      <c r="AL141" s="4">
        <f t="shared" si="79"/>
        <v>0</v>
      </c>
      <c r="AM141" s="4">
        <f t="shared" si="80"/>
        <v>1</v>
      </c>
      <c r="AN141" s="4">
        <f t="shared" si="81"/>
        <v>3</v>
      </c>
      <c r="AO141" s="4">
        <f t="shared" si="82"/>
        <v>4</v>
      </c>
      <c r="AP141" s="4"/>
      <c r="AQ141" s="4"/>
      <c r="AR141" s="4"/>
    </row>
    <row r="142" spans="1:44">
      <c r="A142" s="746" t="s">
        <v>874</v>
      </c>
      <c r="B142" s="746">
        <v>60</v>
      </c>
      <c r="C142" s="747">
        <v>60</v>
      </c>
      <c r="D142" s="746">
        <f t="shared" si="58"/>
        <v>60</v>
      </c>
      <c r="E142" s="299">
        <v>60</v>
      </c>
      <c r="F142" s="757">
        <f t="shared" si="59"/>
        <v>2.3217567959756216E-4</v>
      </c>
      <c r="G142" s="746">
        <v>26</v>
      </c>
      <c r="H142" s="746">
        <f t="shared" si="62"/>
        <v>3</v>
      </c>
      <c r="I142" s="746">
        <v>15</v>
      </c>
      <c r="J142" s="747">
        <f t="shared" si="63"/>
        <v>21.203963267916691</v>
      </c>
      <c r="K142" s="746">
        <f t="shared" si="60"/>
        <v>45</v>
      </c>
      <c r="L142" s="746">
        <v>600</v>
      </c>
      <c r="M142" s="746">
        <f t="shared" si="61"/>
        <v>1</v>
      </c>
      <c r="N142" s="746">
        <v>765</v>
      </c>
      <c r="O142" s="746">
        <v>455</v>
      </c>
      <c r="P142" s="746">
        <v>230</v>
      </c>
      <c r="Q142" s="746">
        <v>1200</v>
      </c>
      <c r="R142" s="746">
        <v>1080</v>
      </c>
      <c r="S142" s="746">
        <v>1200</v>
      </c>
      <c r="T142" s="746">
        <f t="shared" si="64"/>
        <v>5</v>
      </c>
      <c r="U142" s="746">
        <f t="shared" si="65"/>
        <v>1</v>
      </c>
      <c r="V142" s="746">
        <f t="shared" si="65"/>
        <v>2</v>
      </c>
      <c r="W142" s="746">
        <f t="shared" si="66"/>
        <v>5</v>
      </c>
      <c r="X142" s="746">
        <f t="shared" si="67"/>
        <v>10</v>
      </c>
      <c r="Y142" s="758">
        <f t="shared" si="68"/>
        <v>212.03963267916691</v>
      </c>
      <c r="Z142" s="747">
        <f t="shared" si="69"/>
        <v>3.9370078740157481</v>
      </c>
      <c r="AA142" s="746">
        <f t="shared" si="70"/>
        <v>1</v>
      </c>
      <c r="AB142" s="746">
        <f t="shared" si="71"/>
        <v>80057250</v>
      </c>
      <c r="AC142" s="746">
        <f t="shared" si="72"/>
        <v>2.8271951023888922</v>
      </c>
      <c r="AD142" s="759" t="s">
        <v>594</v>
      </c>
      <c r="AE142" s="746">
        <f t="shared" si="85"/>
        <v>5</v>
      </c>
      <c r="AF142" s="758">
        <f t="shared" si="73"/>
        <v>1.5</v>
      </c>
      <c r="AG142" s="758">
        <f t="shared" si="74"/>
        <v>0.60000000000000009</v>
      </c>
      <c r="AH142" s="758">
        <f t="shared" si="75"/>
        <v>0.60000000000000009</v>
      </c>
      <c r="AI142" s="758">
        <f t="shared" si="76"/>
        <v>0.30000000000000004</v>
      </c>
      <c r="AJ142" s="746">
        <f t="shared" si="77"/>
        <v>3</v>
      </c>
      <c r="AK142" s="4">
        <f t="shared" si="78"/>
        <v>0</v>
      </c>
      <c r="AL142" s="4">
        <f t="shared" si="79"/>
        <v>0</v>
      </c>
      <c r="AM142" s="4">
        <f t="shared" si="80"/>
        <v>0</v>
      </c>
      <c r="AN142" s="4">
        <f t="shared" si="81"/>
        <v>2</v>
      </c>
      <c r="AO142" s="4">
        <f t="shared" si="82"/>
        <v>2</v>
      </c>
      <c r="AP142" s="4"/>
      <c r="AQ142" s="4"/>
      <c r="AR142" s="4"/>
    </row>
    <row r="143" spans="1:44">
      <c r="A143" s="763" t="s">
        <v>875</v>
      </c>
      <c r="B143" s="746">
        <v>60</v>
      </c>
      <c r="C143" s="747">
        <v>60</v>
      </c>
      <c r="D143" s="746">
        <f t="shared" si="58"/>
        <v>60</v>
      </c>
      <c r="E143" s="299">
        <v>60</v>
      </c>
      <c r="F143" s="757">
        <f t="shared" si="59"/>
        <v>2.3217567959756216E-4</v>
      </c>
      <c r="G143" s="746">
        <v>26</v>
      </c>
      <c r="H143" s="746">
        <f t="shared" si="62"/>
        <v>3</v>
      </c>
      <c r="I143" s="746">
        <v>15</v>
      </c>
      <c r="J143" s="747">
        <f t="shared" si="63"/>
        <v>30.9375</v>
      </c>
      <c r="K143" s="746">
        <f t="shared" si="60"/>
        <v>45</v>
      </c>
      <c r="L143" s="746">
        <v>600</v>
      </c>
      <c r="M143" s="746">
        <f t="shared" si="61"/>
        <v>1</v>
      </c>
      <c r="N143" s="746">
        <v>1371.6</v>
      </c>
      <c r="O143" s="746">
        <v>304.8</v>
      </c>
      <c r="P143" s="746">
        <v>279.39999999999998</v>
      </c>
      <c r="Q143" s="746">
        <v>1500</v>
      </c>
      <c r="R143" s="746">
        <v>1080</v>
      </c>
      <c r="S143" s="746">
        <v>1200</v>
      </c>
      <c r="T143" s="746">
        <f t="shared" si="64"/>
        <v>4</v>
      </c>
      <c r="U143" s="746">
        <f t="shared" si="65"/>
        <v>1</v>
      </c>
      <c r="V143" s="746">
        <f t="shared" si="65"/>
        <v>3</v>
      </c>
      <c r="W143" s="746">
        <f t="shared" si="66"/>
        <v>4</v>
      </c>
      <c r="X143" s="746">
        <f t="shared" si="67"/>
        <v>12</v>
      </c>
      <c r="Y143" s="758">
        <f t="shared" si="68"/>
        <v>371.25</v>
      </c>
      <c r="Z143" s="747">
        <f t="shared" si="69"/>
        <v>3.9370078740157481</v>
      </c>
      <c r="AA143" s="746">
        <f t="shared" si="70"/>
        <v>1</v>
      </c>
      <c r="AB143" s="746">
        <f t="shared" si="71"/>
        <v>116806992.19199999</v>
      </c>
      <c r="AC143" s="746">
        <f t="shared" si="72"/>
        <v>4.125</v>
      </c>
      <c r="AD143" s="759" t="s">
        <v>595</v>
      </c>
      <c r="AE143" s="746">
        <f t="shared" si="83"/>
        <v>10</v>
      </c>
      <c r="AF143" s="758">
        <f t="shared" si="73"/>
        <v>1.5</v>
      </c>
      <c r="AG143" s="758">
        <f t="shared" si="74"/>
        <v>0.60000000000000009</v>
      </c>
      <c r="AH143" s="758">
        <f t="shared" si="75"/>
        <v>0.60000000000000009</v>
      </c>
      <c r="AI143" s="758">
        <f t="shared" si="76"/>
        <v>0.30000000000000004</v>
      </c>
      <c r="AJ143" s="746">
        <f t="shared" si="77"/>
        <v>3</v>
      </c>
      <c r="AK143" s="4">
        <f t="shared" si="78"/>
        <v>0</v>
      </c>
      <c r="AL143" s="4">
        <f t="shared" si="79"/>
        <v>0</v>
      </c>
      <c r="AM143" s="4">
        <f t="shared" si="80"/>
        <v>0</v>
      </c>
      <c r="AN143" s="4">
        <f t="shared" si="81"/>
        <v>2</v>
      </c>
      <c r="AO143" s="4">
        <f t="shared" si="82"/>
        <v>2</v>
      </c>
      <c r="AP143" s="4"/>
      <c r="AQ143" s="4"/>
      <c r="AR143" s="4"/>
    </row>
    <row r="144" spans="1:44">
      <c r="A144" s="763" t="s">
        <v>876</v>
      </c>
      <c r="B144" s="746">
        <v>55</v>
      </c>
      <c r="C144" s="747">
        <v>55</v>
      </c>
      <c r="D144" s="746">
        <f t="shared" si="58"/>
        <v>55</v>
      </c>
      <c r="E144" s="299">
        <v>55</v>
      </c>
      <c r="F144" s="757">
        <f t="shared" si="59"/>
        <v>2.128277062977653E-4</v>
      </c>
      <c r="G144" s="746">
        <v>26</v>
      </c>
      <c r="H144" s="746">
        <f t="shared" si="62"/>
        <v>3</v>
      </c>
      <c r="I144" s="746">
        <v>15</v>
      </c>
      <c r="J144" s="747">
        <f t="shared" si="63"/>
        <v>52.864583333333329</v>
      </c>
      <c r="K144" s="746">
        <f t="shared" si="60"/>
        <v>45</v>
      </c>
      <c r="L144" s="746">
        <v>600</v>
      </c>
      <c r="M144" s="746">
        <f t="shared" si="61"/>
        <v>1</v>
      </c>
      <c r="N144" s="746">
        <v>1473.2</v>
      </c>
      <c r="O144" s="746">
        <v>533.4</v>
      </c>
      <c r="P144" s="746">
        <v>254</v>
      </c>
      <c r="Q144" s="746">
        <v>1500</v>
      </c>
      <c r="R144" s="746">
        <v>1080</v>
      </c>
      <c r="S144" s="746">
        <v>1200</v>
      </c>
      <c r="T144" s="746">
        <f t="shared" si="64"/>
        <v>5</v>
      </c>
      <c r="U144" s="746">
        <f t="shared" si="65"/>
        <v>1</v>
      </c>
      <c r="V144" s="746">
        <f t="shared" si="65"/>
        <v>2</v>
      </c>
      <c r="W144" s="746">
        <f t="shared" si="66"/>
        <v>5</v>
      </c>
      <c r="X144" s="746">
        <f t="shared" si="67"/>
        <v>10</v>
      </c>
      <c r="Y144" s="758">
        <f t="shared" si="68"/>
        <v>528.64583333333326</v>
      </c>
      <c r="Z144" s="747">
        <f t="shared" si="69"/>
        <v>3.9370078740157481</v>
      </c>
      <c r="AA144" s="746">
        <f t="shared" si="70"/>
        <v>1</v>
      </c>
      <c r="AB144" s="746">
        <f t="shared" si="71"/>
        <v>199594439.52000001</v>
      </c>
      <c r="AC144" s="746">
        <f t="shared" si="72"/>
        <v>7.0486111111111107</v>
      </c>
      <c r="AD144" s="759" t="s">
        <v>595</v>
      </c>
      <c r="AE144" s="746">
        <f t="shared" si="83"/>
        <v>10</v>
      </c>
      <c r="AF144" s="758">
        <f t="shared" si="73"/>
        <v>1.5</v>
      </c>
      <c r="AG144" s="758">
        <f t="shared" si="74"/>
        <v>0.60000000000000009</v>
      </c>
      <c r="AH144" s="758">
        <f t="shared" si="75"/>
        <v>0.60000000000000009</v>
      </c>
      <c r="AI144" s="758">
        <f t="shared" si="76"/>
        <v>0.30000000000000004</v>
      </c>
      <c r="AJ144" s="746">
        <f t="shared" si="77"/>
        <v>3</v>
      </c>
      <c r="AK144" s="4">
        <f t="shared" si="78"/>
        <v>0</v>
      </c>
      <c r="AL144" s="4">
        <f t="shared" si="79"/>
        <v>0</v>
      </c>
      <c r="AM144" s="4">
        <f t="shared" si="80"/>
        <v>0</v>
      </c>
      <c r="AN144" s="4">
        <f t="shared" si="81"/>
        <v>2</v>
      </c>
      <c r="AO144" s="4">
        <f t="shared" si="82"/>
        <v>2</v>
      </c>
      <c r="AP144" s="4"/>
      <c r="AQ144" s="4"/>
      <c r="AR144" s="4"/>
    </row>
    <row r="145" spans="1:44">
      <c r="A145" s="763" t="s">
        <v>877</v>
      </c>
      <c r="B145" s="746">
        <v>53</v>
      </c>
      <c r="C145" s="747">
        <v>53</v>
      </c>
      <c r="D145" s="746">
        <f t="shared" si="58"/>
        <v>53</v>
      </c>
      <c r="E145" s="299">
        <v>53</v>
      </c>
      <c r="F145" s="757">
        <f t="shared" si="59"/>
        <v>2.0508851697784657E-4</v>
      </c>
      <c r="G145" s="746">
        <v>26</v>
      </c>
      <c r="H145" s="746">
        <f t="shared" si="62"/>
        <v>3</v>
      </c>
      <c r="I145" s="746">
        <v>15</v>
      </c>
      <c r="J145" s="747">
        <f t="shared" si="63"/>
        <v>62.500000000000007</v>
      </c>
      <c r="K145" s="746">
        <f t="shared" si="60"/>
        <v>45</v>
      </c>
      <c r="L145" s="746">
        <v>600</v>
      </c>
      <c r="M145" s="746">
        <f t="shared" si="61"/>
        <v>1</v>
      </c>
      <c r="N145" s="746">
        <v>1524</v>
      </c>
      <c r="O145" s="746">
        <v>609.6</v>
      </c>
      <c r="P145" s="746">
        <v>254</v>
      </c>
      <c r="Q145" s="746">
        <v>1500</v>
      </c>
      <c r="R145" s="746">
        <v>1080</v>
      </c>
      <c r="S145" s="746">
        <v>1200</v>
      </c>
      <c r="T145" s="746">
        <f t="shared" si="64"/>
        <v>5</v>
      </c>
      <c r="U145" s="746">
        <f>ROUNDUP(Q145/N145,0)</f>
        <v>1</v>
      </c>
      <c r="V145" s="746">
        <f t="shared" si="65"/>
        <v>1</v>
      </c>
      <c r="W145" s="746">
        <f t="shared" si="66"/>
        <v>5</v>
      </c>
      <c r="X145" s="746">
        <f t="shared" si="67"/>
        <v>5</v>
      </c>
      <c r="Y145" s="758">
        <f t="shared" si="68"/>
        <v>312.50000000000006</v>
      </c>
      <c r="Z145" s="747">
        <f t="shared" si="69"/>
        <v>3.9370078740157481</v>
      </c>
      <c r="AA145" s="746">
        <f t="shared" si="70"/>
        <v>1</v>
      </c>
      <c r="AB145" s="746">
        <f t="shared" si="71"/>
        <v>235973721.59999999</v>
      </c>
      <c r="AC145" s="746">
        <f t="shared" si="72"/>
        <v>8.3333333333333339</v>
      </c>
      <c r="AD145" s="759" t="s">
        <v>595</v>
      </c>
      <c r="AE145" s="746">
        <f t="shared" si="83"/>
        <v>10</v>
      </c>
      <c r="AF145" s="758">
        <f t="shared" si="73"/>
        <v>1.5</v>
      </c>
      <c r="AG145" s="758">
        <f t="shared" si="74"/>
        <v>0.60000000000000009</v>
      </c>
      <c r="AH145" s="758">
        <f t="shared" si="75"/>
        <v>0.60000000000000009</v>
      </c>
      <c r="AI145" s="758">
        <f t="shared" si="76"/>
        <v>0.30000000000000004</v>
      </c>
      <c r="AJ145" s="746">
        <f t="shared" si="77"/>
        <v>3</v>
      </c>
      <c r="AK145" s="4">
        <f t="shared" si="78"/>
        <v>0</v>
      </c>
      <c r="AL145" s="4">
        <f t="shared" si="79"/>
        <v>0</v>
      </c>
      <c r="AM145" s="4">
        <f t="shared" si="80"/>
        <v>1</v>
      </c>
      <c r="AN145" s="4">
        <f t="shared" si="81"/>
        <v>4</v>
      </c>
      <c r="AO145" s="4">
        <f t="shared" si="82"/>
        <v>5</v>
      </c>
      <c r="AP145" s="4"/>
      <c r="AQ145" s="4"/>
      <c r="AR145" s="4"/>
    </row>
    <row r="146" spans="1:44">
      <c r="A146" s="746" t="s">
        <v>878</v>
      </c>
      <c r="B146" s="746">
        <v>287</v>
      </c>
      <c r="C146" s="747">
        <v>41</v>
      </c>
      <c r="D146" s="746">
        <f t="shared" si="58"/>
        <v>41</v>
      </c>
      <c r="E146" s="299">
        <v>63</v>
      </c>
      <c r="F146" s="757">
        <f t="shared" si="59"/>
        <v>1.5865338105833414E-4</v>
      </c>
      <c r="G146" s="746">
        <v>26</v>
      </c>
      <c r="H146" s="746">
        <f t="shared" si="62"/>
        <v>3</v>
      </c>
      <c r="I146" s="746">
        <v>15</v>
      </c>
      <c r="J146" s="747">
        <f t="shared" si="63"/>
        <v>64.527456528871397</v>
      </c>
      <c r="K146" s="746">
        <f t="shared" si="60"/>
        <v>45</v>
      </c>
      <c r="L146" s="746">
        <v>600</v>
      </c>
      <c r="M146" s="746">
        <f t="shared" si="61"/>
        <v>1</v>
      </c>
      <c r="N146" s="746">
        <v>482.59999999999997</v>
      </c>
      <c r="O146" s="746">
        <v>1346.2</v>
      </c>
      <c r="P146" s="763">
        <v>375</v>
      </c>
      <c r="Q146" s="746">
        <v>1200</v>
      </c>
      <c r="R146" s="746">
        <v>1300</v>
      </c>
      <c r="S146" s="746">
        <v>1200</v>
      </c>
      <c r="T146" s="746">
        <f t="shared" si="64"/>
        <v>3</v>
      </c>
      <c r="U146" s="746">
        <f t="shared" si="65"/>
        <v>2</v>
      </c>
      <c r="V146" s="746">
        <f>ROUND(R146/O146,0)</f>
        <v>1</v>
      </c>
      <c r="W146" s="746">
        <f t="shared" si="66"/>
        <v>3</v>
      </c>
      <c r="X146" s="746">
        <f t="shared" si="67"/>
        <v>6</v>
      </c>
      <c r="Y146" s="758">
        <f t="shared" si="68"/>
        <v>387.16473917322838</v>
      </c>
      <c r="Z146" s="747">
        <f t="shared" si="69"/>
        <v>3.9370078740157481</v>
      </c>
      <c r="AA146" s="746">
        <f t="shared" si="70"/>
        <v>1</v>
      </c>
      <c r="AB146" s="746">
        <f t="shared" si="71"/>
        <v>243628545</v>
      </c>
      <c r="AC146" s="746">
        <f t="shared" si="72"/>
        <v>8.6036608705161868</v>
      </c>
      <c r="AD146" s="759" t="s">
        <v>594</v>
      </c>
      <c r="AE146" s="746">
        <f t="shared" ref="AE146:AE148" si="86">AA146*5</f>
        <v>5</v>
      </c>
      <c r="AF146" s="758">
        <f t="shared" si="73"/>
        <v>1.5</v>
      </c>
      <c r="AG146" s="758">
        <f t="shared" si="74"/>
        <v>0.60000000000000009</v>
      </c>
      <c r="AH146" s="758">
        <f t="shared" si="75"/>
        <v>0.60000000000000009</v>
      </c>
      <c r="AI146" s="758">
        <f t="shared" si="76"/>
        <v>0.30000000000000004</v>
      </c>
      <c r="AJ146" s="746">
        <f t="shared" si="77"/>
        <v>3</v>
      </c>
      <c r="AK146" s="4">
        <f t="shared" si="78"/>
        <v>0</v>
      </c>
      <c r="AL146" s="4">
        <f t="shared" si="79"/>
        <v>0</v>
      </c>
      <c r="AM146" s="4">
        <f t="shared" si="80"/>
        <v>1</v>
      </c>
      <c r="AN146" s="4">
        <f t="shared" si="81"/>
        <v>3</v>
      </c>
      <c r="AO146" s="4">
        <f t="shared" si="82"/>
        <v>4</v>
      </c>
      <c r="AP146" s="4"/>
      <c r="AQ146" s="4"/>
      <c r="AR146" s="4"/>
    </row>
    <row r="147" spans="1:44">
      <c r="A147" s="746" t="s">
        <v>879</v>
      </c>
      <c r="B147" s="746">
        <v>20</v>
      </c>
      <c r="C147" s="747">
        <v>20</v>
      </c>
      <c r="D147" s="746">
        <f t="shared" si="58"/>
        <v>20</v>
      </c>
      <c r="E147" s="299">
        <v>20</v>
      </c>
      <c r="F147" s="757">
        <f t="shared" si="59"/>
        <v>7.7391893199187388E-5</v>
      </c>
      <c r="G147" s="746">
        <v>26</v>
      </c>
      <c r="H147" s="746">
        <f t="shared" si="62"/>
        <v>1</v>
      </c>
      <c r="I147" s="746">
        <v>15</v>
      </c>
      <c r="J147" s="747">
        <f t="shared" si="63"/>
        <v>117.51838218243367</v>
      </c>
      <c r="K147" s="746">
        <f t="shared" si="60"/>
        <v>15</v>
      </c>
      <c r="L147" s="746">
        <v>600</v>
      </c>
      <c r="M147" s="746">
        <f t="shared" si="61"/>
        <v>1</v>
      </c>
      <c r="N147" s="746">
        <v>1160</v>
      </c>
      <c r="O147" s="746">
        <v>1020</v>
      </c>
      <c r="P147" s="763">
        <v>375</v>
      </c>
      <c r="Q147" s="746">
        <v>1200</v>
      </c>
      <c r="R147" s="746">
        <v>1080</v>
      </c>
      <c r="S147" s="746">
        <v>1200</v>
      </c>
      <c r="T147" s="746">
        <f t="shared" si="64"/>
        <v>3</v>
      </c>
      <c r="U147" s="746">
        <f t="shared" si="65"/>
        <v>1</v>
      </c>
      <c r="V147" s="746">
        <f t="shared" si="65"/>
        <v>1</v>
      </c>
      <c r="W147" s="746">
        <f t="shared" si="66"/>
        <v>3</v>
      </c>
      <c r="X147" s="746">
        <f t="shared" si="67"/>
        <v>3</v>
      </c>
      <c r="Y147" s="758">
        <f t="shared" si="68"/>
        <v>352.55514654730098</v>
      </c>
      <c r="Z147" s="747">
        <f t="shared" si="69"/>
        <v>3.9370078740157481</v>
      </c>
      <c r="AA147" s="746">
        <f t="shared" si="70"/>
        <v>1</v>
      </c>
      <c r="AB147" s="746">
        <f t="shared" si="71"/>
        <v>443700000</v>
      </c>
      <c r="AC147" s="746">
        <f t="shared" si="72"/>
        <v>15.669117624324489</v>
      </c>
      <c r="AD147" s="759" t="s">
        <v>594</v>
      </c>
      <c r="AE147" s="746">
        <f t="shared" si="86"/>
        <v>5</v>
      </c>
      <c r="AF147" s="758">
        <f t="shared" si="73"/>
        <v>0.5</v>
      </c>
      <c r="AG147" s="758">
        <f t="shared" si="74"/>
        <v>0.2</v>
      </c>
      <c r="AH147" s="758">
        <f t="shared" si="75"/>
        <v>0.2</v>
      </c>
      <c r="AI147" s="758">
        <f t="shared" si="76"/>
        <v>0.1</v>
      </c>
      <c r="AJ147" s="746">
        <f t="shared" si="77"/>
        <v>0.99999999999999989</v>
      </c>
      <c r="AK147" s="4">
        <f t="shared" si="78"/>
        <v>0</v>
      </c>
      <c r="AL147" s="4">
        <f t="shared" si="79"/>
        <v>0</v>
      </c>
      <c r="AM147" s="4">
        <f t="shared" si="80"/>
        <v>0</v>
      </c>
      <c r="AN147" s="4">
        <f t="shared" si="81"/>
        <v>2</v>
      </c>
      <c r="AO147" s="4">
        <f t="shared" si="82"/>
        <v>2</v>
      </c>
      <c r="AP147" s="4"/>
      <c r="AQ147" s="4"/>
      <c r="AR147" s="4"/>
    </row>
    <row r="148" spans="1:44">
      <c r="A148" s="746" t="s">
        <v>880</v>
      </c>
      <c r="B148" s="746">
        <v>10</v>
      </c>
      <c r="C148" s="747">
        <v>10</v>
      </c>
      <c r="D148" s="746">
        <f t="shared" si="58"/>
        <v>10</v>
      </c>
      <c r="E148" s="299">
        <v>10</v>
      </c>
      <c r="F148" s="757">
        <f t="shared" si="59"/>
        <v>3.8695946599593694E-5</v>
      </c>
      <c r="G148" s="746">
        <v>26</v>
      </c>
      <c r="H148" s="746">
        <f t="shared" si="62"/>
        <v>1</v>
      </c>
      <c r="I148" s="746">
        <v>15</v>
      </c>
      <c r="J148" s="747">
        <f t="shared" si="63"/>
        <v>151.10051135456601</v>
      </c>
      <c r="K148" s="746">
        <f t="shared" si="60"/>
        <v>15</v>
      </c>
      <c r="L148" s="746">
        <v>600</v>
      </c>
      <c r="M148" s="746">
        <f t="shared" si="61"/>
        <v>1</v>
      </c>
      <c r="N148" s="746">
        <v>1170</v>
      </c>
      <c r="O148" s="746">
        <v>1060</v>
      </c>
      <c r="P148" s="746">
        <v>460</v>
      </c>
      <c r="Q148" s="746">
        <v>1200</v>
      </c>
      <c r="R148" s="746">
        <v>1080</v>
      </c>
      <c r="S148" s="746">
        <v>1200</v>
      </c>
      <c r="T148" s="746">
        <f t="shared" si="64"/>
        <v>3</v>
      </c>
      <c r="U148" s="746">
        <f t="shared" si="65"/>
        <v>1</v>
      </c>
      <c r="V148" s="746">
        <f t="shared" si="65"/>
        <v>1</v>
      </c>
      <c r="W148" s="746">
        <f t="shared" si="66"/>
        <v>3</v>
      </c>
      <c r="X148" s="746">
        <f t="shared" si="67"/>
        <v>3</v>
      </c>
      <c r="Y148" s="758">
        <f t="shared" si="68"/>
        <v>453.301534063698</v>
      </c>
      <c r="Z148" s="747">
        <f t="shared" si="69"/>
        <v>3.9370078740157481</v>
      </c>
      <c r="AA148" s="746">
        <f t="shared" si="70"/>
        <v>1</v>
      </c>
      <c r="AB148" s="746">
        <f t="shared" si="71"/>
        <v>570492000</v>
      </c>
      <c r="AC148" s="746">
        <f t="shared" si="72"/>
        <v>20.146734847275468</v>
      </c>
      <c r="AD148" s="759" t="s">
        <v>594</v>
      </c>
      <c r="AE148" s="746">
        <f t="shared" si="86"/>
        <v>5</v>
      </c>
      <c r="AF148" s="758">
        <f t="shared" si="73"/>
        <v>0.5</v>
      </c>
      <c r="AG148" s="758">
        <f t="shared" si="74"/>
        <v>0.2</v>
      </c>
      <c r="AH148" s="758">
        <f t="shared" si="75"/>
        <v>0.2</v>
      </c>
      <c r="AI148" s="758">
        <f t="shared" si="76"/>
        <v>0.1</v>
      </c>
      <c r="AJ148" s="746">
        <f t="shared" si="77"/>
        <v>0.99999999999999989</v>
      </c>
      <c r="AK148" s="4">
        <f t="shared" si="78"/>
        <v>0</v>
      </c>
      <c r="AL148" s="4">
        <f t="shared" si="79"/>
        <v>0</v>
      </c>
      <c r="AM148" s="4">
        <f t="shared" si="80"/>
        <v>0</v>
      </c>
      <c r="AN148" s="4">
        <f t="shared" si="81"/>
        <v>2</v>
      </c>
      <c r="AO148" s="4">
        <f t="shared" si="82"/>
        <v>2</v>
      </c>
      <c r="AP148" s="4"/>
      <c r="AQ148" s="4"/>
      <c r="AR148" s="4"/>
    </row>
    <row r="149" spans="1:44">
      <c r="A149" s="764" t="s">
        <v>229</v>
      </c>
      <c r="B149" s="764">
        <f>SUM(B3:B148)</f>
        <v>1875950</v>
      </c>
      <c r="C149" s="764">
        <f>SUM(C3:C148)</f>
        <v>258385.48672716171</v>
      </c>
      <c r="D149" s="764">
        <f>SUM(D3:D148)</f>
        <v>258425</v>
      </c>
      <c r="E149" s="764"/>
      <c r="F149" s="764"/>
      <c r="G149" s="764"/>
      <c r="H149" s="764">
        <f>SUM(H3:H148)</f>
        <v>11618</v>
      </c>
      <c r="I149" s="764"/>
      <c r="J149" s="764"/>
      <c r="K149" s="764">
        <f>SUM(K3:K148)</f>
        <v>174270</v>
      </c>
      <c r="L149" s="764"/>
      <c r="M149" s="764">
        <f>SUM(M3:M148)</f>
        <v>378</v>
      </c>
      <c r="N149" s="765"/>
      <c r="O149" s="765"/>
      <c r="P149" s="765"/>
      <c r="Q149" s="765"/>
      <c r="R149" s="765"/>
      <c r="S149" s="765"/>
      <c r="T149" s="765"/>
      <c r="U149" s="765"/>
      <c r="V149" s="765"/>
      <c r="W149" s="765"/>
      <c r="X149" s="765"/>
      <c r="Y149" s="765"/>
      <c r="Z149" s="765"/>
      <c r="AA149" s="764">
        <f>SUM(AA3:AA148)</f>
        <v>896</v>
      </c>
      <c r="AB149" s="746"/>
      <c r="AC149" s="746">
        <f>MEDIAN(AC3:AC148)</f>
        <v>2.024634410252343</v>
      </c>
      <c r="AD149" s="746"/>
      <c r="AE149" s="746"/>
      <c r="AF149" s="746"/>
      <c r="AG149" s="746"/>
      <c r="AH149" s="746"/>
      <c r="AI149" s="746"/>
      <c r="AJ149" s="746"/>
    </row>
    <row r="150" spans="1:44">
      <c r="A150" s="746"/>
      <c r="B150" s="746"/>
      <c r="C150" s="746"/>
      <c r="D150" s="746"/>
      <c r="E150" s="746"/>
      <c r="F150" s="746"/>
      <c r="G150" s="746"/>
      <c r="H150" s="746"/>
      <c r="I150" s="746"/>
      <c r="J150" s="746"/>
      <c r="K150" s="746"/>
      <c r="L150" s="746"/>
      <c r="M150" s="746"/>
      <c r="N150" s="746"/>
      <c r="O150" s="746"/>
      <c r="P150" s="746"/>
      <c r="Q150" s="746"/>
      <c r="R150" s="746"/>
      <c r="S150" s="746"/>
      <c r="T150" s="746"/>
      <c r="U150" s="746"/>
      <c r="V150" s="746"/>
      <c r="W150" s="746"/>
      <c r="X150" s="746"/>
      <c r="Y150" s="746"/>
      <c r="Z150" s="746"/>
      <c r="AA150" s="746"/>
      <c r="AB150" s="746"/>
      <c r="AC150" s="746">
        <f>AC149*7</f>
        <v>14.172440871766401</v>
      </c>
      <c r="AD150" s="746"/>
      <c r="AE150" s="746"/>
      <c r="AF150" s="746"/>
      <c r="AG150" s="746"/>
      <c r="AH150" s="746"/>
      <c r="AI150" s="746"/>
      <c r="AJ150" s="746"/>
    </row>
  </sheetData>
  <mergeCells count="4">
    <mergeCell ref="N1:P1"/>
    <mergeCell ref="Q1:S1"/>
    <mergeCell ref="AU2:AV2"/>
    <mergeCell ref="AU10:AV10"/>
  </mergeCells>
  <pageMargins left="0.7" right="0.7" top="0.75" bottom="0.75" header="0.3" footer="0.3"/>
  <legacy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9652-1A26-4CA4-A5C9-377C57DBD20E}">
  <dimension ref="A1:V268"/>
  <sheetViews>
    <sheetView topLeftCell="U130" workbookViewId="0">
      <selection activeCell="U2" sqref="U2:V147"/>
    </sheetView>
  </sheetViews>
  <sheetFormatPr defaultRowHeight="15"/>
  <cols>
    <col min="1" max="1" width="132" bestFit="1" customWidth="1"/>
    <col min="2" max="2" width="19.75" bestFit="1" customWidth="1"/>
    <col min="3" max="3" width="8.125" bestFit="1" customWidth="1"/>
    <col min="4" max="4" width="8.375" bestFit="1" customWidth="1"/>
    <col min="5" max="6" width="8.25" bestFit="1" customWidth="1"/>
    <col min="7" max="7" width="7.875" bestFit="1" customWidth="1"/>
    <col min="8" max="8" width="7.375" bestFit="1" customWidth="1"/>
    <col min="9" max="9" width="8" bestFit="1" customWidth="1"/>
    <col min="10" max="11" width="8.625" bestFit="1" customWidth="1"/>
    <col min="12" max="12" width="8.875" bestFit="1" customWidth="1"/>
    <col min="13" max="13" width="8.625" bestFit="1" customWidth="1"/>
    <col min="14" max="14" width="8" bestFit="1" customWidth="1"/>
    <col min="15" max="15" width="8.25" bestFit="1" customWidth="1"/>
    <col min="16" max="16" width="11.25" bestFit="1" customWidth="1"/>
    <col min="17" max="17" width="8.25" bestFit="1" customWidth="1"/>
    <col min="18" max="18" width="8.25" customWidth="1"/>
    <col min="20" max="20" width="132" bestFit="1" customWidth="1"/>
    <col min="21" max="21" width="18.125" bestFit="1" customWidth="1"/>
    <col min="22" max="22" width="15" bestFit="1" customWidth="1"/>
    <col min="23" max="23" width="19.375" bestFit="1" customWidth="1"/>
  </cols>
  <sheetData>
    <row r="1" spans="1:22">
      <c r="A1" s="766" t="s">
        <v>881</v>
      </c>
      <c r="B1" s="767" t="s">
        <v>882</v>
      </c>
      <c r="C1" s="767" t="s">
        <v>883</v>
      </c>
      <c r="D1" s="767" t="s">
        <v>884</v>
      </c>
      <c r="E1" s="767" t="s">
        <v>885</v>
      </c>
      <c r="F1" s="767" t="s">
        <v>886</v>
      </c>
      <c r="G1" s="767" t="s">
        <v>887</v>
      </c>
      <c r="H1" s="767" t="s">
        <v>888</v>
      </c>
      <c r="I1" s="767" t="s">
        <v>889</v>
      </c>
      <c r="J1" s="767" t="s">
        <v>890</v>
      </c>
      <c r="K1" s="767" t="s">
        <v>891</v>
      </c>
      <c r="L1" s="767" t="s">
        <v>892</v>
      </c>
      <c r="M1" s="767" t="s">
        <v>893</v>
      </c>
      <c r="N1" s="767" t="s">
        <v>894</v>
      </c>
      <c r="O1" s="767" t="s">
        <v>895</v>
      </c>
      <c r="P1" s="767" t="s">
        <v>522</v>
      </c>
      <c r="Q1" s="767" t="s">
        <v>710</v>
      </c>
      <c r="R1" s="768"/>
      <c r="T1" s="240" t="s">
        <v>709</v>
      </c>
      <c r="U1" t="s">
        <v>896</v>
      </c>
      <c r="V1" t="s">
        <v>897</v>
      </c>
    </row>
    <row r="2" spans="1:22">
      <c r="A2" s="761" t="s">
        <v>880</v>
      </c>
      <c r="B2" s="769" t="s">
        <v>898</v>
      </c>
      <c r="C2" s="769"/>
      <c r="D2" s="769"/>
      <c r="E2" s="769"/>
      <c r="F2" s="769"/>
      <c r="G2" s="769">
        <v>10</v>
      </c>
      <c r="H2" s="769"/>
      <c r="I2" s="769"/>
      <c r="J2" s="769"/>
      <c r="K2" s="769"/>
      <c r="L2" s="769"/>
      <c r="M2" s="769"/>
      <c r="N2" s="769"/>
      <c r="O2" s="769"/>
      <c r="P2" s="769">
        <f t="shared" ref="P2:P65" si="0">SUM(C2:O2)</f>
        <v>10</v>
      </c>
      <c r="Q2" s="758">
        <f>P2/12</f>
        <v>0.83333333333333337</v>
      </c>
      <c r="R2" s="4"/>
      <c r="T2" s="6" t="s">
        <v>731</v>
      </c>
      <c r="U2">
        <v>250378</v>
      </c>
      <c r="V2" s="4">
        <v>20864.833333333332</v>
      </c>
    </row>
    <row r="3" spans="1:22">
      <c r="A3" s="761" t="s">
        <v>899</v>
      </c>
      <c r="B3" s="769" t="s">
        <v>900</v>
      </c>
      <c r="C3" s="769">
        <v>400</v>
      </c>
      <c r="D3" s="769"/>
      <c r="E3" s="769">
        <v>551</v>
      </c>
      <c r="F3" s="769">
        <v>503</v>
      </c>
      <c r="G3" s="769">
        <v>437</v>
      </c>
      <c r="H3" s="769">
        <v>907</v>
      </c>
      <c r="I3" s="769">
        <v>350</v>
      </c>
      <c r="J3" s="769">
        <v>757</v>
      </c>
      <c r="K3" s="769">
        <v>504</v>
      </c>
      <c r="L3" s="769">
        <v>402</v>
      </c>
      <c r="M3" s="769">
        <v>744</v>
      </c>
      <c r="N3" s="769">
        <v>832</v>
      </c>
      <c r="O3" s="769">
        <v>404</v>
      </c>
      <c r="P3" s="769">
        <f t="shared" si="0"/>
        <v>6791</v>
      </c>
      <c r="Q3" s="758">
        <f t="shared" ref="Q3:Q66" si="1">P3/12</f>
        <v>565.91666666666663</v>
      </c>
      <c r="R3" s="4"/>
      <c r="T3" s="6" t="s">
        <v>735</v>
      </c>
      <c r="U3">
        <v>205779</v>
      </c>
      <c r="V3" s="4">
        <v>17148.249999999996</v>
      </c>
    </row>
    <row r="4" spans="1:22">
      <c r="A4" s="770" t="s">
        <v>899</v>
      </c>
      <c r="B4" s="769" t="s">
        <v>901</v>
      </c>
      <c r="C4" s="769">
        <v>460</v>
      </c>
      <c r="D4" s="769">
        <v>302</v>
      </c>
      <c r="E4" s="769"/>
      <c r="F4" s="769"/>
      <c r="G4" s="769"/>
      <c r="H4" s="769">
        <v>681</v>
      </c>
      <c r="I4" s="769">
        <v>353</v>
      </c>
      <c r="J4" s="769"/>
      <c r="K4" s="769"/>
      <c r="L4" s="769">
        <v>202</v>
      </c>
      <c r="M4" s="769">
        <v>917</v>
      </c>
      <c r="N4" s="769">
        <v>746</v>
      </c>
      <c r="O4" s="769">
        <v>705</v>
      </c>
      <c r="P4" s="769">
        <f t="shared" si="0"/>
        <v>4366</v>
      </c>
      <c r="Q4" s="758">
        <f t="shared" si="1"/>
        <v>363.83333333333331</v>
      </c>
      <c r="R4" s="4"/>
      <c r="T4" s="6" t="s">
        <v>738</v>
      </c>
      <c r="U4">
        <v>77868</v>
      </c>
      <c r="V4" s="4">
        <v>6489</v>
      </c>
    </row>
    <row r="5" spans="1:22">
      <c r="A5" s="761" t="s">
        <v>792</v>
      </c>
      <c r="B5" s="769" t="s">
        <v>902</v>
      </c>
      <c r="C5" s="769">
        <v>1077</v>
      </c>
      <c r="D5" s="769">
        <v>1105</v>
      </c>
      <c r="E5" s="769">
        <v>700</v>
      </c>
      <c r="F5" s="769">
        <v>685</v>
      </c>
      <c r="G5" s="769">
        <v>710</v>
      </c>
      <c r="H5" s="769">
        <v>1590</v>
      </c>
      <c r="I5" s="769">
        <v>1061</v>
      </c>
      <c r="J5" s="769">
        <v>1074</v>
      </c>
      <c r="K5" s="769">
        <v>400</v>
      </c>
      <c r="L5" s="769">
        <v>952</v>
      </c>
      <c r="M5" s="769">
        <v>443</v>
      </c>
      <c r="N5" s="769">
        <v>544</v>
      </c>
      <c r="O5" s="769">
        <v>1206</v>
      </c>
      <c r="P5" s="769">
        <f>SUM(C5:O5)</f>
        <v>11547</v>
      </c>
      <c r="Q5" s="758">
        <f t="shared" si="1"/>
        <v>962.25</v>
      </c>
      <c r="R5" s="4"/>
      <c r="T5" s="6" t="s">
        <v>739</v>
      </c>
      <c r="U5">
        <v>66718</v>
      </c>
      <c r="V5" s="4">
        <v>5559.8333333333339</v>
      </c>
    </row>
    <row r="6" spans="1:22">
      <c r="A6" s="770" t="s">
        <v>792</v>
      </c>
      <c r="B6" s="769" t="s">
        <v>903</v>
      </c>
      <c r="C6" s="769"/>
      <c r="D6" s="769"/>
      <c r="E6" s="769">
        <v>881</v>
      </c>
      <c r="F6" s="769">
        <v>200</v>
      </c>
      <c r="G6" s="769">
        <v>850</v>
      </c>
      <c r="H6" s="769"/>
      <c r="I6" s="769"/>
      <c r="J6" s="769"/>
      <c r="K6" s="769"/>
      <c r="L6" s="769"/>
      <c r="M6" s="769">
        <v>100</v>
      </c>
      <c r="N6" s="769">
        <v>470</v>
      </c>
      <c r="O6" s="769"/>
      <c r="P6" s="769">
        <f t="shared" si="0"/>
        <v>2501</v>
      </c>
      <c r="Q6" s="758">
        <f t="shared" si="1"/>
        <v>208.41666666666666</v>
      </c>
      <c r="R6" s="4"/>
      <c r="T6" s="6" t="s">
        <v>737</v>
      </c>
      <c r="U6">
        <v>66682</v>
      </c>
      <c r="V6" s="4">
        <v>5556.8333333333339</v>
      </c>
    </row>
    <row r="7" spans="1:22">
      <c r="A7" s="761" t="s">
        <v>837</v>
      </c>
      <c r="B7" s="769" t="s">
        <v>904</v>
      </c>
      <c r="C7" s="769"/>
      <c r="D7" s="769">
        <v>300</v>
      </c>
      <c r="E7" s="769"/>
      <c r="F7" s="769"/>
      <c r="G7" s="769"/>
      <c r="H7" s="769"/>
      <c r="I7" s="769"/>
      <c r="J7" s="769"/>
      <c r="K7" s="769"/>
      <c r="L7" s="769"/>
      <c r="M7" s="769"/>
      <c r="N7" s="769"/>
      <c r="O7" s="769"/>
      <c r="P7" s="769">
        <f t="shared" si="0"/>
        <v>300</v>
      </c>
      <c r="Q7" s="758">
        <f t="shared" si="1"/>
        <v>25</v>
      </c>
      <c r="R7" s="4"/>
      <c r="T7" s="6" t="s">
        <v>740</v>
      </c>
      <c r="U7">
        <v>56294</v>
      </c>
      <c r="V7" s="4">
        <v>4691.166666666667</v>
      </c>
    </row>
    <row r="8" spans="1:22">
      <c r="A8" s="761" t="s">
        <v>822</v>
      </c>
      <c r="B8" s="769" t="s">
        <v>902</v>
      </c>
      <c r="C8" s="769">
        <v>100</v>
      </c>
      <c r="D8" s="769">
        <v>672</v>
      </c>
      <c r="E8" s="769">
        <v>100</v>
      </c>
      <c r="F8" s="769">
        <v>420</v>
      </c>
      <c r="G8" s="769"/>
      <c r="H8" s="769">
        <v>380</v>
      </c>
      <c r="I8" s="769">
        <v>249</v>
      </c>
      <c r="J8" s="769">
        <v>300</v>
      </c>
      <c r="K8" s="769">
        <v>200</v>
      </c>
      <c r="L8" s="769">
        <v>315</v>
      </c>
      <c r="M8" s="769">
        <v>100</v>
      </c>
      <c r="N8" s="769">
        <v>170</v>
      </c>
      <c r="O8" s="769">
        <v>450</v>
      </c>
      <c r="P8" s="769">
        <f t="shared" si="0"/>
        <v>3456</v>
      </c>
      <c r="Q8" s="758">
        <f t="shared" si="1"/>
        <v>288</v>
      </c>
      <c r="R8" s="4"/>
      <c r="T8" s="6" t="s">
        <v>747</v>
      </c>
      <c r="U8">
        <v>54661</v>
      </c>
      <c r="V8" s="4">
        <v>4555.083333333333</v>
      </c>
    </row>
    <row r="9" spans="1:22">
      <c r="A9" s="770" t="s">
        <v>822</v>
      </c>
      <c r="B9" s="769" t="s">
        <v>903</v>
      </c>
      <c r="C9" s="769"/>
      <c r="D9" s="769"/>
      <c r="E9" s="769">
        <v>150</v>
      </c>
      <c r="F9" s="769"/>
      <c r="G9" s="769"/>
      <c r="H9" s="769"/>
      <c r="I9" s="769"/>
      <c r="J9" s="769"/>
      <c r="K9" s="769">
        <v>500</v>
      </c>
      <c r="L9" s="769"/>
      <c r="M9" s="769">
        <v>200</v>
      </c>
      <c r="N9" s="769">
        <v>100</v>
      </c>
      <c r="O9" s="769"/>
      <c r="P9" s="769">
        <f t="shared" si="0"/>
        <v>950</v>
      </c>
      <c r="Q9" s="758">
        <f t="shared" si="1"/>
        <v>79.166666666666671</v>
      </c>
      <c r="R9" s="4"/>
      <c r="T9" s="6" t="s">
        <v>742</v>
      </c>
      <c r="U9">
        <v>52590</v>
      </c>
      <c r="V9" s="4">
        <v>4382.5</v>
      </c>
    </row>
    <row r="10" spans="1:22">
      <c r="A10" s="761" t="s">
        <v>734</v>
      </c>
      <c r="B10" s="769" t="s">
        <v>905</v>
      </c>
      <c r="C10" s="769"/>
      <c r="D10" s="769"/>
      <c r="E10" s="769"/>
      <c r="F10" s="769"/>
      <c r="G10" s="769"/>
      <c r="H10" s="769"/>
      <c r="I10" s="769"/>
      <c r="J10" s="769">
        <v>4752</v>
      </c>
      <c r="K10" s="769"/>
      <c r="L10" s="769"/>
      <c r="M10" s="769"/>
      <c r="N10" s="769"/>
      <c r="O10" s="769"/>
      <c r="P10" s="769">
        <f t="shared" si="0"/>
        <v>4752</v>
      </c>
      <c r="Q10" s="758">
        <f t="shared" si="1"/>
        <v>396</v>
      </c>
      <c r="R10" s="4"/>
      <c r="T10" s="6" t="s">
        <v>748</v>
      </c>
      <c r="U10">
        <v>49876</v>
      </c>
      <c r="V10" s="4">
        <v>4156.3333333333339</v>
      </c>
    </row>
    <row r="11" spans="1:22">
      <c r="A11" s="770" t="s">
        <v>734</v>
      </c>
      <c r="B11" s="769" t="s">
        <v>906</v>
      </c>
      <c r="C11" s="769">
        <v>393</v>
      </c>
      <c r="D11" s="769"/>
      <c r="E11" s="769"/>
      <c r="F11" s="769"/>
      <c r="G11" s="769"/>
      <c r="H11" s="769"/>
      <c r="I11" s="769"/>
      <c r="J11" s="769">
        <v>5601</v>
      </c>
      <c r="K11" s="769"/>
      <c r="L11" s="769"/>
      <c r="M11" s="769"/>
      <c r="N11" s="769"/>
      <c r="O11" s="769"/>
      <c r="P11" s="769">
        <f t="shared" si="0"/>
        <v>5994</v>
      </c>
      <c r="Q11" s="758">
        <f t="shared" si="1"/>
        <v>499.5</v>
      </c>
      <c r="R11" s="4"/>
      <c r="T11" s="6" t="s">
        <v>752</v>
      </c>
      <c r="U11">
        <v>47379</v>
      </c>
      <c r="V11" s="4">
        <v>3948.25</v>
      </c>
    </row>
    <row r="12" spans="1:22">
      <c r="A12" s="770" t="s">
        <v>734</v>
      </c>
      <c r="B12" s="769" t="s">
        <v>907</v>
      </c>
      <c r="C12" s="769"/>
      <c r="D12" s="769"/>
      <c r="E12" s="769"/>
      <c r="F12" s="769"/>
      <c r="G12" s="769"/>
      <c r="H12" s="769"/>
      <c r="I12" s="769"/>
      <c r="J12" s="769">
        <v>8800</v>
      </c>
      <c r="K12" s="769"/>
      <c r="L12" s="769"/>
      <c r="M12" s="769"/>
      <c r="N12" s="769"/>
      <c r="O12" s="769"/>
      <c r="P12" s="769">
        <f t="shared" si="0"/>
        <v>8800</v>
      </c>
      <c r="Q12" s="758">
        <f t="shared" si="1"/>
        <v>733.33333333333337</v>
      </c>
      <c r="R12" s="4"/>
      <c r="T12" s="6" t="s">
        <v>745</v>
      </c>
      <c r="U12">
        <v>47263</v>
      </c>
      <c r="V12" s="4">
        <v>3938.583333333333</v>
      </c>
    </row>
    <row r="13" spans="1:22">
      <c r="A13" s="770" t="s">
        <v>734</v>
      </c>
      <c r="B13" s="769" t="s">
        <v>908</v>
      </c>
      <c r="C13" s="769"/>
      <c r="D13" s="769"/>
      <c r="E13" s="769"/>
      <c r="F13" s="769"/>
      <c r="G13" s="769"/>
      <c r="H13" s="769"/>
      <c r="I13" s="769"/>
      <c r="J13" s="769">
        <v>1270</v>
      </c>
      <c r="K13" s="769"/>
      <c r="L13" s="769"/>
      <c r="M13" s="769"/>
      <c r="N13" s="769"/>
      <c r="O13" s="769"/>
      <c r="P13" s="769">
        <f t="shared" si="0"/>
        <v>1270</v>
      </c>
      <c r="Q13" s="758">
        <f t="shared" si="1"/>
        <v>105.83333333333333</v>
      </c>
      <c r="R13" s="4"/>
      <c r="T13" s="6" t="s">
        <v>759</v>
      </c>
      <c r="U13">
        <v>33094</v>
      </c>
      <c r="V13" s="4">
        <v>2757.8333333333335</v>
      </c>
    </row>
    <row r="14" spans="1:22">
      <c r="A14" s="761" t="s">
        <v>742</v>
      </c>
      <c r="B14" s="769" t="s">
        <v>900</v>
      </c>
      <c r="C14" s="769">
        <v>2108</v>
      </c>
      <c r="D14" s="769">
        <v>1356</v>
      </c>
      <c r="E14" s="769"/>
      <c r="F14" s="769"/>
      <c r="G14" s="769"/>
      <c r="H14" s="769">
        <v>1521</v>
      </c>
      <c r="I14" s="769">
        <v>1278</v>
      </c>
      <c r="J14" s="769">
        <v>2820</v>
      </c>
      <c r="K14" s="769">
        <v>450</v>
      </c>
      <c r="L14" s="769">
        <v>2693</v>
      </c>
      <c r="M14" s="769">
        <v>1075</v>
      </c>
      <c r="N14" s="769">
        <v>203</v>
      </c>
      <c r="O14" s="769">
        <v>734</v>
      </c>
      <c r="P14" s="769">
        <f t="shared" si="0"/>
        <v>14238</v>
      </c>
      <c r="Q14" s="758">
        <f t="shared" si="1"/>
        <v>1186.5</v>
      </c>
      <c r="R14" s="4"/>
      <c r="T14" s="6" t="s">
        <v>758</v>
      </c>
      <c r="U14">
        <v>31379</v>
      </c>
      <c r="V14" s="4">
        <v>2614.9166666666665</v>
      </c>
    </row>
    <row r="15" spans="1:22">
      <c r="A15" s="770" t="s">
        <v>742</v>
      </c>
      <c r="B15" s="769" t="s">
        <v>909</v>
      </c>
      <c r="C15" s="769">
        <v>765</v>
      </c>
      <c r="D15" s="769">
        <v>840</v>
      </c>
      <c r="E15" s="769">
        <v>770</v>
      </c>
      <c r="F15" s="769">
        <v>180</v>
      </c>
      <c r="G15" s="769">
        <v>370</v>
      </c>
      <c r="H15" s="769">
        <v>890</v>
      </c>
      <c r="I15" s="769">
        <v>855</v>
      </c>
      <c r="J15" s="769">
        <v>830</v>
      </c>
      <c r="K15" s="769">
        <v>190</v>
      </c>
      <c r="L15" s="769">
        <v>810</v>
      </c>
      <c r="M15" s="769">
        <v>100</v>
      </c>
      <c r="N15" s="769">
        <v>670</v>
      </c>
      <c r="O15" s="769">
        <v>860</v>
      </c>
      <c r="P15" s="769">
        <f t="shared" si="0"/>
        <v>8130</v>
      </c>
      <c r="Q15" s="758">
        <f t="shared" si="1"/>
        <v>677.5</v>
      </c>
      <c r="R15" s="4"/>
      <c r="T15" s="6" t="s">
        <v>760</v>
      </c>
      <c r="U15">
        <v>30076</v>
      </c>
      <c r="V15" s="4">
        <v>2506.3333333333335</v>
      </c>
    </row>
    <row r="16" spans="1:22">
      <c r="A16" s="770" t="s">
        <v>742</v>
      </c>
      <c r="B16" s="769" t="s">
        <v>901</v>
      </c>
      <c r="C16" s="769">
        <v>100</v>
      </c>
      <c r="D16" s="769">
        <v>100</v>
      </c>
      <c r="E16" s="769"/>
      <c r="F16" s="769"/>
      <c r="G16" s="769">
        <v>300</v>
      </c>
      <c r="H16" s="769">
        <v>410</v>
      </c>
      <c r="I16" s="769">
        <v>200</v>
      </c>
      <c r="J16" s="769"/>
      <c r="K16" s="769"/>
      <c r="L16" s="769">
        <v>376</v>
      </c>
      <c r="M16" s="769">
        <v>100</v>
      </c>
      <c r="N16" s="769">
        <v>323</v>
      </c>
      <c r="O16" s="769">
        <v>116</v>
      </c>
      <c r="P16" s="769">
        <f t="shared" si="0"/>
        <v>2025</v>
      </c>
      <c r="Q16" s="758">
        <f t="shared" si="1"/>
        <v>168.75</v>
      </c>
      <c r="R16" s="4"/>
      <c r="T16" s="6" t="s">
        <v>761</v>
      </c>
      <c r="U16">
        <v>30027</v>
      </c>
      <c r="V16" s="4">
        <v>2502.25</v>
      </c>
    </row>
    <row r="17" spans="1:22">
      <c r="A17" s="770" t="s">
        <v>742</v>
      </c>
      <c r="B17" s="769" t="s">
        <v>903</v>
      </c>
      <c r="C17" s="769"/>
      <c r="D17" s="769">
        <v>2278</v>
      </c>
      <c r="E17" s="769">
        <v>2395</v>
      </c>
      <c r="F17" s="769">
        <v>2448</v>
      </c>
      <c r="G17" s="769">
        <v>4831</v>
      </c>
      <c r="H17" s="769">
        <v>1650</v>
      </c>
      <c r="I17" s="769"/>
      <c r="J17" s="769"/>
      <c r="K17" s="769">
        <v>4399</v>
      </c>
      <c r="L17" s="769"/>
      <c r="M17" s="769">
        <v>5286</v>
      </c>
      <c r="N17" s="769">
        <v>2940</v>
      </c>
      <c r="O17" s="769">
        <v>1970</v>
      </c>
      <c r="P17" s="769">
        <f t="shared" si="0"/>
        <v>28197</v>
      </c>
      <c r="Q17" s="758">
        <f t="shared" si="1"/>
        <v>2349.75</v>
      </c>
      <c r="R17" s="4"/>
      <c r="T17" s="6" t="s">
        <v>757</v>
      </c>
      <c r="U17">
        <v>28782</v>
      </c>
      <c r="V17" s="4">
        <v>2398.5</v>
      </c>
    </row>
    <row r="18" spans="1:22">
      <c r="A18" s="761" t="s">
        <v>804</v>
      </c>
      <c r="B18" s="769" t="s">
        <v>905</v>
      </c>
      <c r="C18" s="769"/>
      <c r="D18" s="769"/>
      <c r="E18" s="769"/>
      <c r="F18" s="769"/>
      <c r="G18" s="769"/>
      <c r="H18" s="769"/>
      <c r="I18" s="769"/>
      <c r="J18" s="769">
        <v>980</v>
      </c>
      <c r="K18" s="769"/>
      <c r="L18" s="769"/>
      <c r="M18" s="769"/>
      <c r="N18" s="769"/>
      <c r="O18" s="769"/>
      <c r="P18" s="769">
        <f t="shared" si="0"/>
        <v>980</v>
      </c>
      <c r="Q18" s="758">
        <f t="shared" si="1"/>
        <v>81.666666666666671</v>
      </c>
      <c r="R18" s="4"/>
      <c r="T18" s="6" t="s">
        <v>767</v>
      </c>
      <c r="U18">
        <v>28215</v>
      </c>
      <c r="V18" s="4">
        <v>2351.25</v>
      </c>
    </row>
    <row r="19" spans="1:22">
      <c r="A19" s="761" t="s">
        <v>838</v>
      </c>
      <c r="B19" s="769" t="s">
        <v>900</v>
      </c>
      <c r="C19" s="769">
        <v>300</v>
      </c>
      <c r="D19" s="769"/>
      <c r="E19" s="769"/>
      <c r="F19" s="769"/>
      <c r="G19" s="769"/>
      <c r="H19" s="769"/>
      <c r="I19" s="769"/>
      <c r="J19" s="769"/>
      <c r="K19" s="769"/>
      <c r="L19" s="769"/>
      <c r="M19" s="769"/>
      <c r="N19" s="769"/>
      <c r="O19" s="769"/>
      <c r="P19" s="769">
        <f t="shared" si="0"/>
        <v>300</v>
      </c>
      <c r="Q19" s="758">
        <f t="shared" si="1"/>
        <v>25</v>
      </c>
      <c r="R19" s="4"/>
      <c r="T19" s="6" t="s">
        <v>762</v>
      </c>
      <c r="U19">
        <v>27546</v>
      </c>
      <c r="V19" s="4">
        <v>2295.5</v>
      </c>
    </row>
    <row r="20" spans="1:22">
      <c r="A20" s="761" t="s">
        <v>798</v>
      </c>
      <c r="B20" s="769" t="s">
        <v>902</v>
      </c>
      <c r="C20" s="769">
        <v>200</v>
      </c>
      <c r="D20" s="769">
        <v>320</v>
      </c>
      <c r="E20" s="769"/>
      <c r="F20" s="769">
        <v>752</v>
      </c>
      <c r="G20" s="769"/>
      <c r="H20" s="769">
        <v>748</v>
      </c>
      <c r="I20" s="769">
        <v>300</v>
      </c>
      <c r="J20" s="769">
        <v>750</v>
      </c>
      <c r="K20" s="769">
        <v>300</v>
      </c>
      <c r="L20" s="769">
        <v>350</v>
      </c>
      <c r="M20" s="769">
        <v>50</v>
      </c>
      <c r="N20" s="769">
        <v>200</v>
      </c>
      <c r="O20" s="769">
        <v>250</v>
      </c>
      <c r="P20" s="769">
        <f t="shared" si="0"/>
        <v>4220</v>
      </c>
      <c r="Q20" s="758">
        <f t="shared" si="1"/>
        <v>351.66666666666669</v>
      </c>
      <c r="R20" s="4"/>
      <c r="T20" s="6" t="s">
        <v>768</v>
      </c>
      <c r="U20">
        <v>25187</v>
      </c>
      <c r="V20" s="4">
        <v>2098.9166666666665</v>
      </c>
    </row>
    <row r="21" spans="1:22">
      <c r="A21" s="770" t="s">
        <v>798</v>
      </c>
      <c r="B21" s="769" t="s">
        <v>904</v>
      </c>
      <c r="C21" s="769"/>
      <c r="D21" s="769"/>
      <c r="E21" s="769"/>
      <c r="F21" s="769"/>
      <c r="G21" s="769"/>
      <c r="H21" s="769"/>
      <c r="I21" s="769"/>
      <c r="J21" s="769"/>
      <c r="K21" s="769"/>
      <c r="L21" s="769"/>
      <c r="M21" s="769"/>
      <c r="N21" s="769"/>
      <c r="O21" s="769">
        <v>310</v>
      </c>
      <c r="P21" s="769">
        <f t="shared" si="0"/>
        <v>310</v>
      </c>
      <c r="Q21" s="758">
        <f t="shared" si="1"/>
        <v>25.833333333333332</v>
      </c>
      <c r="R21" s="4"/>
      <c r="T21" s="6" t="s">
        <v>774</v>
      </c>
      <c r="U21">
        <v>23536</v>
      </c>
      <c r="V21" s="4">
        <v>1961.3333333333333</v>
      </c>
    </row>
    <row r="22" spans="1:22">
      <c r="A22" s="770" t="s">
        <v>798</v>
      </c>
      <c r="B22" s="769" t="s">
        <v>903</v>
      </c>
      <c r="C22" s="769"/>
      <c r="D22" s="769"/>
      <c r="E22" s="769"/>
      <c r="F22" s="769">
        <v>780</v>
      </c>
      <c r="G22" s="769">
        <v>150</v>
      </c>
      <c r="H22" s="769"/>
      <c r="I22" s="769"/>
      <c r="J22" s="769"/>
      <c r="K22" s="769"/>
      <c r="L22" s="769"/>
      <c r="M22" s="769">
        <v>192</v>
      </c>
      <c r="N22" s="769">
        <v>570</v>
      </c>
      <c r="O22" s="769"/>
      <c r="P22" s="769">
        <f t="shared" si="0"/>
        <v>1692</v>
      </c>
      <c r="Q22" s="758">
        <f t="shared" si="1"/>
        <v>141</v>
      </c>
      <c r="R22" s="4"/>
      <c r="T22" s="6" t="s">
        <v>770</v>
      </c>
      <c r="U22">
        <v>22847</v>
      </c>
      <c r="V22" s="4">
        <v>1903.9166666666665</v>
      </c>
    </row>
    <row r="23" spans="1:22">
      <c r="A23" s="761" t="s">
        <v>772</v>
      </c>
      <c r="B23" s="769" t="s">
        <v>902</v>
      </c>
      <c r="C23" s="769">
        <v>1533</v>
      </c>
      <c r="D23" s="769">
        <v>1789</v>
      </c>
      <c r="E23" s="769">
        <v>1153</v>
      </c>
      <c r="F23" s="769">
        <v>150</v>
      </c>
      <c r="G23" s="769">
        <v>625</v>
      </c>
      <c r="H23" s="769">
        <v>2209</v>
      </c>
      <c r="I23" s="769">
        <v>2231</v>
      </c>
      <c r="J23" s="769">
        <v>1203</v>
      </c>
      <c r="K23" s="769">
        <v>1330</v>
      </c>
      <c r="L23" s="769">
        <v>1893</v>
      </c>
      <c r="M23" s="769">
        <v>985</v>
      </c>
      <c r="N23" s="769">
        <v>690</v>
      </c>
      <c r="O23" s="769">
        <v>1369</v>
      </c>
      <c r="P23" s="769">
        <f t="shared" si="0"/>
        <v>17160</v>
      </c>
      <c r="Q23" s="758">
        <f t="shared" si="1"/>
        <v>1430</v>
      </c>
      <c r="R23" s="4"/>
      <c r="T23" s="6" t="s">
        <v>775</v>
      </c>
      <c r="U23">
        <v>22277</v>
      </c>
      <c r="V23" s="4">
        <v>1856.4166666666667</v>
      </c>
    </row>
    <row r="24" spans="1:22">
      <c r="A24" s="770" t="s">
        <v>772</v>
      </c>
      <c r="B24" s="769" t="s">
        <v>903</v>
      </c>
      <c r="C24" s="769"/>
      <c r="D24" s="769"/>
      <c r="E24" s="769">
        <v>840</v>
      </c>
      <c r="F24" s="769">
        <v>1265</v>
      </c>
      <c r="G24" s="769">
        <v>920</v>
      </c>
      <c r="H24" s="769"/>
      <c r="I24" s="769"/>
      <c r="J24" s="769"/>
      <c r="K24" s="769">
        <v>425</v>
      </c>
      <c r="L24" s="769"/>
      <c r="M24" s="769">
        <v>660</v>
      </c>
      <c r="N24" s="769">
        <v>400</v>
      </c>
      <c r="O24" s="769"/>
      <c r="P24" s="769">
        <f t="shared" si="0"/>
        <v>4510</v>
      </c>
      <c r="Q24" s="758">
        <f t="shared" si="1"/>
        <v>375.83333333333331</v>
      </c>
      <c r="R24" s="4"/>
      <c r="T24" s="6" t="s">
        <v>778</v>
      </c>
      <c r="U24">
        <v>22201</v>
      </c>
      <c r="V24" s="4">
        <v>1850.0833333333333</v>
      </c>
    </row>
    <row r="25" spans="1:22">
      <c r="A25" s="761" t="s">
        <v>819</v>
      </c>
      <c r="B25" s="769" t="s">
        <v>910</v>
      </c>
      <c r="C25" s="769"/>
      <c r="D25" s="769"/>
      <c r="E25" s="769"/>
      <c r="F25" s="769"/>
      <c r="G25" s="769"/>
      <c r="H25" s="769"/>
      <c r="I25" s="769"/>
      <c r="J25" s="769">
        <v>200</v>
      </c>
      <c r="K25" s="769"/>
      <c r="L25" s="769"/>
      <c r="M25" s="769"/>
      <c r="N25" s="769"/>
      <c r="O25" s="769"/>
      <c r="P25" s="769">
        <f t="shared" si="0"/>
        <v>200</v>
      </c>
      <c r="Q25" s="758">
        <f t="shared" si="1"/>
        <v>16.666666666666668</v>
      </c>
      <c r="R25" s="4"/>
      <c r="T25" s="6" t="s">
        <v>776</v>
      </c>
      <c r="U25">
        <v>22096</v>
      </c>
      <c r="V25" s="4">
        <v>1841.3333333333333</v>
      </c>
    </row>
    <row r="26" spans="1:22">
      <c r="A26" s="770" t="s">
        <v>819</v>
      </c>
      <c r="B26" s="769" t="s">
        <v>898</v>
      </c>
      <c r="C26" s="769">
        <v>548</v>
      </c>
      <c r="D26" s="769"/>
      <c r="E26" s="769"/>
      <c r="F26" s="769"/>
      <c r="G26" s="769"/>
      <c r="H26" s="769"/>
      <c r="I26" s="769"/>
      <c r="J26" s="769">
        <v>206</v>
      </c>
      <c r="K26" s="769"/>
      <c r="L26" s="769"/>
      <c r="M26" s="769"/>
      <c r="N26" s="769"/>
      <c r="O26" s="769"/>
      <c r="P26" s="769">
        <f t="shared" si="0"/>
        <v>754</v>
      </c>
      <c r="Q26" s="758">
        <f t="shared" si="1"/>
        <v>62.833333333333336</v>
      </c>
      <c r="R26" s="4"/>
      <c r="T26" s="6" t="s">
        <v>772</v>
      </c>
      <c r="U26">
        <v>21670</v>
      </c>
      <c r="V26" s="4">
        <v>1805.8333333333333</v>
      </c>
    </row>
    <row r="27" spans="1:22">
      <c r="A27" s="761" t="s">
        <v>771</v>
      </c>
      <c r="B27" s="769" t="s">
        <v>911</v>
      </c>
      <c r="C27" s="769"/>
      <c r="D27" s="769"/>
      <c r="E27" s="769"/>
      <c r="F27" s="769"/>
      <c r="G27" s="769"/>
      <c r="H27" s="769"/>
      <c r="I27" s="769"/>
      <c r="J27" s="769">
        <v>2116</v>
      </c>
      <c r="K27" s="769"/>
      <c r="L27" s="769"/>
      <c r="M27" s="769"/>
      <c r="N27" s="769"/>
      <c r="O27" s="769"/>
      <c r="P27" s="769">
        <f t="shared" si="0"/>
        <v>2116</v>
      </c>
      <c r="Q27" s="758">
        <f t="shared" si="1"/>
        <v>176.33333333333334</v>
      </c>
      <c r="R27" s="4"/>
      <c r="T27" s="6" t="s">
        <v>764</v>
      </c>
      <c r="U27">
        <v>21512</v>
      </c>
      <c r="V27" s="4">
        <v>1792.6666666666667</v>
      </c>
    </row>
    <row r="28" spans="1:22">
      <c r="A28" s="761" t="s">
        <v>739</v>
      </c>
      <c r="B28" s="769" t="s">
        <v>902</v>
      </c>
      <c r="C28" s="769">
        <v>1890</v>
      </c>
      <c r="D28" s="769">
        <v>4180</v>
      </c>
      <c r="E28" s="769">
        <v>6288</v>
      </c>
      <c r="F28" s="769">
        <v>4840</v>
      </c>
      <c r="G28" s="769">
        <v>4490</v>
      </c>
      <c r="H28" s="769">
        <v>4657</v>
      </c>
      <c r="I28" s="769">
        <v>3833</v>
      </c>
      <c r="J28" s="769">
        <v>3123</v>
      </c>
      <c r="K28" s="769">
        <v>3280</v>
      </c>
      <c r="L28" s="769">
        <v>4026</v>
      </c>
      <c r="M28" s="769">
        <v>3991</v>
      </c>
      <c r="N28" s="769">
        <v>4652</v>
      </c>
      <c r="O28" s="769">
        <v>5200</v>
      </c>
      <c r="P28" s="769">
        <f t="shared" si="0"/>
        <v>54450</v>
      </c>
      <c r="Q28" s="758">
        <f t="shared" si="1"/>
        <v>4537.5</v>
      </c>
      <c r="R28" s="4"/>
      <c r="T28" s="6" t="s">
        <v>734</v>
      </c>
      <c r="U28">
        <v>20816</v>
      </c>
      <c r="V28" s="4">
        <v>1734.6666666666667</v>
      </c>
    </row>
    <row r="29" spans="1:22">
      <c r="A29" s="770" t="s">
        <v>739</v>
      </c>
      <c r="B29" s="769" t="s">
        <v>905</v>
      </c>
      <c r="C29" s="769"/>
      <c r="D29" s="769">
        <v>440</v>
      </c>
      <c r="E29" s="769">
        <v>650</v>
      </c>
      <c r="F29" s="769">
        <v>1300</v>
      </c>
      <c r="G29" s="769">
        <v>770</v>
      </c>
      <c r="H29" s="769">
        <v>885</v>
      </c>
      <c r="I29" s="769">
        <v>502</v>
      </c>
      <c r="J29" s="769"/>
      <c r="K29" s="769">
        <v>1052</v>
      </c>
      <c r="L29" s="769">
        <v>260</v>
      </c>
      <c r="M29" s="769">
        <v>685</v>
      </c>
      <c r="N29" s="769">
        <v>613</v>
      </c>
      <c r="O29" s="769">
        <v>600</v>
      </c>
      <c r="P29" s="769">
        <f t="shared" si="0"/>
        <v>7757</v>
      </c>
      <c r="Q29" s="758">
        <f t="shared" si="1"/>
        <v>646.41666666666663</v>
      </c>
      <c r="R29" s="4"/>
      <c r="T29" s="6" t="s">
        <v>781</v>
      </c>
      <c r="U29">
        <v>20478</v>
      </c>
      <c r="V29" s="4">
        <v>1706.5</v>
      </c>
    </row>
    <row r="30" spans="1:22">
      <c r="A30" s="770" t="s">
        <v>739</v>
      </c>
      <c r="B30" s="769" t="s">
        <v>910</v>
      </c>
      <c r="C30" s="769"/>
      <c r="D30" s="769">
        <v>50</v>
      </c>
      <c r="E30" s="769">
        <v>100</v>
      </c>
      <c r="F30" s="769"/>
      <c r="G30" s="769">
        <v>100</v>
      </c>
      <c r="H30" s="769"/>
      <c r="I30" s="769"/>
      <c r="J30" s="769">
        <v>140</v>
      </c>
      <c r="K30" s="769">
        <v>200</v>
      </c>
      <c r="L30" s="769">
        <v>221</v>
      </c>
      <c r="M30" s="769"/>
      <c r="N30" s="769"/>
      <c r="O30" s="769">
        <v>220</v>
      </c>
      <c r="P30" s="769">
        <f t="shared" si="0"/>
        <v>1031</v>
      </c>
      <c r="Q30" s="758">
        <f t="shared" si="1"/>
        <v>85.916666666666671</v>
      </c>
      <c r="R30" s="4"/>
      <c r="T30" s="6" t="s">
        <v>782</v>
      </c>
      <c r="U30">
        <v>20354</v>
      </c>
      <c r="V30" s="4">
        <v>1696.1666666666667</v>
      </c>
    </row>
    <row r="31" spans="1:22">
      <c r="A31" s="770" t="s">
        <v>739</v>
      </c>
      <c r="B31" s="769" t="s">
        <v>906</v>
      </c>
      <c r="C31" s="769"/>
      <c r="D31" s="769"/>
      <c r="E31" s="769"/>
      <c r="F31" s="769"/>
      <c r="G31" s="769"/>
      <c r="H31" s="769"/>
      <c r="I31" s="769"/>
      <c r="J31" s="769"/>
      <c r="K31" s="769">
        <v>50</v>
      </c>
      <c r="L31" s="769"/>
      <c r="M31" s="769"/>
      <c r="N31" s="769"/>
      <c r="O31" s="769"/>
      <c r="P31" s="769">
        <f t="shared" si="0"/>
        <v>50</v>
      </c>
      <c r="Q31" s="758">
        <f t="shared" si="1"/>
        <v>4.166666666666667</v>
      </c>
      <c r="R31" s="4"/>
      <c r="T31" s="6" t="s">
        <v>777</v>
      </c>
      <c r="U31">
        <v>19640</v>
      </c>
      <c r="V31" s="4">
        <v>1636.6666666666667</v>
      </c>
    </row>
    <row r="32" spans="1:22">
      <c r="A32" s="770" t="s">
        <v>739</v>
      </c>
      <c r="B32" s="769" t="s">
        <v>903</v>
      </c>
      <c r="C32" s="769"/>
      <c r="D32" s="769"/>
      <c r="E32" s="769">
        <v>720</v>
      </c>
      <c r="F32" s="769">
        <v>350</v>
      </c>
      <c r="G32" s="769">
        <v>120</v>
      </c>
      <c r="H32" s="769"/>
      <c r="I32" s="769"/>
      <c r="J32" s="769"/>
      <c r="K32" s="769"/>
      <c r="L32" s="769"/>
      <c r="M32" s="769">
        <v>960</v>
      </c>
      <c r="N32" s="769">
        <v>1280</v>
      </c>
      <c r="O32" s="769"/>
      <c r="P32" s="769">
        <f t="shared" si="0"/>
        <v>3430</v>
      </c>
      <c r="Q32" s="758">
        <f t="shared" si="1"/>
        <v>285.83333333333331</v>
      </c>
      <c r="R32" s="4"/>
      <c r="T32" s="6" t="s">
        <v>779</v>
      </c>
      <c r="U32">
        <v>19538</v>
      </c>
      <c r="V32" s="4">
        <v>1628.1666666666665</v>
      </c>
    </row>
    <row r="33" spans="1:22">
      <c r="A33" s="761" t="s">
        <v>809</v>
      </c>
      <c r="B33" s="769" t="s">
        <v>902</v>
      </c>
      <c r="C33" s="769">
        <v>380</v>
      </c>
      <c r="D33" s="769">
        <v>650</v>
      </c>
      <c r="E33" s="769"/>
      <c r="F33" s="769">
        <v>600</v>
      </c>
      <c r="G33" s="769"/>
      <c r="H33" s="769">
        <v>745</v>
      </c>
      <c r="I33" s="769">
        <v>267</v>
      </c>
      <c r="J33" s="769">
        <v>460</v>
      </c>
      <c r="K33" s="769">
        <v>620</v>
      </c>
      <c r="L33" s="769">
        <v>250</v>
      </c>
      <c r="M33" s="769"/>
      <c r="N33" s="769">
        <v>140</v>
      </c>
      <c r="O33" s="769">
        <v>400</v>
      </c>
      <c r="P33" s="769">
        <f t="shared" si="0"/>
        <v>4512</v>
      </c>
      <c r="Q33" s="758">
        <f t="shared" si="1"/>
        <v>376</v>
      </c>
      <c r="R33" s="4"/>
      <c r="T33" s="6" t="s">
        <v>780</v>
      </c>
      <c r="U33">
        <v>19241</v>
      </c>
      <c r="V33" s="4">
        <v>1603.4166666666667</v>
      </c>
    </row>
    <row r="34" spans="1:22">
      <c r="A34" s="770" t="s">
        <v>809</v>
      </c>
      <c r="B34" s="769" t="s">
        <v>906</v>
      </c>
      <c r="C34" s="769"/>
      <c r="D34" s="769"/>
      <c r="E34" s="769"/>
      <c r="F34" s="769"/>
      <c r="G34" s="769"/>
      <c r="H34" s="769"/>
      <c r="I34" s="769"/>
      <c r="J34" s="769"/>
      <c r="K34" s="769"/>
      <c r="L34" s="769"/>
      <c r="M34" s="769">
        <v>200</v>
      </c>
      <c r="N34" s="769"/>
      <c r="O34" s="769"/>
      <c r="P34" s="769">
        <f t="shared" si="0"/>
        <v>200</v>
      </c>
      <c r="Q34" s="758">
        <f t="shared" si="1"/>
        <v>16.666666666666668</v>
      </c>
      <c r="R34" s="4"/>
      <c r="T34" s="6" t="s">
        <v>736</v>
      </c>
      <c r="U34">
        <v>19224</v>
      </c>
      <c r="V34" s="4">
        <v>1602.0000000000002</v>
      </c>
    </row>
    <row r="35" spans="1:22">
      <c r="A35" s="770" t="s">
        <v>809</v>
      </c>
      <c r="B35" s="769" t="s">
        <v>903</v>
      </c>
      <c r="C35" s="769"/>
      <c r="D35" s="769"/>
      <c r="E35" s="769">
        <v>255</v>
      </c>
      <c r="F35" s="769">
        <v>170</v>
      </c>
      <c r="G35" s="769"/>
      <c r="H35" s="769"/>
      <c r="I35" s="769"/>
      <c r="J35" s="769"/>
      <c r="K35" s="769"/>
      <c r="L35" s="769"/>
      <c r="M35" s="769"/>
      <c r="N35" s="769">
        <v>300</v>
      </c>
      <c r="O35" s="769"/>
      <c r="P35" s="769">
        <f t="shared" si="0"/>
        <v>725</v>
      </c>
      <c r="Q35" s="758">
        <f t="shared" si="1"/>
        <v>60.416666666666664</v>
      </c>
      <c r="R35" s="4"/>
      <c r="T35" s="6" t="s">
        <v>788</v>
      </c>
      <c r="U35">
        <v>18862</v>
      </c>
      <c r="V35" s="4">
        <v>1571.8333333333333</v>
      </c>
    </row>
    <row r="36" spans="1:22">
      <c r="A36" s="761" t="s">
        <v>817</v>
      </c>
      <c r="B36" s="769" t="s">
        <v>902</v>
      </c>
      <c r="C36" s="769"/>
      <c r="D36" s="769"/>
      <c r="E36" s="769">
        <v>140</v>
      </c>
      <c r="F36" s="769"/>
      <c r="G36" s="769"/>
      <c r="H36" s="769"/>
      <c r="I36" s="769"/>
      <c r="J36" s="769">
        <v>50</v>
      </c>
      <c r="K36" s="769"/>
      <c r="L36" s="769">
        <v>70</v>
      </c>
      <c r="M36" s="769"/>
      <c r="N36" s="769"/>
      <c r="O36" s="769"/>
      <c r="P36" s="769">
        <f t="shared" si="0"/>
        <v>260</v>
      </c>
      <c r="Q36" s="758">
        <f t="shared" si="1"/>
        <v>21.666666666666668</v>
      </c>
      <c r="R36" s="4"/>
      <c r="T36" s="6" t="s">
        <v>773</v>
      </c>
      <c r="U36">
        <v>15764</v>
      </c>
      <c r="V36" s="4">
        <v>1313.6666666666665</v>
      </c>
    </row>
    <row r="37" spans="1:22">
      <c r="A37" s="770" t="s">
        <v>817</v>
      </c>
      <c r="B37" s="769" t="s">
        <v>911</v>
      </c>
      <c r="C37" s="769">
        <v>250</v>
      </c>
      <c r="D37" s="769">
        <v>669</v>
      </c>
      <c r="E37" s="769">
        <v>750</v>
      </c>
      <c r="F37" s="769">
        <v>820</v>
      </c>
      <c r="G37" s="769">
        <v>795</v>
      </c>
      <c r="H37" s="769">
        <v>708</v>
      </c>
      <c r="I37" s="769">
        <v>485</v>
      </c>
      <c r="J37" s="769">
        <v>150</v>
      </c>
      <c r="K37" s="769">
        <v>745</v>
      </c>
      <c r="L37" s="769">
        <v>255</v>
      </c>
      <c r="M37" s="769">
        <v>214</v>
      </c>
      <c r="N37" s="769">
        <v>615</v>
      </c>
      <c r="O37" s="769">
        <v>1200</v>
      </c>
      <c r="P37" s="769">
        <f t="shared" si="0"/>
        <v>7656</v>
      </c>
      <c r="Q37" s="758">
        <f t="shared" si="1"/>
        <v>638</v>
      </c>
      <c r="R37" s="4"/>
      <c r="T37" s="6" t="s">
        <v>789</v>
      </c>
      <c r="U37">
        <v>14462</v>
      </c>
      <c r="V37" s="4">
        <v>1205.1666666666667</v>
      </c>
    </row>
    <row r="38" spans="1:22">
      <c r="A38" s="761" t="s">
        <v>823</v>
      </c>
      <c r="B38" s="769" t="s">
        <v>911</v>
      </c>
      <c r="C38" s="769">
        <v>101</v>
      </c>
      <c r="D38" s="769">
        <v>180</v>
      </c>
      <c r="E38" s="769">
        <v>374</v>
      </c>
      <c r="F38" s="769"/>
      <c r="G38" s="769"/>
      <c r="H38" s="769">
        <v>90</v>
      </c>
      <c r="I38" s="769">
        <v>100</v>
      </c>
      <c r="J38" s="769"/>
      <c r="K38" s="769">
        <v>40</v>
      </c>
      <c r="L38" s="769">
        <v>150</v>
      </c>
      <c r="M38" s="769">
        <v>93</v>
      </c>
      <c r="N38" s="769">
        <v>130</v>
      </c>
      <c r="O38" s="769"/>
      <c r="P38" s="769">
        <f t="shared" si="0"/>
        <v>1258</v>
      </c>
      <c r="Q38" s="758">
        <f t="shared" si="1"/>
        <v>104.83333333333333</v>
      </c>
      <c r="R38" s="4"/>
      <c r="T38" s="6" t="s">
        <v>792</v>
      </c>
      <c r="U38">
        <v>14048</v>
      </c>
      <c r="V38" s="4">
        <v>1170.6666666666667</v>
      </c>
    </row>
    <row r="39" spans="1:22">
      <c r="A39" s="770" t="s">
        <v>823</v>
      </c>
      <c r="B39" s="769" t="s">
        <v>904</v>
      </c>
      <c r="C39" s="769"/>
      <c r="D39" s="769"/>
      <c r="E39" s="769"/>
      <c r="F39" s="769"/>
      <c r="G39" s="769"/>
      <c r="H39" s="769"/>
      <c r="I39" s="769"/>
      <c r="J39" s="769"/>
      <c r="K39" s="769"/>
      <c r="L39" s="769"/>
      <c r="M39" s="769"/>
      <c r="N39" s="769"/>
      <c r="O39" s="769">
        <v>379</v>
      </c>
      <c r="P39" s="769">
        <f t="shared" si="0"/>
        <v>379</v>
      </c>
      <c r="Q39" s="758">
        <f t="shared" si="1"/>
        <v>31.583333333333332</v>
      </c>
      <c r="R39" s="4"/>
      <c r="T39" s="6" t="s">
        <v>796</v>
      </c>
      <c r="U39">
        <v>13580</v>
      </c>
      <c r="V39" s="4">
        <v>1131.6666666666667</v>
      </c>
    </row>
    <row r="40" spans="1:22">
      <c r="A40" s="761" t="s">
        <v>744</v>
      </c>
      <c r="B40" s="769" t="s">
        <v>912</v>
      </c>
      <c r="C40" s="769"/>
      <c r="D40" s="769">
        <v>5006</v>
      </c>
      <c r="E40" s="769"/>
      <c r="F40" s="769"/>
      <c r="G40" s="769"/>
      <c r="H40" s="769"/>
      <c r="I40" s="769"/>
      <c r="J40" s="769"/>
      <c r="K40" s="769"/>
      <c r="L40" s="769"/>
      <c r="M40" s="769"/>
      <c r="N40" s="769"/>
      <c r="O40" s="769"/>
      <c r="P40" s="769">
        <f t="shared" si="0"/>
        <v>5006</v>
      </c>
      <c r="Q40" s="758">
        <f t="shared" si="1"/>
        <v>417.16666666666669</v>
      </c>
      <c r="R40" s="4"/>
      <c r="T40" s="6" t="s">
        <v>790</v>
      </c>
      <c r="U40">
        <v>13302</v>
      </c>
      <c r="V40" s="4">
        <v>1108.5</v>
      </c>
    </row>
    <row r="41" spans="1:22">
      <c r="A41" s="761" t="s">
        <v>786</v>
      </c>
      <c r="B41" s="769" t="s">
        <v>912</v>
      </c>
      <c r="C41" s="769"/>
      <c r="D41" s="769">
        <v>1495</v>
      </c>
      <c r="E41" s="769"/>
      <c r="F41" s="769"/>
      <c r="G41" s="769"/>
      <c r="H41" s="769"/>
      <c r="I41" s="769"/>
      <c r="J41" s="769"/>
      <c r="K41" s="769"/>
      <c r="L41" s="769"/>
      <c r="M41" s="769"/>
      <c r="N41" s="769"/>
      <c r="O41" s="769"/>
      <c r="P41" s="769">
        <f t="shared" si="0"/>
        <v>1495</v>
      </c>
      <c r="Q41" s="758">
        <f t="shared" si="1"/>
        <v>124.58333333333333</v>
      </c>
      <c r="R41" s="4"/>
      <c r="T41" s="6" t="s">
        <v>750</v>
      </c>
      <c r="U41">
        <v>12587</v>
      </c>
      <c r="V41" s="4">
        <v>1048.9166666666667</v>
      </c>
    </row>
    <row r="42" spans="1:22">
      <c r="A42" s="761" t="s">
        <v>813</v>
      </c>
      <c r="B42" s="769" t="s">
        <v>912</v>
      </c>
      <c r="C42" s="769"/>
      <c r="D42" s="769">
        <v>800</v>
      </c>
      <c r="E42" s="769"/>
      <c r="F42" s="769"/>
      <c r="G42" s="769"/>
      <c r="H42" s="769"/>
      <c r="I42" s="769"/>
      <c r="J42" s="769"/>
      <c r="K42" s="769"/>
      <c r="L42" s="769"/>
      <c r="M42" s="769"/>
      <c r="N42" s="769"/>
      <c r="O42" s="769"/>
      <c r="P42" s="769">
        <f t="shared" si="0"/>
        <v>800</v>
      </c>
      <c r="Q42" s="758">
        <f t="shared" si="1"/>
        <v>66.666666666666671</v>
      </c>
      <c r="R42" s="4"/>
      <c r="T42" s="6" t="s">
        <v>801</v>
      </c>
      <c r="U42">
        <v>11693</v>
      </c>
      <c r="V42" s="4">
        <v>974.41666666666663</v>
      </c>
    </row>
    <row r="43" spans="1:22">
      <c r="A43" s="761" t="s">
        <v>787</v>
      </c>
      <c r="B43" s="769" t="s">
        <v>912</v>
      </c>
      <c r="C43" s="769"/>
      <c r="D43" s="769">
        <v>1482</v>
      </c>
      <c r="E43" s="769"/>
      <c r="F43" s="769"/>
      <c r="G43" s="769"/>
      <c r="H43" s="769"/>
      <c r="I43" s="769"/>
      <c r="J43" s="769"/>
      <c r="K43" s="769"/>
      <c r="L43" s="769"/>
      <c r="M43" s="769"/>
      <c r="N43" s="769"/>
      <c r="O43" s="769"/>
      <c r="P43" s="769">
        <f t="shared" si="0"/>
        <v>1482</v>
      </c>
      <c r="Q43" s="758">
        <f t="shared" si="1"/>
        <v>123.5</v>
      </c>
      <c r="R43" s="4"/>
      <c r="T43" s="6" t="s">
        <v>805</v>
      </c>
      <c r="U43">
        <v>11404</v>
      </c>
      <c r="V43" s="4">
        <v>950.33333333333337</v>
      </c>
    </row>
    <row r="44" spans="1:22">
      <c r="A44" s="761" t="s">
        <v>770</v>
      </c>
      <c r="B44" s="769" t="s">
        <v>902</v>
      </c>
      <c r="C44" s="769">
        <v>1417</v>
      </c>
      <c r="D44" s="769">
        <v>1410</v>
      </c>
      <c r="E44" s="769">
        <v>560</v>
      </c>
      <c r="F44" s="769">
        <v>956</v>
      </c>
      <c r="G44" s="769">
        <v>570</v>
      </c>
      <c r="H44" s="769">
        <v>2029</v>
      </c>
      <c r="I44" s="769">
        <v>2061</v>
      </c>
      <c r="J44" s="769">
        <v>1441</v>
      </c>
      <c r="K44" s="769">
        <v>310</v>
      </c>
      <c r="L44" s="769">
        <v>2146</v>
      </c>
      <c r="M44" s="769">
        <v>725</v>
      </c>
      <c r="N44" s="769">
        <v>1142</v>
      </c>
      <c r="O44" s="769">
        <v>1494</v>
      </c>
      <c r="P44" s="769">
        <f t="shared" si="0"/>
        <v>16261</v>
      </c>
      <c r="Q44" s="758">
        <f t="shared" si="1"/>
        <v>1355.0833333333333</v>
      </c>
      <c r="R44" s="4"/>
      <c r="T44" s="6" t="s">
        <v>899</v>
      </c>
      <c r="U44">
        <v>11157</v>
      </c>
      <c r="V44" s="4">
        <v>929.75</v>
      </c>
    </row>
    <row r="45" spans="1:22">
      <c r="A45" s="770" t="s">
        <v>770</v>
      </c>
      <c r="B45" s="769" t="s">
        <v>912</v>
      </c>
      <c r="C45" s="769">
        <v>100</v>
      </c>
      <c r="D45" s="769">
        <v>150</v>
      </c>
      <c r="E45" s="769">
        <v>130</v>
      </c>
      <c r="F45" s="769">
        <v>150</v>
      </c>
      <c r="G45" s="769">
        <v>160</v>
      </c>
      <c r="H45" s="769">
        <v>220</v>
      </c>
      <c r="I45" s="769">
        <v>100</v>
      </c>
      <c r="J45" s="769">
        <v>205</v>
      </c>
      <c r="K45" s="769"/>
      <c r="L45" s="769">
        <v>270</v>
      </c>
      <c r="M45" s="769">
        <v>200</v>
      </c>
      <c r="N45" s="769">
        <v>300</v>
      </c>
      <c r="O45" s="769">
        <v>200</v>
      </c>
      <c r="P45" s="769">
        <f t="shared" si="0"/>
        <v>2185</v>
      </c>
      <c r="Q45" s="758">
        <f t="shared" si="1"/>
        <v>182.08333333333334</v>
      </c>
      <c r="R45" s="4"/>
      <c r="T45" s="6" t="s">
        <v>806</v>
      </c>
      <c r="U45">
        <v>10272</v>
      </c>
      <c r="V45" s="4">
        <v>856</v>
      </c>
    </row>
    <row r="46" spans="1:22">
      <c r="A46" s="770" t="s">
        <v>770</v>
      </c>
      <c r="B46" s="769" t="s">
        <v>911</v>
      </c>
      <c r="C46" s="769"/>
      <c r="D46" s="769">
        <v>192</v>
      </c>
      <c r="E46" s="769">
        <v>200</v>
      </c>
      <c r="F46" s="769">
        <v>130</v>
      </c>
      <c r="G46" s="769">
        <v>515</v>
      </c>
      <c r="H46" s="769"/>
      <c r="I46" s="769">
        <v>200</v>
      </c>
      <c r="J46" s="769"/>
      <c r="K46" s="769">
        <v>230</v>
      </c>
      <c r="L46" s="769"/>
      <c r="M46" s="769">
        <v>360</v>
      </c>
      <c r="N46" s="769">
        <v>100</v>
      </c>
      <c r="O46" s="769"/>
      <c r="P46" s="769">
        <f t="shared" si="0"/>
        <v>1927</v>
      </c>
      <c r="Q46" s="758">
        <f t="shared" si="1"/>
        <v>160.58333333333334</v>
      </c>
      <c r="R46" s="4"/>
      <c r="T46" s="6" t="s">
        <v>793</v>
      </c>
      <c r="U46">
        <v>9452</v>
      </c>
      <c r="V46" s="4">
        <v>787.66666666666652</v>
      </c>
    </row>
    <row r="47" spans="1:22">
      <c r="A47" s="770" t="s">
        <v>770</v>
      </c>
      <c r="B47" s="769" t="s">
        <v>903</v>
      </c>
      <c r="C47" s="769"/>
      <c r="D47" s="769"/>
      <c r="E47" s="769">
        <v>400</v>
      </c>
      <c r="F47" s="769">
        <v>150</v>
      </c>
      <c r="G47" s="769">
        <v>475</v>
      </c>
      <c r="H47" s="769"/>
      <c r="I47" s="769"/>
      <c r="J47" s="769"/>
      <c r="K47" s="769"/>
      <c r="L47" s="769"/>
      <c r="M47" s="769">
        <v>884</v>
      </c>
      <c r="N47" s="769">
        <v>565</v>
      </c>
      <c r="O47" s="769"/>
      <c r="P47" s="769">
        <f t="shared" si="0"/>
        <v>2474</v>
      </c>
      <c r="Q47" s="758">
        <f t="shared" si="1"/>
        <v>206.16666666666666</v>
      </c>
      <c r="R47" s="4"/>
      <c r="T47" s="6" t="s">
        <v>802</v>
      </c>
      <c r="U47">
        <v>9110</v>
      </c>
      <c r="V47" s="4">
        <v>759.16666666666674</v>
      </c>
    </row>
    <row r="48" spans="1:22">
      <c r="A48" s="761" t="s">
        <v>810</v>
      </c>
      <c r="B48" s="769" t="s">
        <v>901</v>
      </c>
      <c r="C48" s="769"/>
      <c r="D48" s="769"/>
      <c r="E48" s="769"/>
      <c r="F48" s="769"/>
      <c r="G48" s="769"/>
      <c r="H48" s="769"/>
      <c r="I48" s="769"/>
      <c r="J48" s="769">
        <v>879</v>
      </c>
      <c r="K48" s="769"/>
      <c r="L48" s="769"/>
      <c r="M48" s="769"/>
      <c r="N48" s="769"/>
      <c r="O48" s="769"/>
      <c r="P48" s="769">
        <f t="shared" si="0"/>
        <v>879</v>
      </c>
      <c r="Q48" s="758">
        <f t="shared" si="1"/>
        <v>73.25</v>
      </c>
      <c r="R48" s="4"/>
      <c r="T48" s="6" t="s">
        <v>756</v>
      </c>
      <c r="U48">
        <v>8270</v>
      </c>
      <c r="V48" s="4">
        <v>689.16666666666663</v>
      </c>
    </row>
    <row r="49" spans="1:22">
      <c r="A49" s="761" t="s">
        <v>755</v>
      </c>
      <c r="B49" s="769" t="s">
        <v>905</v>
      </c>
      <c r="C49" s="769"/>
      <c r="D49" s="769"/>
      <c r="E49" s="769"/>
      <c r="F49" s="769"/>
      <c r="G49" s="769"/>
      <c r="H49" s="769"/>
      <c r="I49" s="769"/>
      <c r="J49" s="769">
        <v>2500</v>
      </c>
      <c r="K49" s="769"/>
      <c r="L49" s="769"/>
      <c r="M49" s="769"/>
      <c r="N49" s="769"/>
      <c r="O49" s="769"/>
      <c r="P49" s="769">
        <f t="shared" si="0"/>
        <v>2500</v>
      </c>
      <c r="Q49" s="758">
        <f t="shared" si="1"/>
        <v>208.33333333333334</v>
      </c>
      <c r="R49" s="4"/>
      <c r="T49" s="6" t="s">
        <v>817</v>
      </c>
      <c r="U49">
        <v>7916</v>
      </c>
      <c r="V49" s="4">
        <v>659.66666666666663</v>
      </c>
    </row>
    <row r="50" spans="1:22">
      <c r="A50" s="770" t="s">
        <v>755</v>
      </c>
      <c r="B50" s="769" t="s">
        <v>908</v>
      </c>
      <c r="C50" s="769"/>
      <c r="D50" s="769"/>
      <c r="E50" s="769"/>
      <c r="F50" s="769"/>
      <c r="G50" s="769"/>
      <c r="H50" s="769"/>
      <c r="I50" s="769"/>
      <c r="J50" s="769">
        <v>540</v>
      </c>
      <c r="K50" s="769"/>
      <c r="L50" s="769"/>
      <c r="M50" s="769"/>
      <c r="N50" s="769"/>
      <c r="O50" s="769"/>
      <c r="P50" s="769">
        <f t="shared" si="0"/>
        <v>540</v>
      </c>
      <c r="Q50" s="758">
        <f t="shared" si="1"/>
        <v>45</v>
      </c>
      <c r="R50" s="4"/>
      <c r="T50" s="6" t="s">
        <v>754</v>
      </c>
      <c r="U50">
        <v>7719</v>
      </c>
      <c r="V50" s="4">
        <v>643.25</v>
      </c>
    </row>
    <row r="51" spans="1:22">
      <c r="A51" s="761" t="s">
        <v>825</v>
      </c>
      <c r="B51" s="769" t="s">
        <v>906</v>
      </c>
      <c r="C51" s="769">
        <v>270</v>
      </c>
      <c r="D51" s="769"/>
      <c r="E51" s="769"/>
      <c r="F51" s="769"/>
      <c r="G51" s="769"/>
      <c r="H51" s="769"/>
      <c r="I51" s="769"/>
      <c r="J51" s="769"/>
      <c r="K51" s="769"/>
      <c r="L51" s="769">
        <v>598</v>
      </c>
      <c r="M51" s="769"/>
      <c r="N51" s="769"/>
      <c r="O51" s="769"/>
      <c r="P51" s="769">
        <f t="shared" si="0"/>
        <v>868</v>
      </c>
      <c r="Q51" s="758">
        <f t="shared" si="1"/>
        <v>72.333333333333329</v>
      </c>
      <c r="R51" s="4"/>
      <c r="T51" s="6" t="s">
        <v>808</v>
      </c>
      <c r="U51">
        <v>7702</v>
      </c>
      <c r="V51" s="4">
        <v>641.83333333333326</v>
      </c>
    </row>
    <row r="52" spans="1:22">
      <c r="A52" s="761" t="s">
        <v>814</v>
      </c>
      <c r="B52" s="769" t="s">
        <v>906</v>
      </c>
      <c r="C52" s="769">
        <v>322</v>
      </c>
      <c r="D52" s="769"/>
      <c r="E52" s="769"/>
      <c r="F52" s="769"/>
      <c r="G52" s="769"/>
      <c r="H52" s="769"/>
      <c r="I52" s="769"/>
      <c r="J52" s="769">
        <v>1205</v>
      </c>
      <c r="K52" s="769"/>
      <c r="L52" s="769"/>
      <c r="M52" s="769"/>
      <c r="N52" s="769"/>
      <c r="O52" s="769"/>
      <c r="P52" s="769">
        <f t="shared" si="0"/>
        <v>1527</v>
      </c>
      <c r="Q52" s="758">
        <f t="shared" si="1"/>
        <v>127.25</v>
      </c>
      <c r="R52" s="4"/>
      <c r="T52" s="6" t="s">
        <v>811</v>
      </c>
      <c r="U52">
        <v>7411</v>
      </c>
      <c r="V52" s="4">
        <v>617.58333333333337</v>
      </c>
    </row>
    <row r="53" spans="1:22">
      <c r="A53" s="761" t="s">
        <v>736</v>
      </c>
      <c r="B53" s="769" t="s">
        <v>902</v>
      </c>
      <c r="C53" s="769">
        <v>100</v>
      </c>
      <c r="D53" s="769"/>
      <c r="E53" s="769"/>
      <c r="F53" s="769"/>
      <c r="G53" s="769"/>
      <c r="H53" s="769">
        <v>102</v>
      </c>
      <c r="I53" s="769">
        <v>166</v>
      </c>
      <c r="J53" s="769">
        <v>320</v>
      </c>
      <c r="K53" s="769"/>
      <c r="L53" s="769">
        <v>200</v>
      </c>
      <c r="M53" s="769"/>
      <c r="N53" s="769"/>
      <c r="O53" s="769"/>
      <c r="P53" s="769">
        <f t="shared" si="0"/>
        <v>888</v>
      </c>
      <c r="Q53" s="758">
        <f t="shared" si="1"/>
        <v>74</v>
      </c>
      <c r="R53" s="4"/>
      <c r="T53" s="6" t="s">
        <v>769</v>
      </c>
      <c r="U53">
        <v>6703</v>
      </c>
      <c r="V53" s="4">
        <v>558.58333333333337</v>
      </c>
    </row>
    <row r="54" spans="1:22">
      <c r="A54" s="770" t="s">
        <v>736</v>
      </c>
      <c r="B54" s="769" t="s">
        <v>905</v>
      </c>
      <c r="C54" s="769"/>
      <c r="D54" s="769"/>
      <c r="E54" s="769"/>
      <c r="F54" s="769"/>
      <c r="G54" s="769"/>
      <c r="H54" s="769"/>
      <c r="I54" s="769"/>
      <c r="J54" s="769">
        <v>1247</v>
      </c>
      <c r="K54" s="769"/>
      <c r="L54" s="769"/>
      <c r="M54" s="769"/>
      <c r="N54" s="769"/>
      <c r="O54" s="769"/>
      <c r="P54" s="769">
        <f t="shared" si="0"/>
        <v>1247</v>
      </c>
      <c r="Q54" s="758">
        <f t="shared" si="1"/>
        <v>103.91666666666667</v>
      </c>
      <c r="R54" s="4"/>
      <c r="T54" s="6" t="s">
        <v>800</v>
      </c>
      <c r="U54">
        <v>6541</v>
      </c>
      <c r="V54" s="4">
        <v>545.08333333333337</v>
      </c>
    </row>
    <row r="55" spans="1:22">
      <c r="A55" s="770" t="s">
        <v>736</v>
      </c>
      <c r="B55" s="769" t="s">
        <v>906</v>
      </c>
      <c r="C55" s="769">
        <v>1926</v>
      </c>
      <c r="D55" s="769"/>
      <c r="E55" s="769"/>
      <c r="F55" s="769"/>
      <c r="G55" s="769"/>
      <c r="H55" s="769"/>
      <c r="I55" s="769"/>
      <c r="J55" s="769">
        <v>14113</v>
      </c>
      <c r="K55" s="769"/>
      <c r="L55" s="769"/>
      <c r="M55" s="769"/>
      <c r="N55" s="769"/>
      <c r="O55" s="769"/>
      <c r="P55" s="769">
        <f t="shared" si="0"/>
        <v>16039</v>
      </c>
      <c r="Q55" s="758">
        <f t="shared" si="1"/>
        <v>1336.5833333333333</v>
      </c>
      <c r="R55" s="4"/>
      <c r="T55" s="6" t="s">
        <v>753</v>
      </c>
      <c r="U55">
        <v>6400</v>
      </c>
      <c r="V55" s="4">
        <v>533.33333333333337</v>
      </c>
    </row>
    <row r="56" spans="1:22">
      <c r="A56" s="770" t="s">
        <v>736</v>
      </c>
      <c r="B56" s="769" t="s">
        <v>913</v>
      </c>
      <c r="C56" s="769"/>
      <c r="D56" s="769"/>
      <c r="E56" s="769"/>
      <c r="F56" s="769"/>
      <c r="G56" s="769"/>
      <c r="H56" s="769"/>
      <c r="I56" s="769"/>
      <c r="J56" s="769">
        <v>200</v>
      </c>
      <c r="K56" s="769"/>
      <c r="L56" s="769"/>
      <c r="M56" s="769"/>
      <c r="N56" s="769"/>
      <c r="O56" s="769"/>
      <c r="P56" s="769">
        <f t="shared" si="0"/>
        <v>200</v>
      </c>
      <c r="Q56" s="758">
        <f t="shared" si="1"/>
        <v>16.666666666666668</v>
      </c>
      <c r="R56" s="4"/>
      <c r="T56" s="6" t="s">
        <v>798</v>
      </c>
      <c r="U56">
        <v>6222</v>
      </c>
      <c r="V56" s="4">
        <v>518.5</v>
      </c>
    </row>
    <row r="57" spans="1:22">
      <c r="A57" s="770" t="s">
        <v>736</v>
      </c>
      <c r="B57" s="769" t="s">
        <v>908</v>
      </c>
      <c r="C57" s="769"/>
      <c r="D57" s="769"/>
      <c r="E57" s="769"/>
      <c r="F57" s="769"/>
      <c r="G57" s="769"/>
      <c r="H57" s="769"/>
      <c r="I57" s="769"/>
      <c r="J57" s="769">
        <v>350</v>
      </c>
      <c r="K57" s="769"/>
      <c r="L57" s="769"/>
      <c r="M57" s="769"/>
      <c r="N57" s="769"/>
      <c r="O57" s="769"/>
      <c r="P57" s="769">
        <f t="shared" si="0"/>
        <v>350</v>
      </c>
      <c r="Q57" s="758">
        <f t="shared" si="1"/>
        <v>29.166666666666668</v>
      </c>
      <c r="R57" s="4"/>
      <c r="T57" s="6" t="s">
        <v>746</v>
      </c>
      <c r="U57">
        <v>5781</v>
      </c>
      <c r="V57" s="4">
        <v>481.74999999999994</v>
      </c>
    </row>
    <row r="58" spans="1:22">
      <c r="A58" s="770" t="s">
        <v>736</v>
      </c>
      <c r="B58" s="769" t="s">
        <v>898</v>
      </c>
      <c r="C58" s="769"/>
      <c r="D58" s="769"/>
      <c r="E58" s="769"/>
      <c r="F58" s="769"/>
      <c r="G58" s="769"/>
      <c r="H58" s="769"/>
      <c r="I58" s="769"/>
      <c r="J58" s="769">
        <v>500</v>
      </c>
      <c r="K58" s="769"/>
      <c r="L58" s="769"/>
      <c r="M58" s="769"/>
      <c r="N58" s="769"/>
      <c r="O58" s="769"/>
      <c r="P58" s="769">
        <f t="shared" si="0"/>
        <v>500</v>
      </c>
      <c r="Q58" s="758">
        <f t="shared" si="1"/>
        <v>41.666666666666664</v>
      </c>
      <c r="R58" s="4"/>
      <c r="T58" s="6" t="s">
        <v>803</v>
      </c>
      <c r="U58">
        <v>5605</v>
      </c>
      <c r="V58" s="4">
        <v>467.08333333333331</v>
      </c>
    </row>
    <row r="59" spans="1:22">
      <c r="A59" s="761" t="s">
        <v>815</v>
      </c>
      <c r="B59" s="769" t="s">
        <v>906</v>
      </c>
      <c r="C59" s="769">
        <v>498</v>
      </c>
      <c r="D59" s="769"/>
      <c r="E59" s="769"/>
      <c r="F59" s="769"/>
      <c r="G59" s="769"/>
      <c r="H59" s="769"/>
      <c r="I59" s="769"/>
      <c r="J59" s="769">
        <v>922</v>
      </c>
      <c r="K59" s="769"/>
      <c r="L59" s="769"/>
      <c r="M59" s="769"/>
      <c r="N59" s="769"/>
      <c r="O59" s="769"/>
      <c r="P59" s="769">
        <f t="shared" si="0"/>
        <v>1420</v>
      </c>
      <c r="Q59" s="758">
        <f t="shared" si="1"/>
        <v>118.33333333333333</v>
      </c>
      <c r="R59" s="4"/>
      <c r="T59" s="6" t="s">
        <v>824</v>
      </c>
      <c r="U59">
        <v>5539</v>
      </c>
      <c r="V59" s="4">
        <v>461.58333333333331</v>
      </c>
    </row>
    <row r="60" spans="1:22">
      <c r="A60" s="761" t="s">
        <v>783</v>
      </c>
      <c r="B60" s="769" t="s">
        <v>902</v>
      </c>
      <c r="C60" s="769">
        <v>40</v>
      </c>
      <c r="D60" s="769"/>
      <c r="E60" s="769"/>
      <c r="F60" s="769"/>
      <c r="G60" s="769"/>
      <c r="H60" s="769">
        <v>50</v>
      </c>
      <c r="I60" s="769"/>
      <c r="J60" s="769">
        <v>90</v>
      </c>
      <c r="K60" s="769"/>
      <c r="L60" s="769">
        <v>110</v>
      </c>
      <c r="M60" s="769"/>
      <c r="N60" s="769"/>
      <c r="O60" s="769"/>
      <c r="P60" s="769">
        <f t="shared" si="0"/>
        <v>290</v>
      </c>
      <c r="Q60" s="758">
        <f t="shared" si="1"/>
        <v>24.166666666666668</v>
      </c>
      <c r="R60" s="4"/>
      <c r="T60" s="6" t="s">
        <v>809</v>
      </c>
      <c r="U60">
        <v>5437</v>
      </c>
      <c r="V60" s="4">
        <v>453.08333333333337</v>
      </c>
    </row>
    <row r="61" spans="1:22">
      <c r="A61" s="770" t="s">
        <v>783</v>
      </c>
      <c r="B61" s="769" t="s">
        <v>905</v>
      </c>
      <c r="C61" s="769"/>
      <c r="D61" s="769"/>
      <c r="E61" s="769"/>
      <c r="F61" s="769"/>
      <c r="G61" s="769"/>
      <c r="H61" s="769"/>
      <c r="I61" s="769"/>
      <c r="J61" s="769">
        <v>537</v>
      </c>
      <c r="K61" s="769"/>
      <c r="L61" s="769"/>
      <c r="M61" s="769"/>
      <c r="N61" s="769"/>
      <c r="O61" s="769"/>
      <c r="P61" s="769">
        <f t="shared" si="0"/>
        <v>537</v>
      </c>
      <c r="Q61" s="758">
        <f t="shared" si="1"/>
        <v>44.75</v>
      </c>
      <c r="R61" s="4"/>
      <c r="T61" s="6" t="s">
        <v>807</v>
      </c>
      <c r="U61">
        <v>5397</v>
      </c>
      <c r="V61" s="4">
        <v>449.75</v>
      </c>
    </row>
    <row r="62" spans="1:22">
      <c r="A62" s="770" t="s">
        <v>783</v>
      </c>
      <c r="B62" s="769" t="s">
        <v>906</v>
      </c>
      <c r="C62" s="769">
        <v>218</v>
      </c>
      <c r="D62" s="769"/>
      <c r="E62" s="769"/>
      <c r="F62" s="769"/>
      <c r="G62" s="769"/>
      <c r="H62" s="769"/>
      <c r="I62" s="769"/>
      <c r="J62" s="769">
        <v>694</v>
      </c>
      <c r="K62" s="769"/>
      <c r="L62" s="769"/>
      <c r="M62" s="769"/>
      <c r="N62" s="769"/>
      <c r="O62" s="769"/>
      <c r="P62" s="769">
        <f t="shared" si="0"/>
        <v>912</v>
      </c>
      <c r="Q62" s="758">
        <f t="shared" si="1"/>
        <v>76</v>
      </c>
      <c r="R62" s="4"/>
      <c r="T62" s="6" t="s">
        <v>751</v>
      </c>
      <c r="U62">
        <v>5100</v>
      </c>
      <c r="V62" s="4">
        <v>425</v>
      </c>
    </row>
    <row r="63" spans="1:22">
      <c r="A63" s="770" t="s">
        <v>783</v>
      </c>
      <c r="B63" s="769" t="s">
        <v>908</v>
      </c>
      <c r="C63" s="769"/>
      <c r="D63" s="769"/>
      <c r="E63" s="769"/>
      <c r="F63" s="769"/>
      <c r="G63" s="769"/>
      <c r="H63" s="769"/>
      <c r="I63" s="769"/>
      <c r="J63" s="769">
        <v>521</v>
      </c>
      <c r="K63" s="769"/>
      <c r="L63" s="769"/>
      <c r="M63" s="769"/>
      <c r="N63" s="769"/>
      <c r="O63" s="769"/>
      <c r="P63" s="769">
        <f t="shared" si="0"/>
        <v>521</v>
      </c>
      <c r="Q63" s="758">
        <f t="shared" si="1"/>
        <v>43.416666666666664</v>
      </c>
      <c r="R63" s="4"/>
      <c r="T63" s="6" t="s">
        <v>744</v>
      </c>
      <c r="U63">
        <v>5006</v>
      </c>
      <c r="V63" s="4">
        <v>417.16666666666669</v>
      </c>
    </row>
    <row r="64" spans="1:22">
      <c r="A64" s="761" t="s">
        <v>839</v>
      </c>
      <c r="B64" s="769" t="s">
        <v>911</v>
      </c>
      <c r="C64" s="769"/>
      <c r="D64" s="769">
        <v>100</v>
      </c>
      <c r="E64" s="769"/>
      <c r="F64" s="769"/>
      <c r="G64" s="769"/>
      <c r="H64" s="769"/>
      <c r="I64" s="769"/>
      <c r="J64" s="769"/>
      <c r="K64" s="769">
        <v>500</v>
      </c>
      <c r="L64" s="769"/>
      <c r="M64" s="769"/>
      <c r="N64" s="769"/>
      <c r="O64" s="769"/>
      <c r="P64" s="769">
        <f t="shared" si="0"/>
        <v>600</v>
      </c>
      <c r="Q64" s="758">
        <f t="shared" si="1"/>
        <v>50</v>
      </c>
      <c r="R64" s="4"/>
      <c r="T64" s="6" t="s">
        <v>765</v>
      </c>
      <c r="U64">
        <v>4722</v>
      </c>
      <c r="V64" s="4">
        <v>393.5</v>
      </c>
    </row>
    <row r="65" spans="1:22">
      <c r="A65" s="761" t="s">
        <v>830</v>
      </c>
      <c r="B65" s="769" t="s">
        <v>910</v>
      </c>
      <c r="C65" s="769"/>
      <c r="D65" s="769">
        <v>350</v>
      </c>
      <c r="E65" s="769">
        <v>666</v>
      </c>
      <c r="F65" s="769">
        <v>300</v>
      </c>
      <c r="G65" s="769">
        <v>350</v>
      </c>
      <c r="H65" s="769"/>
      <c r="I65" s="769"/>
      <c r="J65" s="769"/>
      <c r="K65" s="769">
        <v>450</v>
      </c>
      <c r="L65" s="769"/>
      <c r="M65" s="769">
        <v>210</v>
      </c>
      <c r="N65" s="769">
        <v>397</v>
      </c>
      <c r="O65" s="769">
        <v>520</v>
      </c>
      <c r="P65" s="769">
        <f t="shared" si="0"/>
        <v>3243</v>
      </c>
      <c r="Q65" s="758">
        <f t="shared" si="1"/>
        <v>270.25</v>
      </c>
      <c r="R65" s="4"/>
      <c r="T65" s="6" t="s">
        <v>822</v>
      </c>
      <c r="U65">
        <v>4406</v>
      </c>
      <c r="V65" s="4">
        <v>367.16666666666669</v>
      </c>
    </row>
    <row r="66" spans="1:22">
      <c r="A66" s="761" t="s">
        <v>842</v>
      </c>
      <c r="B66" s="769" t="s">
        <v>911</v>
      </c>
      <c r="C66" s="769">
        <v>53</v>
      </c>
      <c r="D66" s="769">
        <v>100</v>
      </c>
      <c r="E66" s="769">
        <v>355</v>
      </c>
      <c r="F66" s="769"/>
      <c r="G66" s="769">
        <v>340</v>
      </c>
      <c r="H66" s="769">
        <v>185</v>
      </c>
      <c r="I66" s="769">
        <v>344</v>
      </c>
      <c r="J66" s="769"/>
      <c r="K66" s="769">
        <v>206</v>
      </c>
      <c r="L66" s="769">
        <v>301</v>
      </c>
      <c r="M66" s="769">
        <v>302</v>
      </c>
      <c r="N66" s="769">
        <v>441</v>
      </c>
      <c r="O66" s="769"/>
      <c r="P66" s="769">
        <f t="shared" ref="P66:P129" si="2">SUM(C66:O66)</f>
        <v>2627</v>
      </c>
      <c r="Q66" s="758">
        <f t="shared" si="1"/>
        <v>218.91666666666666</v>
      </c>
      <c r="R66" s="4"/>
      <c r="T66" s="6" t="s">
        <v>749</v>
      </c>
      <c r="U66">
        <v>4201</v>
      </c>
      <c r="V66" s="4">
        <v>350.08333333333331</v>
      </c>
    </row>
    <row r="67" spans="1:22">
      <c r="A67" s="761" t="s">
        <v>800</v>
      </c>
      <c r="B67" s="769" t="s">
        <v>900</v>
      </c>
      <c r="C67" s="769">
        <v>50</v>
      </c>
      <c r="D67" s="769">
        <v>252</v>
      </c>
      <c r="E67" s="769"/>
      <c r="F67" s="769"/>
      <c r="G67" s="769"/>
      <c r="H67" s="769">
        <v>415</v>
      </c>
      <c r="I67" s="769"/>
      <c r="J67" s="769"/>
      <c r="K67" s="769"/>
      <c r="L67" s="769"/>
      <c r="M67" s="769"/>
      <c r="N67" s="769"/>
      <c r="O67" s="769"/>
      <c r="P67" s="769">
        <f t="shared" si="2"/>
        <v>717</v>
      </c>
      <c r="Q67" s="758">
        <f t="shared" ref="Q67:Q130" si="3">P67/12</f>
        <v>59.75</v>
      </c>
      <c r="R67" s="4"/>
      <c r="T67" s="6" t="s">
        <v>820</v>
      </c>
      <c r="U67">
        <v>4037</v>
      </c>
      <c r="V67" s="4">
        <v>336.41666666666669</v>
      </c>
    </row>
    <row r="68" spans="1:22">
      <c r="A68" s="770" t="s">
        <v>800</v>
      </c>
      <c r="B68" s="769" t="s">
        <v>901</v>
      </c>
      <c r="C68" s="769">
        <v>250</v>
      </c>
      <c r="D68" s="769">
        <v>485</v>
      </c>
      <c r="E68" s="769"/>
      <c r="F68" s="769">
        <v>249</v>
      </c>
      <c r="G68" s="769">
        <v>347</v>
      </c>
      <c r="H68" s="769"/>
      <c r="I68" s="769">
        <v>394</v>
      </c>
      <c r="J68" s="769"/>
      <c r="K68" s="769"/>
      <c r="L68" s="769">
        <v>462</v>
      </c>
      <c r="M68" s="769">
        <v>338</v>
      </c>
      <c r="N68" s="769">
        <v>578</v>
      </c>
      <c r="O68" s="769">
        <v>227</v>
      </c>
      <c r="P68" s="769">
        <f t="shared" si="2"/>
        <v>3330</v>
      </c>
      <c r="Q68" s="758">
        <f t="shared" si="3"/>
        <v>277.5</v>
      </c>
      <c r="R68" s="4"/>
      <c r="T68" s="6" t="s">
        <v>832</v>
      </c>
      <c r="U68">
        <v>3797</v>
      </c>
      <c r="V68" s="4">
        <v>316.41666666666669</v>
      </c>
    </row>
    <row r="69" spans="1:22">
      <c r="A69" s="770" t="s">
        <v>800</v>
      </c>
      <c r="B69" s="769" t="s">
        <v>903</v>
      </c>
      <c r="C69" s="769"/>
      <c r="D69" s="769"/>
      <c r="E69" s="769">
        <v>605</v>
      </c>
      <c r="F69" s="769">
        <v>500</v>
      </c>
      <c r="G69" s="769">
        <v>310</v>
      </c>
      <c r="H69" s="769"/>
      <c r="I69" s="769"/>
      <c r="J69" s="769"/>
      <c r="K69" s="769">
        <v>769</v>
      </c>
      <c r="L69" s="769"/>
      <c r="M69" s="769"/>
      <c r="N69" s="769">
        <v>310</v>
      </c>
      <c r="O69" s="769"/>
      <c r="P69" s="769">
        <f t="shared" si="2"/>
        <v>2494</v>
      </c>
      <c r="Q69" s="758">
        <f t="shared" si="3"/>
        <v>207.83333333333334</v>
      </c>
      <c r="R69" s="4"/>
      <c r="T69" s="6" t="s">
        <v>830</v>
      </c>
      <c r="U69">
        <v>3243</v>
      </c>
      <c r="V69" s="4">
        <v>270.25</v>
      </c>
    </row>
    <row r="70" spans="1:22">
      <c r="A70" s="761" t="s">
        <v>779</v>
      </c>
      <c r="B70" s="769" t="s">
        <v>902</v>
      </c>
      <c r="C70" s="769"/>
      <c r="D70" s="769">
        <v>110</v>
      </c>
      <c r="E70" s="769">
        <v>110</v>
      </c>
      <c r="F70" s="769">
        <v>121</v>
      </c>
      <c r="G70" s="769">
        <v>100</v>
      </c>
      <c r="H70" s="769">
        <v>210</v>
      </c>
      <c r="I70" s="769">
        <v>60</v>
      </c>
      <c r="J70" s="769"/>
      <c r="K70" s="769">
        <v>160</v>
      </c>
      <c r="L70" s="769">
        <v>50</v>
      </c>
      <c r="M70" s="769">
        <v>160</v>
      </c>
      <c r="N70" s="769">
        <v>102</v>
      </c>
      <c r="O70" s="769">
        <v>60</v>
      </c>
      <c r="P70" s="769">
        <f t="shared" si="2"/>
        <v>1243</v>
      </c>
      <c r="Q70" s="758">
        <f t="shared" si="3"/>
        <v>103.58333333333333</v>
      </c>
      <c r="R70" s="4"/>
      <c r="T70" s="6" t="s">
        <v>755</v>
      </c>
      <c r="U70">
        <v>3040</v>
      </c>
      <c r="V70" s="4">
        <v>253.33333333333334</v>
      </c>
    </row>
    <row r="71" spans="1:22">
      <c r="A71" s="770" t="s">
        <v>779</v>
      </c>
      <c r="B71" s="769" t="s">
        <v>905</v>
      </c>
      <c r="C71" s="769">
        <v>265</v>
      </c>
      <c r="D71" s="769">
        <v>244</v>
      </c>
      <c r="E71" s="769">
        <v>67</v>
      </c>
      <c r="F71" s="769">
        <v>81</v>
      </c>
      <c r="G71" s="769">
        <v>404</v>
      </c>
      <c r="H71" s="769">
        <v>533</v>
      </c>
      <c r="I71" s="769">
        <v>288</v>
      </c>
      <c r="J71" s="769"/>
      <c r="K71" s="769">
        <v>285</v>
      </c>
      <c r="L71" s="769">
        <v>122</v>
      </c>
      <c r="M71" s="769">
        <v>183</v>
      </c>
      <c r="N71" s="769">
        <v>429</v>
      </c>
      <c r="O71" s="769">
        <v>406</v>
      </c>
      <c r="P71" s="769">
        <f t="shared" si="2"/>
        <v>3307</v>
      </c>
      <c r="Q71" s="758">
        <f t="shared" si="3"/>
        <v>275.58333333333331</v>
      </c>
      <c r="R71" s="4"/>
      <c r="T71" s="6" t="s">
        <v>785</v>
      </c>
      <c r="U71">
        <v>2950</v>
      </c>
      <c r="V71" s="4">
        <v>245.83333333333331</v>
      </c>
    </row>
    <row r="72" spans="1:22">
      <c r="A72" s="770" t="s">
        <v>779</v>
      </c>
      <c r="B72" s="769" t="s">
        <v>906</v>
      </c>
      <c r="C72" s="769">
        <v>160</v>
      </c>
      <c r="D72" s="769">
        <v>602</v>
      </c>
      <c r="E72" s="769"/>
      <c r="F72" s="769"/>
      <c r="G72" s="769">
        <v>287</v>
      </c>
      <c r="H72" s="769">
        <v>365</v>
      </c>
      <c r="I72" s="769">
        <v>286</v>
      </c>
      <c r="J72" s="769"/>
      <c r="K72" s="769">
        <v>358</v>
      </c>
      <c r="L72" s="769">
        <v>688</v>
      </c>
      <c r="M72" s="769">
        <v>593</v>
      </c>
      <c r="N72" s="769"/>
      <c r="O72" s="769">
        <v>715</v>
      </c>
      <c r="P72" s="769">
        <f t="shared" si="2"/>
        <v>4054</v>
      </c>
      <c r="Q72" s="758">
        <f t="shared" si="3"/>
        <v>337.83333333333331</v>
      </c>
      <c r="R72" s="4"/>
      <c r="T72" s="6" t="s">
        <v>791</v>
      </c>
      <c r="U72">
        <v>2825</v>
      </c>
      <c r="V72" s="4">
        <v>235.41666666666666</v>
      </c>
    </row>
    <row r="73" spans="1:22">
      <c r="A73" s="770" t="s">
        <v>779</v>
      </c>
      <c r="B73" s="769" t="s">
        <v>908</v>
      </c>
      <c r="C73" s="769">
        <v>360</v>
      </c>
      <c r="D73" s="769">
        <v>1049</v>
      </c>
      <c r="E73" s="769">
        <v>1330</v>
      </c>
      <c r="F73" s="769">
        <v>810</v>
      </c>
      <c r="G73" s="769">
        <v>950</v>
      </c>
      <c r="H73" s="769">
        <v>1028</v>
      </c>
      <c r="I73" s="769">
        <v>1104</v>
      </c>
      <c r="J73" s="769"/>
      <c r="K73" s="769">
        <v>1040</v>
      </c>
      <c r="L73" s="769">
        <v>206</v>
      </c>
      <c r="M73" s="769">
        <v>1040</v>
      </c>
      <c r="N73" s="769">
        <v>1037</v>
      </c>
      <c r="O73" s="769">
        <v>980</v>
      </c>
      <c r="P73" s="769">
        <f t="shared" si="2"/>
        <v>10934</v>
      </c>
      <c r="Q73" s="758">
        <f t="shared" si="3"/>
        <v>911.16666666666663</v>
      </c>
      <c r="R73" s="4"/>
      <c r="T73" s="6" t="s">
        <v>914</v>
      </c>
      <c r="U73">
        <v>2800</v>
      </c>
      <c r="V73" s="4">
        <v>233.33333333333334</v>
      </c>
    </row>
    <row r="74" spans="1:22">
      <c r="A74" s="761" t="s">
        <v>855</v>
      </c>
      <c r="B74" s="769" t="s">
        <v>911</v>
      </c>
      <c r="C74" s="769"/>
      <c r="D74" s="769">
        <v>101</v>
      </c>
      <c r="E74" s="769">
        <v>390</v>
      </c>
      <c r="F74" s="769">
        <v>144</v>
      </c>
      <c r="G74" s="769">
        <v>100</v>
      </c>
      <c r="H74" s="769"/>
      <c r="I74" s="769">
        <v>161</v>
      </c>
      <c r="J74" s="769"/>
      <c r="K74" s="769">
        <v>258</v>
      </c>
      <c r="L74" s="769">
        <v>103</v>
      </c>
      <c r="M74" s="769">
        <v>96</v>
      </c>
      <c r="N74" s="769"/>
      <c r="O74" s="769"/>
      <c r="P74" s="769">
        <f t="shared" si="2"/>
        <v>1353</v>
      </c>
      <c r="Q74" s="758">
        <f t="shared" si="3"/>
        <v>112.75</v>
      </c>
      <c r="R74" s="4"/>
      <c r="T74" s="6" t="s">
        <v>842</v>
      </c>
      <c r="U74">
        <v>2627</v>
      </c>
      <c r="V74" s="4">
        <v>218.91666666666666</v>
      </c>
    </row>
    <row r="75" spans="1:22">
      <c r="A75" s="761" t="s">
        <v>849</v>
      </c>
      <c r="B75" s="769" t="s">
        <v>901</v>
      </c>
      <c r="C75" s="769">
        <v>65</v>
      </c>
      <c r="D75" s="769">
        <v>297</v>
      </c>
      <c r="E75" s="769">
        <v>111</v>
      </c>
      <c r="F75" s="769">
        <v>220</v>
      </c>
      <c r="G75" s="769">
        <v>228</v>
      </c>
      <c r="H75" s="769">
        <v>251</v>
      </c>
      <c r="I75" s="769">
        <v>474</v>
      </c>
      <c r="J75" s="769"/>
      <c r="K75" s="769">
        <v>102</v>
      </c>
      <c r="L75" s="769">
        <v>248</v>
      </c>
      <c r="M75" s="769">
        <v>126</v>
      </c>
      <c r="N75" s="769">
        <v>260</v>
      </c>
      <c r="O75" s="769">
        <v>193</v>
      </c>
      <c r="P75" s="769">
        <f t="shared" si="2"/>
        <v>2575</v>
      </c>
      <c r="Q75" s="758">
        <f t="shared" si="3"/>
        <v>214.58333333333334</v>
      </c>
      <c r="R75" s="4"/>
      <c r="T75" s="6" t="s">
        <v>849</v>
      </c>
      <c r="U75">
        <v>2575</v>
      </c>
      <c r="V75" s="4">
        <v>214.58333333333334</v>
      </c>
    </row>
    <row r="76" spans="1:22">
      <c r="A76" s="761" t="s">
        <v>869</v>
      </c>
      <c r="B76" s="769" t="s">
        <v>902</v>
      </c>
      <c r="C76" s="769">
        <v>100</v>
      </c>
      <c r="D76" s="769">
        <v>54</v>
      </c>
      <c r="E76" s="769">
        <v>72</v>
      </c>
      <c r="F76" s="769">
        <v>101</v>
      </c>
      <c r="G76" s="769">
        <v>90</v>
      </c>
      <c r="H76" s="769"/>
      <c r="I76" s="769">
        <v>102</v>
      </c>
      <c r="J76" s="769"/>
      <c r="K76" s="769">
        <v>112</v>
      </c>
      <c r="L76" s="769">
        <v>70</v>
      </c>
      <c r="M76" s="769">
        <v>102</v>
      </c>
      <c r="N76" s="769">
        <v>102</v>
      </c>
      <c r="O76" s="769">
        <v>71</v>
      </c>
      <c r="P76" s="769">
        <f t="shared" si="2"/>
        <v>976</v>
      </c>
      <c r="Q76" s="758">
        <f t="shared" si="3"/>
        <v>81.333333333333329</v>
      </c>
      <c r="R76" s="4"/>
      <c r="T76" s="6" t="s">
        <v>845</v>
      </c>
      <c r="U76">
        <v>2490</v>
      </c>
      <c r="V76" s="4">
        <v>207.5</v>
      </c>
    </row>
    <row r="77" spans="1:22">
      <c r="A77" s="761" t="s">
        <v>865</v>
      </c>
      <c r="B77" s="769" t="s">
        <v>906</v>
      </c>
      <c r="C77" s="769"/>
      <c r="D77" s="769">
        <v>105</v>
      </c>
      <c r="E77" s="769"/>
      <c r="F77" s="769"/>
      <c r="G77" s="769">
        <v>100</v>
      </c>
      <c r="H77" s="769">
        <v>35</v>
      </c>
      <c r="I77" s="769">
        <v>12</v>
      </c>
      <c r="J77" s="769"/>
      <c r="K77" s="769"/>
      <c r="L77" s="769"/>
      <c r="M77" s="769"/>
      <c r="N77" s="769"/>
      <c r="O77" s="769"/>
      <c r="P77" s="769">
        <f t="shared" si="2"/>
        <v>252</v>
      </c>
      <c r="Q77" s="758">
        <f t="shared" si="3"/>
        <v>21</v>
      </c>
      <c r="R77" s="4"/>
      <c r="T77" s="6" t="s">
        <v>763</v>
      </c>
      <c r="U77">
        <v>2400</v>
      </c>
      <c r="V77" s="4">
        <v>200</v>
      </c>
    </row>
    <row r="78" spans="1:22">
      <c r="A78" s="770" t="s">
        <v>865</v>
      </c>
      <c r="B78" s="769" t="s">
        <v>901</v>
      </c>
      <c r="C78" s="769"/>
      <c r="D78" s="769"/>
      <c r="E78" s="769"/>
      <c r="F78" s="769"/>
      <c r="G78" s="769"/>
      <c r="H78" s="769"/>
      <c r="I78" s="769"/>
      <c r="J78" s="769"/>
      <c r="K78" s="769"/>
      <c r="L78" s="769"/>
      <c r="M78" s="769"/>
      <c r="N78" s="769">
        <v>70</v>
      </c>
      <c r="O78" s="769"/>
      <c r="P78" s="769">
        <f t="shared" si="2"/>
        <v>70</v>
      </c>
      <c r="Q78" s="758">
        <f t="shared" si="3"/>
        <v>5.833333333333333</v>
      </c>
      <c r="R78" s="4"/>
      <c r="T78" s="6" t="s">
        <v>853</v>
      </c>
      <c r="U78">
        <v>2375</v>
      </c>
      <c r="V78" s="4">
        <v>197.91666666666666</v>
      </c>
    </row>
    <row r="79" spans="1:22">
      <c r="A79" s="761" t="s">
        <v>740</v>
      </c>
      <c r="B79" s="769" t="s">
        <v>910</v>
      </c>
      <c r="C79" s="769"/>
      <c r="D79" s="769">
        <v>200</v>
      </c>
      <c r="E79" s="769">
        <v>100</v>
      </c>
      <c r="F79" s="769">
        <v>224</v>
      </c>
      <c r="G79" s="769">
        <v>160</v>
      </c>
      <c r="H79" s="769"/>
      <c r="I79" s="769"/>
      <c r="J79" s="769"/>
      <c r="K79" s="769"/>
      <c r="L79" s="769"/>
      <c r="M79" s="769">
        <v>100</v>
      </c>
      <c r="N79" s="769">
        <v>250</v>
      </c>
      <c r="O79" s="769"/>
      <c r="P79" s="769">
        <f t="shared" si="2"/>
        <v>1034</v>
      </c>
      <c r="Q79" s="758">
        <f t="shared" si="3"/>
        <v>86.166666666666671</v>
      </c>
      <c r="R79" s="4"/>
      <c r="T79" s="6" t="s">
        <v>766</v>
      </c>
      <c r="U79">
        <v>2361</v>
      </c>
      <c r="V79" s="4">
        <v>196.75</v>
      </c>
    </row>
    <row r="80" spans="1:22">
      <c r="A80" s="770" t="s">
        <v>740</v>
      </c>
      <c r="B80" s="769" t="s">
        <v>900</v>
      </c>
      <c r="C80" s="769"/>
      <c r="D80" s="769">
        <v>260</v>
      </c>
      <c r="E80" s="769">
        <v>600</v>
      </c>
      <c r="F80" s="769">
        <v>522</v>
      </c>
      <c r="G80" s="769">
        <v>300</v>
      </c>
      <c r="H80" s="769">
        <v>58</v>
      </c>
      <c r="I80" s="769">
        <v>500</v>
      </c>
      <c r="J80" s="769"/>
      <c r="K80" s="769">
        <v>400</v>
      </c>
      <c r="L80" s="769">
        <v>305</v>
      </c>
      <c r="M80" s="769"/>
      <c r="N80" s="769">
        <v>350</v>
      </c>
      <c r="O80" s="769">
        <v>441</v>
      </c>
      <c r="P80" s="769">
        <f t="shared" si="2"/>
        <v>3736</v>
      </c>
      <c r="Q80" s="758">
        <f t="shared" si="3"/>
        <v>311.33333333333331</v>
      </c>
      <c r="R80" s="4"/>
      <c r="T80" s="6" t="s">
        <v>783</v>
      </c>
      <c r="U80">
        <v>2260</v>
      </c>
      <c r="V80" s="4">
        <v>188.33333333333334</v>
      </c>
    </row>
    <row r="81" spans="1:22">
      <c r="A81" s="770" t="s">
        <v>740</v>
      </c>
      <c r="B81" s="769" t="s">
        <v>909</v>
      </c>
      <c r="C81" s="769">
        <v>3677</v>
      </c>
      <c r="D81" s="769">
        <v>5150</v>
      </c>
      <c r="E81" s="769">
        <v>3000</v>
      </c>
      <c r="F81" s="769">
        <v>2740</v>
      </c>
      <c r="G81" s="769">
        <v>2850</v>
      </c>
      <c r="H81" s="769">
        <v>5400</v>
      </c>
      <c r="I81" s="769">
        <v>5080</v>
      </c>
      <c r="J81" s="769"/>
      <c r="K81" s="769">
        <v>2100</v>
      </c>
      <c r="L81" s="769">
        <v>4840</v>
      </c>
      <c r="M81" s="769">
        <v>1763</v>
      </c>
      <c r="N81" s="769">
        <v>3728</v>
      </c>
      <c r="O81" s="769">
        <v>4400</v>
      </c>
      <c r="P81" s="769">
        <f t="shared" si="2"/>
        <v>44728</v>
      </c>
      <c r="Q81" s="758">
        <f t="shared" si="3"/>
        <v>3727.3333333333335</v>
      </c>
      <c r="R81" s="4"/>
      <c r="T81" s="6" t="s">
        <v>797</v>
      </c>
      <c r="U81">
        <v>2242</v>
      </c>
      <c r="V81" s="4">
        <v>186.83333333333334</v>
      </c>
    </row>
    <row r="82" spans="1:22">
      <c r="A82" s="770" t="s">
        <v>740</v>
      </c>
      <c r="B82" s="769" t="s">
        <v>901</v>
      </c>
      <c r="C82" s="769"/>
      <c r="D82" s="769">
        <v>200</v>
      </c>
      <c r="E82" s="769">
        <v>250</v>
      </c>
      <c r="F82" s="769"/>
      <c r="G82" s="769">
        <v>100</v>
      </c>
      <c r="H82" s="769">
        <v>90</v>
      </c>
      <c r="I82" s="769">
        <v>142</v>
      </c>
      <c r="J82" s="769"/>
      <c r="K82" s="769">
        <v>200</v>
      </c>
      <c r="L82" s="769">
        <v>200</v>
      </c>
      <c r="M82" s="769"/>
      <c r="N82" s="769"/>
      <c r="O82" s="769"/>
      <c r="P82" s="769">
        <f t="shared" si="2"/>
        <v>1182</v>
      </c>
      <c r="Q82" s="758">
        <f t="shared" si="3"/>
        <v>98.5</v>
      </c>
      <c r="R82" s="4"/>
      <c r="T82" s="6" t="s">
        <v>771</v>
      </c>
      <c r="U82">
        <v>2116</v>
      </c>
      <c r="V82" s="4">
        <v>176.33333333333334</v>
      </c>
    </row>
    <row r="83" spans="1:22">
      <c r="A83" s="770" t="s">
        <v>740</v>
      </c>
      <c r="B83" s="769" t="s">
        <v>903</v>
      </c>
      <c r="C83" s="769"/>
      <c r="D83" s="769"/>
      <c r="E83" s="769">
        <v>1200</v>
      </c>
      <c r="F83" s="769">
        <v>2000</v>
      </c>
      <c r="G83" s="769">
        <v>1314</v>
      </c>
      <c r="H83" s="769"/>
      <c r="I83" s="769"/>
      <c r="J83" s="769"/>
      <c r="K83" s="769">
        <v>600</v>
      </c>
      <c r="L83" s="769"/>
      <c r="M83" s="769">
        <v>500</v>
      </c>
      <c r="N83" s="769"/>
      <c r="O83" s="769"/>
      <c r="P83" s="769">
        <f t="shared" si="2"/>
        <v>5614</v>
      </c>
      <c r="Q83" s="758">
        <f t="shared" si="3"/>
        <v>467.83333333333331</v>
      </c>
      <c r="R83" s="4"/>
      <c r="T83" s="6" t="s">
        <v>821</v>
      </c>
      <c r="U83">
        <v>2102</v>
      </c>
      <c r="V83" s="4">
        <v>175.16666666666666</v>
      </c>
    </row>
    <row r="84" spans="1:22">
      <c r="A84" s="761" t="s">
        <v>731</v>
      </c>
      <c r="B84" s="769" t="s">
        <v>905</v>
      </c>
      <c r="C84" s="769">
        <v>3730</v>
      </c>
      <c r="D84" s="769">
        <v>3282</v>
      </c>
      <c r="E84" s="769">
        <v>4200</v>
      </c>
      <c r="F84" s="769">
        <v>4400</v>
      </c>
      <c r="G84" s="769">
        <v>4250</v>
      </c>
      <c r="H84" s="769">
        <v>4750</v>
      </c>
      <c r="I84" s="769">
        <v>4904</v>
      </c>
      <c r="J84" s="769"/>
      <c r="K84" s="769">
        <v>4500</v>
      </c>
      <c r="L84" s="769">
        <v>5090</v>
      </c>
      <c r="M84" s="769">
        <v>3100</v>
      </c>
      <c r="N84" s="769">
        <v>3650</v>
      </c>
      <c r="O84" s="769">
        <v>4255</v>
      </c>
      <c r="P84" s="769">
        <f t="shared" si="2"/>
        <v>50111</v>
      </c>
      <c r="Q84" s="758">
        <f t="shared" si="3"/>
        <v>4175.916666666667</v>
      </c>
      <c r="R84" s="4"/>
      <c r="S84" t="e">
        <f>#REF!/26</f>
        <v>#REF!</v>
      </c>
      <c r="T84" s="6" t="s">
        <v>843</v>
      </c>
      <c r="U84">
        <v>2015</v>
      </c>
      <c r="V84" s="4">
        <v>167.91666666666666</v>
      </c>
    </row>
    <row r="85" spans="1:22">
      <c r="A85" s="770" t="s">
        <v>731</v>
      </c>
      <c r="B85" s="769" t="s">
        <v>906</v>
      </c>
      <c r="C85" s="769">
        <v>3650</v>
      </c>
      <c r="D85" s="769">
        <v>5383</v>
      </c>
      <c r="E85" s="769">
        <v>4983</v>
      </c>
      <c r="F85" s="769">
        <v>6138</v>
      </c>
      <c r="G85" s="769">
        <v>5574</v>
      </c>
      <c r="H85" s="769">
        <v>4731</v>
      </c>
      <c r="I85" s="769">
        <v>5242</v>
      </c>
      <c r="J85" s="769"/>
      <c r="K85" s="769">
        <v>5005</v>
      </c>
      <c r="L85" s="769">
        <v>6112</v>
      </c>
      <c r="M85" s="769">
        <v>5443</v>
      </c>
      <c r="N85" s="769">
        <v>4519</v>
      </c>
      <c r="O85" s="769">
        <v>5068</v>
      </c>
      <c r="P85" s="769">
        <f t="shared" si="2"/>
        <v>61848</v>
      </c>
      <c r="Q85" s="758">
        <f t="shared" si="3"/>
        <v>5154</v>
      </c>
      <c r="R85" s="4"/>
      <c r="S85" t="e">
        <f>#REF!/26</f>
        <v>#REF!</v>
      </c>
      <c r="T85" s="6" t="s">
        <v>823</v>
      </c>
      <c r="U85">
        <v>1637</v>
      </c>
      <c r="V85" s="4">
        <v>136.41666666666666</v>
      </c>
    </row>
    <row r="86" spans="1:22">
      <c r="A86" s="770" t="s">
        <v>731</v>
      </c>
      <c r="B86" s="769" t="s">
        <v>907</v>
      </c>
      <c r="C86" s="769">
        <v>8000</v>
      </c>
      <c r="D86" s="769">
        <v>10150</v>
      </c>
      <c r="E86" s="769">
        <v>10600</v>
      </c>
      <c r="F86" s="769">
        <v>8100</v>
      </c>
      <c r="G86" s="769">
        <v>9100</v>
      </c>
      <c r="H86" s="769">
        <v>9800</v>
      </c>
      <c r="I86" s="769">
        <v>11500</v>
      </c>
      <c r="J86" s="769"/>
      <c r="K86" s="769">
        <v>9550</v>
      </c>
      <c r="L86" s="769">
        <v>10500</v>
      </c>
      <c r="M86" s="769">
        <v>5950</v>
      </c>
      <c r="N86" s="769">
        <v>11307</v>
      </c>
      <c r="O86" s="769">
        <v>9150</v>
      </c>
      <c r="P86" s="769">
        <f t="shared" si="2"/>
        <v>113707</v>
      </c>
      <c r="Q86" s="758">
        <f t="shared" si="3"/>
        <v>9475.5833333333339</v>
      </c>
      <c r="R86" s="4"/>
      <c r="S86" t="e">
        <f>#REF!/26</f>
        <v>#REF!</v>
      </c>
      <c r="T86" s="6" t="s">
        <v>812</v>
      </c>
      <c r="U86">
        <v>1632</v>
      </c>
      <c r="V86" s="4">
        <v>136</v>
      </c>
    </row>
    <row r="87" spans="1:22">
      <c r="A87" s="770" t="s">
        <v>731</v>
      </c>
      <c r="B87" s="769" t="s">
        <v>908</v>
      </c>
      <c r="C87" s="769">
        <v>570</v>
      </c>
      <c r="D87" s="769">
        <v>1340</v>
      </c>
      <c r="E87" s="769">
        <v>1977</v>
      </c>
      <c r="F87" s="769">
        <v>2150</v>
      </c>
      <c r="G87" s="769">
        <v>1955</v>
      </c>
      <c r="H87" s="769">
        <v>1900</v>
      </c>
      <c r="I87" s="769">
        <v>2190</v>
      </c>
      <c r="J87" s="769"/>
      <c r="K87" s="769">
        <v>2650</v>
      </c>
      <c r="L87" s="769">
        <v>750</v>
      </c>
      <c r="M87" s="769">
        <v>2760</v>
      </c>
      <c r="N87" s="769">
        <v>1550</v>
      </c>
      <c r="O87" s="769">
        <v>1500</v>
      </c>
      <c r="P87" s="769">
        <f t="shared" si="2"/>
        <v>21292</v>
      </c>
      <c r="Q87" s="758">
        <f t="shared" si="3"/>
        <v>1774.3333333333333</v>
      </c>
      <c r="R87" s="4"/>
      <c r="S87" t="e">
        <f>#REF!/26</f>
        <v>#REF!</v>
      </c>
      <c r="T87" s="6" t="s">
        <v>784</v>
      </c>
      <c r="U87">
        <v>1553</v>
      </c>
      <c r="V87" s="4">
        <v>129.41666666666666</v>
      </c>
    </row>
    <row r="88" spans="1:22">
      <c r="A88" s="770" t="s">
        <v>731</v>
      </c>
      <c r="B88" s="769" t="s">
        <v>898</v>
      </c>
      <c r="C88" s="769"/>
      <c r="D88" s="769">
        <v>60</v>
      </c>
      <c r="E88" s="769">
        <v>750</v>
      </c>
      <c r="F88" s="769"/>
      <c r="G88" s="769">
        <v>500</v>
      </c>
      <c r="H88" s="769">
        <v>250</v>
      </c>
      <c r="I88" s="769">
        <v>210</v>
      </c>
      <c r="J88" s="769"/>
      <c r="K88" s="769">
        <v>650</v>
      </c>
      <c r="L88" s="769">
        <v>200</v>
      </c>
      <c r="M88" s="769">
        <v>200</v>
      </c>
      <c r="N88" s="769">
        <v>350</v>
      </c>
      <c r="O88" s="769">
        <v>250</v>
      </c>
      <c r="P88" s="769">
        <f t="shared" si="2"/>
        <v>3420</v>
      </c>
      <c r="Q88" s="758">
        <f t="shared" si="3"/>
        <v>285</v>
      </c>
      <c r="R88" s="4"/>
      <c r="S88" t="e">
        <f>#REF!/26</f>
        <v>#REF!</v>
      </c>
      <c r="T88" s="6" t="s">
        <v>814</v>
      </c>
      <c r="U88">
        <v>1527</v>
      </c>
      <c r="V88" s="4">
        <v>127.25</v>
      </c>
    </row>
    <row r="89" spans="1:22">
      <c r="A89" s="761" t="s">
        <v>737</v>
      </c>
      <c r="B89" s="769" t="s">
        <v>902</v>
      </c>
      <c r="C89" s="769">
        <v>100</v>
      </c>
      <c r="D89" s="769">
        <v>100</v>
      </c>
      <c r="E89" s="769"/>
      <c r="F89" s="769"/>
      <c r="G89" s="769">
        <v>100</v>
      </c>
      <c r="H89" s="769"/>
      <c r="I89" s="769">
        <v>150</v>
      </c>
      <c r="J89" s="769"/>
      <c r="K89" s="769">
        <v>100</v>
      </c>
      <c r="L89" s="769"/>
      <c r="M89" s="769">
        <v>100</v>
      </c>
      <c r="N89" s="769"/>
      <c r="O89" s="769"/>
      <c r="P89" s="769">
        <f t="shared" si="2"/>
        <v>650</v>
      </c>
      <c r="Q89" s="758">
        <f t="shared" si="3"/>
        <v>54.166666666666664</v>
      </c>
      <c r="R89" s="4"/>
      <c r="T89" s="6" t="s">
        <v>848</v>
      </c>
      <c r="U89">
        <v>1515</v>
      </c>
      <c r="V89" s="4">
        <v>126.25</v>
      </c>
    </row>
    <row r="90" spans="1:22">
      <c r="A90" s="770" t="s">
        <v>737</v>
      </c>
      <c r="B90" s="769" t="s">
        <v>905</v>
      </c>
      <c r="C90" s="769">
        <v>576</v>
      </c>
      <c r="D90" s="769">
        <v>1010</v>
      </c>
      <c r="E90" s="769">
        <v>1850</v>
      </c>
      <c r="F90" s="769">
        <v>1900</v>
      </c>
      <c r="G90" s="769">
        <v>1300</v>
      </c>
      <c r="H90" s="769">
        <v>880</v>
      </c>
      <c r="I90" s="769">
        <v>1243</v>
      </c>
      <c r="J90" s="769"/>
      <c r="K90" s="769">
        <v>1000</v>
      </c>
      <c r="L90" s="769">
        <v>1400</v>
      </c>
      <c r="M90" s="769">
        <v>850</v>
      </c>
      <c r="N90" s="769">
        <v>900</v>
      </c>
      <c r="O90" s="769">
        <v>1585</v>
      </c>
      <c r="P90" s="769">
        <f t="shared" si="2"/>
        <v>14494</v>
      </c>
      <c r="Q90" s="758">
        <f t="shared" si="3"/>
        <v>1207.8333333333333</v>
      </c>
      <c r="R90" s="4"/>
      <c r="T90" s="6" t="s">
        <v>786</v>
      </c>
      <c r="U90">
        <v>1495</v>
      </c>
      <c r="V90" s="4">
        <v>124.58333333333333</v>
      </c>
    </row>
    <row r="91" spans="1:22">
      <c r="A91" s="770" t="s">
        <v>737</v>
      </c>
      <c r="B91" s="769" t="s">
        <v>900</v>
      </c>
      <c r="C91" s="769">
        <v>300</v>
      </c>
      <c r="D91" s="769">
        <v>1180</v>
      </c>
      <c r="E91" s="769">
        <v>550</v>
      </c>
      <c r="F91" s="769">
        <v>1310</v>
      </c>
      <c r="G91" s="769">
        <v>876</v>
      </c>
      <c r="H91" s="769">
        <v>1478</v>
      </c>
      <c r="I91" s="769">
        <v>1162</v>
      </c>
      <c r="J91" s="769"/>
      <c r="K91" s="769">
        <v>890</v>
      </c>
      <c r="L91" s="769">
        <v>1248</v>
      </c>
      <c r="M91" s="769">
        <v>647</v>
      </c>
      <c r="N91" s="769">
        <v>2032</v>
      </c>
      <c r="O91" s="769">
        <v>750</v>
      </c>
      <c r="P91" s="769">
        <f t="shared" si="2"/>
        <v>12423</v>
      </c>
      <c r="Q91" s="758">
        <f t="shared" si="3"/>
        <v>1035.25</v>
      </c>
      <c r="R91" s="4"/>
      <c r="T91" s="6" t="s">
        <v>915</v>
      </c>
      <c r="U91">
        <v>1489</v>
      </c>
      <c r="V91" s="4">
        <v>124.08333333333333</v>
      </c>
    </row>
    <row r="92" spans="1:22">
      <c r="A92" s="770" t="s">
        <v>737</v>
      </c>
      <c r="B92" s="769" t="s">
        <v>911</v>
      </c>
      <c r="C92" s="769">
        <v>100</v>
      </c>
      <c r="D92" s="769">
        <v>200</v>
      </c>
      <c r="E92" s="769">
        <v>262</v>
      </c>
      <c r="F92" s="769">
        <v>495</v>
      </c>
      <c r="G92" s="769"/>
      <c r="H92" s="769">
        <v>200</v>
      </c>
      <c r="I92" s="769"/>
      <c r="J92" s="769"/>
      <c r="K92" s="769">
        <v>650</v>
      </c>
      <c r="L92" s="769"/>
      <c r="M92" s="769">
        <v>700</v>
      </c>
      <c r="N92" s="769">
        <v>140</v>
      </c>
      <c r="O92" s="769">
        <v>350</v>
      </c>
      <c r="P92" s="769">
        <f t="shared" si="2"/>
        <v>3097</v>
      </c>
      <c r="Q92" s="758">
        <f t="shared" si="3"/>
        <v>258.08333333333331</v>
      </c>
      <c r="R92" s="4"/>
      <c r="T92" s="6" t="s">
        <v>787</v>
      </c>
      <c r="U92">
        <v>1482</v>
      </c>
      <c r="V92" s="4">
        <v>123.5</v>
      </c>
    </row>
    <row r="93" spans="1:22">
      <c r="A93" s="770" t="s">
        <v>737</v>
      </c>
      <c r="B93" s="769" t="s">
        <v>906</v>
      </c>
      <c r="C93" s="769">
        <v>700</v>
      </c>
      <c r="D93" s="769">
        <v>600</v>
      </c>
      <c r="E93" s="769">
        <v>500</v>
      </c>
      <c r="F93" s="769">
        <v>1125</v>
      </c>
      <c r="G93" s="769">
        <v>800</v>
      </c>
      <c r="H93" s="769">
        <v>1128</v>
      </c>
      <c r="I93" s="769">
        <v>910</v>
      </c>
      <c r="J93" s="769"/>
      <c r="K93" s="769">
        <v>1092</v>
      </c>
      <c r="L93" s="769">
        <v>2095</v>
      </c>
      <c r="M93" s="769">
        <v>856</v>
      </c>
      <c r="N93" s="769">
        <v>100</v>
      </c>
      <c r="O93" s="769">
        <v>600</v>
      </c>
      <c r="P93" s="769">
        <f t="shared" si="2"/>
        <v>10506</v>
      </c>
      <c r="Q93" s="758">
        <f t="shared" si="3"/>
        <v>875.5</v>
      </c>
      <c r="R93" s="4"/>
      <c r="T93" s="6" t="s">
        <v>815</v>
      </c>
      <c r="U93">
        <v>1420</v>
      </c>
      <c r="V93" s="4">
        <v>118.33333333333333</v>
      </c>
    </row>
    <row r="94" spans="1:22">
      <c r="A94" s="770" t="s">
        <v>737</v>
      </c>
      <c r="B94" s="769" t="s">
        <v>907</v>
      </c>
      <c r="C94" s="769"/>
      <c r="D94" s="769">
        <v>500</v>
      </c>
      <c r="E94" s="769"/>
      <c r="F94" s="769"/>
      <c r="G94" s="769"/>
      <c r="H94" s="769">
        <v>1003</v>
      </c>
      <c r="I94" s="769">
        <v>400</v>
      </c>
      <c r="J94" s="769"/>
      <c r="K94" s="769"/>
      <c r="L94" s="769">
        <v>890</v>
      </c>
      <c r="M94" s="769"/>
      <c r="N94" s="769"/>
      <c r="O94" s="769">
        <v>100</v>
      </c>
      <c r="P94" s="769">
        <f t="shared" si="2"/>
        <v>2893</v>
      </c>
      <c r="Q94" s="758">
        <f t="shared" si="3"/>
        <v>241.08333333333334</v>
      </c>
      <c r="R94" s="4"/>
      <c r="T94" s="6" t="s">
        <v>854</v>
      </c>
      <c r="U94">
        <v>1405</v>
      </c>
      <c r="V94" s="4">
        <v>117.08333333333333</v>
      </c>
    </row>
    <row r="95" spans="1:22">
      <c r="A95" s="770" t="s">
        <v>737</v>
      </c>
      <c r="B95" s="769" t="s">
        <v>909</v>
      </c>
      <c r="C95" s="769">
        <v>550</v>
      </c>
      <c r="D95" s="769">
        <v>1100</v>
      </c>
      <c r="E95" s="769">
        <v>400</v>
      </c>
      <c r="F95" s="769">
        <v>500</v>
      </c>
      <c r="G95" s="769">
        <v>460</v>
      </c>
      <c r="H95" s="769">
        <v>832</v>
      </c>
      <c r="I95" s="769">
        <v>790</v>
      </c>
      <c r="J95" s="769"/>
      <c r="K95" s="769">
        <v>210</v>
      </c>
      <c r="L95" s="769">
        <v>570</v>
      </c>
      <c r="M95" s="769">
        <v>350</v>
      </c>
      <c r="N95" s="769">
        <v>350</v>
      </c>
      <c r="O95" s="769">
        <v>860</v>
      </c>
      <c r="P95" s="769">
        <f t="shared" si="2"/>
        <v>6972</v>
      </c>
      <c r="Q95" s="758">
        <f t="shared" si="3"/>
        <v>581</v>
      </c>
      <c r="R95" s="4"/>
      <c r="T95" s="6" t="s">
        <v>855</v>
      </c>
      <c r="U95">
        <v>1353</v>
      </c>
      <c r="V95" s="4">
        <v>112.75</v>
      </c>
    </row>
    <row r="96" spans="1:22">
      <c r="A96" s="770" t="s">
        <v>737</v>
      </c>
      <c r="B96" s="769" t="s">
        <v>908</v>
      </c>
      <c r="C96" s="769">
        <v>241</v>
      </c>
      <c r="D96" s="769">
        <v>200</v>
      </c>
      <c r="E96" s="769">
        <v>250</v>
      </c>
      <c r="F96" s="769">
        <v>286</v>
      </c>
      <c r="G96" s="769">
        <v>250</v>
      </c>
      <c r="H96" s="769">
        <v>350</v>
      </c>
      <c r="I96" s="769">
        <v>400</v>
      </c>
      <c r="J96" s="769"/>
      <c r="K96" s="769">
        <v>680</v>
      </c>
      <c r="L96" s="769">
        <v>250</v>
      </c>
      <c r="M96" s="769">
        <v>200</v>
      </c>
      <c r="N96" s="769">
        <v>150</v>
      </c>
      <c r="O96" s="769">
        <v>300</v>
      </c>
      <c r="P96" s="769">
        <f t="shared" si="2"/>
        <v>3557</v>
      </c>
      <c r="Q96" s="758">
        <f t="shared" si="3"/>
        <v>296.41666666666669</v>
      </c>
      <c r="R96" s="4"/>
      <c r="T96" s="6" t="s">
        <v>794</v>
      </c>
      <c r="U96">
        <v>1245</v>
      </c>
      <c r="V96" s="4">
        <v>103.75</v>
      </c>
    </row>
    <row r="97" spans="1:22">
      <c r="A97" s="770" t="s">
        <v>737</v>
      </c>
      <c r="B97" s="769" t="s">
        <v>903</v>
      </c>
      <c r="C97" s="769"/>
      <c r="D97" s="769">
        <v>450</v>
      </c>
      <c r="E97" s="769">
        <v>1588</v>
      </c>
      <c r="F97" s="769">
        <v>1540</v>
      </c>
      <c r="G97" s="769">
        <v>1755</v>
      </c>
      <c r="H97" s="769"/>
      <c r="I97" s="769"/>
      <c r="J97" s="769"/>
      <c r="K97" s="769">
        <v>2734</v>
      </c>
      <c r="L97" s="769"/>
      <c r="M97" s="769">
        <v>1870</v>
      </c>
      <c r="N97" s="769">
        <v>500</v>
      </c>
      <c r="O97" s="769">
        <v>200</v>
      </c>
      <c r="P97" s="769">
        <f t="shared" si="2"/>
        <v>10637</v>
      </c>
      <c r="Q97" s="758">
        <f t="shared" si="3"/>
        <v>886.41666666666663</v>
      </c>
      <c r="R97" s="4"/>
      <c r="T97" s="6" t="s">
        <v>861</v>
      </c>
      <c r="U97">
        <v>1193</v>
      </c>
      <c r="V97" s="4">
        <v>99.416666666666671</v>
      </c>
    </row>
    <row r="98" spans="1:22">
      <c r="A98" s="770" t="s">
        <v>737</v>
      </c>
      <c r="B98" s="769" t="s">
        <v>898</v>
      </c>
      <c r="C98" s="769"/>
      <c r="D98" s="769">
        <v>150</v>
      </c>
      <c r="E98" s="769">
        <v>50</v>
      </c>
      <c r="F98" s="769">
        <v>50</v>
      </c>
      <c r="G98" s="769">
        <v>200</v>
      </c>
      <c r="H98" s="769">
        <v>200</v>
      </c>
      <c r="I98" s="769">
        <v>100</v>
      </c>
      <c r="J98" s="769"/>
      <c r="K98" s="769">
        <v>100</v>
      </c>
      <c r="L98" s="769">
        <v>153</v>
      </c>
      <c r="M98" s="769">
        <v>150</v>
      </c>
      <c r="N98" s="769">
        <v>200</v>
      </c>
      <c r="O98" s="769">
        <v>100</v>
      </c>
      <c r="P98" s="769">
        <f t="shared" si="2"/>
        <v>1453</v>
      </c>
      <c r="Q98" s="758">
        <f t="shared" si="3"/>
        <v>121.08333333333333</v>
      </c>
      <c r="R98" s="4"/>
      <c r="T98" s="6" t="s">
        <v>795</v>
      </c>
      <c r="U98">
        <v>1153</v>
      </c>
      <c r="V98" s="4">
        <v>96.083333333333329</v>
      </c>
    </row>
    <row r="99" spans="1:22">
      <c r="A99" s="761" t="s">
        <v>777</v>
      </c>
      <c r="B99" s="769" t="s">
        <v>905</v>
      </c>
      <c r="C99" s="769">
        <v>900</v>
      </c>
      <c r="D99" s="769">
        <v>1000</v>
      </c>
      <c r="E99" s="769">
        <v>1200</v>
      </c>
      <c r="F99" s="769">
        <v>1100</v>
      </c>
      <c r="G99" s="769">
        <v>1053</v>
      </c>
      <c r="H99" s="769">
        <v>1372</v>
      </c>
      <c r="I99" s="769">
        <v>950</v>
      </c>
      <c r="J99" s="769"/>
      <c r="K99" s="769">
        <v>1500</v>
      </c>
      <c r="L99" s="769">
        <v>1563</v>
      </c>
      <c r="M99" s="769">
        <v>800</v>
      </c>
      <c r="N99" s="769">
        <v>750</v>
      </c>
      <c r="O99" s="769">
        <v>1452</v>
      </c>
      <c r="P99" s="769">
        <f t="shared" si="2"/>
        <v>13640</v>
      </c>
      <c r="Q99" s="758">
        <f t="shared" si="3"/>
        <v>1136.6666666666667</v>
      </c>
      <c r="R99" s="4"/>
      <c r="T99" s="6" t="s">
        <v>835</v>
      </c>
      <c r="U99">
        <v>1008</v>
      </c>
      <c r="V99" s="4">
        <v>84</v>
      </c>
    </row>
    <row r="100" spans="1:22">
      <c r="A100" s="770" t="s">
        <v>777</v>
      </c>
      <c r="B100" s="769" t="s">
        <v>906</v>
      </c>
      <c r="C100" s="769"/>
      <c r="D100" s="769">
        <v>946</v>
      </c>
      <c r="E100" s="769">
        <v>468</v>
      </c>
      <c r="F100" s="769">
        <v>647</v>
      </c>
      <c r="G100" s="769">
        <v>388</v>
      </c>
      <c r="H100" s="769">
        <v>368</v>
      </c>
      <c r="I100" s="769">
        <v>501</v>
      </c>
      <c r="J100" s="769"/>
      <c r="K100" s="769"/>
      <c r="L100" s="769"/>
      <c r="M100" s="769">
        <v>530</v>
      </c>
      <c r="N100" s="769">
        <v>100</v>
      </c>
      <c r="O100" s="769">
        <v>1242</v>
      </c>
      <c r="P100" s="769">
        <f t="shared" si="2"/>
        <v>5190</v>
      </c>
      <c r="Q100" s="758">
        <f t="shared" si="3"/>
        <v>432.5</v>
      </c>
      <c r="R100" s="4"/>
      <c r="T100" s="6" t="s">
        <v>804</v>
      </c>
      <c r="U100">
        <v>980</v>
      </c>
      <c r="V100" s="4">
        <v>81.666666666666671</v>
      </c>
    </row>
    <row r="101" spans="1:22">
      <c r="A101" s="770" t="s">
        <v>777</v>
      </c>
      <c r="B101" s="769" t="s">
        <v>898</v>
      </c>
      <c r="C101" s="769"/>
      <c r="D101" s="769"/>
      <c r="E101" s="769">
        <v>200</v>
      </c>
      <c r="F101" s="769"/>
      <c r="G101" s="769"/>
      <c r="H101" s="769">
        <v>50</v>
      </c>
      <c r="I101" s="769"/>
      <c r="J101" s="769"/>
      <c r="K101" s="769">
        <v>110</v>
      </c>
      <c r="L101" s="769">
        <v>50</v>
      </c>
      <c r="M101" s="769">
        <v>300</v>
      </c>
      <c r="N101" s="769">
        <v>50</v>
      </c>
      <c r="O101" s="769">
        <v>50</v>
      </c>
      <c r="P101" s="769">
        <f t="shared" si="2"/>
        <v>810</v>
      </c>
      <c r="Q101" s="758">
        <f t="shared" si="3"/>
        <v>67.5</v>
      </c>
      <c r="R101" s="4"/>
      <c r="T101" s="6" t="s">
        <v>869</v>
      </c>
      <c r="U101">
        <v>976</v>
      </c>
      <c r="V101" s="4">
        <v>81.333333333333329</v>
      </c>
    </row>
    <row r="102" spans="1:22">
      <c r="A102" s="761" t="s">
        <v>812</v>
      </c>
      <c r="B102" s="769" t="s">
        <v>911</v>
      </c>
      <c r="C102" s="769"/>
      <c r="D102" s="769"/>
      <c r="E102" s="769"/>
      <c r="F102" s="769"/>
      <c r="G102" s="769"/>
      <c r="H102" s="769"/>
      <c r="I102" s="769"/>
      <c r="J102" s="769"/>
      <c r="K102" s="769">
        <v>1139</v>
      </c>
      <c r="L102" s="769">
        <v>493</v>
      </c>
      <c r="M102" s="769"/>
      <c r="N102" s="769"/>
      <c r="O102" s="769"/>
      <c r="P102" s="769">
        <f t="shared" si="2"/>
        <v>1632</v>
      </c>
      <c r="Q102" s="758">
        <f t="shared" si="3"/>
        <v>136</v>
      </c>
      <c r="R102" s="4"/>
      <c r="T102" s="6" t="s">
        <v>819</v>
      </c>
      <c r="U102">
        <v>954</v>
      </c>
      <c r="V102" s="4">
        <v>79.5</v>
      </c>
    </row>
    <row r="103" spans="1:22">
      <c r="A103" s="761" t="s">
        <v>781</v>
      </c>
      <c r="B103" s="769" t="s">
        <v>911</v>
      </c>
      <c r="C103" s="769">
        <v>1840</v>
      </c>
      <c r="D103" s="769">
        <v>2697</v>
      </c>
      <c r="E103" s="769">
        <v>2285</v>
      </c>
      <c r="F103" s="769">
        <v>2084</v>
      </c>
      <c r="G103" s="769">
        <v>1390</v>
      </c>
      <c r="H103" s="769">
        <v>325</v>
      </c>
      <c r="I103" s="769">
        <v>1564</v>
      </c>
      <c r="J103" s="769"/>
      <c r="K103" s="769">
        <v>1587</v>
      </c>
      <c r="L103" s="769">
        <v>1381</v>
      </c>
      <c r="M103" s="769">
        <v>1905</v>
      </c>
      <c r="N103" s="769">
        <v>1926</v>
      </c>
      <c r="O103" s="769">
        <v>1494</v>
      </c>
      <c r="P103" s="769">
        <f t="shared" si="2"/>
        <v>20478</v>
      </c>
      <c r="Q103" s="758">
        <f t="shared" si="3"/>
        <v>1706.5</v>
      </c>
      <c r="R103" s="4"/>
      <c r="T103" s="6" t="s">
        <v>850</v>
      </c>
      <c r="U103">
        <v>931</v>
      </c>
      <c r="V103" s="4">
        <v>77.583333333333329</v>
      </c>
    </row>
    <row r="104" spans="1:22">
      <c r="A104" s="761" t="s">
        <v>774</v>
      </c>
      <c r="B104" s="769" t="s">
        <v>910</v>
      </c>
      <c r="C104" s="769"/>
      <c r="D104" s="769">
        <v>310</v>
      </c>
      <c r="E104" s="769">
        <v>90</v>
      </c>
      <c r="F104" s="769">
        <v>250</v>
      </c>
      <c r="G104" s="769">
        <v>160</v>
      </c>
      <c r="H104" s="769">
        <v>450</v>
      </c>
      <c r="I104" s="769">
        <v>263</v>
      </c>
      <c r="J104" s="769"/>
      <c r="K104" s="769"/>
      <c r="L104" s="769">
        <v>450</v>
      </c>
      <c r="M104" s="769">
        <v>250</v>
      </c>
      <c r="N104" s="769">
        <v>235</v>
      </c>
      <c r="O104" s="769">
        <v>296</v>
      </c>
      <c r="P104" s="769">
        <f t="shared" si="2"/>
        <v>2754</v>
      </c>
      <c r="Q104" s="758">
        <f t="shared" si="3"/>
        <v>229.5</v>
      </c>
      <c r="R104" s="4"/>
      <c r="T104" s="6" t="s">
        <v>810</v>
      </c>
      <c r="U104">
        <v>879</v>
      </c>
      <c r="V104" s="4">
        <v>73.25</v>
      </c>
    </row>
    <row r="105" spans="1:22">
      <c r="A105" s="770" t="s">
        <v>774</v>
      </c>
      <c r="B105" s="769" t="s">
        <v>911</v>
      </c>
      <c r="C105" s="769">
        <v>620</v>
      </c>
      <c r="D105" s="769">
        <v>1773</v>
      </c>
      <c r="E105" s="769">
        <v>1710</v>
      </c>
      <c r="F105" s="769">
        <v>1175</v>
      </c>
      <c r="G105" s="769">
        <v>1083</v>
      </c>
      <c r="H105" s="769">
        <v>3198</v>
      </c>
      <c r="I105" s="769">
        <v>2396</v>
      </c>
      <c r="J105" s="769"/>
      <c r="K105" s="769">
        <v>748</v>
      </c>
      <c r="L105" s="769">
        <v>1958</v>
      </c>
      <c r="M105" s="769">
        <v>1602</v>
      </c>
      <c r="N105" s="769">
        <v>1261</v>
      </c>
      <c r="O105" s="769">
        <v>1005</v>
      </c>
      <c r="P105" s="769">
        <f t="shared" si="2"/>
        <v>18529</v>
      </c>
      <c r="Q105" s="758">
        <f t="shared" si="3"/>
        <v>1544.0833333333333</v>
      </c>
      <c r="R105" s="4"/>
      <c r="T105" s="6" t="s">
        <v>825</v>
      </c>
      <c r="U105">
        <v>868</v>
      </c>
      <c r="V105" s="4">
        <v>72.333333333333329</v>
      </c>
    </row>
    <row r="106" spans="1:22">
      <c r="A106" s="770" t="s">
        <v>774</v>
      </c>
      <c r="B106" s="769" t="s">
        <v>898</v>
      </c>
      <c r="C106" s="769"/>
      <c r="D106" s="769">
        <v>170</v>
      </c>
      <c r="E106" s="769">
        <v>53</v>
      </c>
      <c r="F106" s="769">
        <v>200</v>
      </c>
      <c r="G106" s="769">
        <v>300</v>
      </c>
      <c r="H106" s="769">
        <v>100</v>
      </c>
      <c r="I106" s="769">
        <v>100</v>
      </c>
      <c r="J106" s="769"/>
      <c r="K106" s="769">
        <v>400</v>
      </c>
      <c r="L106" s="769">
        <v>280</v>
      </c>
      <c r="M106" s="769">
        <v>250</v>
      </c>
      <c r="N106" s="769">
        <v>300</v>
      </c>
      <c r="O106" s="769">
        <v>100</v>
      </c>
      <c r="P106" s="769">
        <f t="shared" si="2"/>
        <v>2253</v>
      </c>
      <c r="Q106" s="758">
        <f t="shared" si="3"/>
        <v>187.75</v>
      </c>
      <c r="R106" s="4"/>
      <c r="T106" s="6" t="s">
        <v>827</v>
      </c>
      <c r="U106">
        <v>854</v>
      </c>
      <c r="V106" s="4">
        <v>71.166666666666671</v>
      </c>
    </row>
    <row r="107" spans="1:22">
      <c r="A107" s="761" t="s">
        <v>775</v>
      </c>
      <c r="B107" s="769" t="s">
        <v>912</v>
      </c>
      <c r="C107" s="769"/>
      <c r="D107" s="769"/>
      <c r="E107" s="769"/>
      <c r="F107" s="769">
        <v>30</v>
      </c>
      <c r="G107" s="769"/>
      <c r="H107" s="769"/>
      <c r="I107" s="769"/>
      <c r="J107" s="769"/>
      <c r="K107" s="769"/>
      <c r="L107" s="769"/>
      <c r="M107" s="769"/>
      <c r="N107" s="769"/>
      <c r="O107" s="769"/>
      <c r="P107" s="769">
        <f t="shared" si="2"/>
        <v>30</v>
      </c>
      <c r="Q107" s="758">
        <f t="shared" si="3"/>
        <v>2.5</v>
      </c>
      <c r="R107" s="4"/>
      <c r="T107" s="6" t="s">
        <v>828</v>
      </c>
      <c r="U107">
        <v>850</v>
      </c>
      <c r="V107" s="4">
        <v>70.833333333333329</v>
      </c>
    </row>
    <row r="108" spans="1:22">
      <c r="A108" s="770" t="s">
        <v>775</v>
      </c>
      <c r="B108" s="769" t="s">
        <v>910</v>
      </c>
      <c r="C108" s="769">
        <v>1523</v>
      </c>
      <c r="D108" s="769">
        <v>2025</v>
      </c>
      <c r="E108" s="769">
        <v>1988</v>
      </c>
      <c r="F108" s="769">
        <v>1843</v>
      </c>
      <c r="G108" s="769">
        <v>2284</v>
      </c>
      <c r="H108" s="769">
        <v>1521</v>
      </c>
      <c r="I108" s="769">
        <v>1466</v>
      </c>
      <c r="J108" s="769"/>
      <c r="K108" s="769">
        <v>2303</v>
      </c>
      <c r="L108" s="769">
        <v>2547</v>
      </c>
      <c r="M108" s="769">
        <v>1487</v>
      </c>
      <c r="N108" s="769">
        <v>1265</v>
      </c>
      <c r="O108" s="769">
        <v>1995</v>
      </c>
      <c r="P108" s="769">
        <f t="shared" si="2"/>
        <v>22247</v>
      </c>
      <c r="Q108" s="758">
        <f t="shared" si="3"/>
        <v>1853.9166666666667</v>
      </c>
      <c r="R108" s="4"/>
      <c r="T108" s="6" t="s">
        <v>813</v>
      </c>
      <c r="U108">
        <v>800</v>
      </c>
      <c r="V108" s="4">
        <v>66.666666666666671</v>
      </c>
    </row>
    <row r="109" spans="1:22">
      <c r="A109" s="761" t="s">
        <v>782</v>
      </c>
      <c r="B109" s="769" t="s">
        <v>904</v>
      </c>
      <c r="C109" s="769">
        <v>4068</v>
      </c>
      <c r="D109" s="769">
        <v>1300</v>
      </c>
      <c r="E109" s="769">
        <v>2107</v>
      </c>
      <c r="F109" s="769">
        <v>1192</v>
      </c>
      <c r="G109" s="769">
        <v>1090</v>
      </c>
      <c r="H109" s="769">
        <v>1414</v>
      </c>
      <c r="I109" s="769">
        <v>2398</v>
      </c>
      <c r="J109" s="769"/>
      <c r="K109" s="769">
        <v>1440</v>
      </c>
      <c r="L109" s="769">
        <v>2540</v>
      </c>
      <c r="M109" s="769">
        <v>1175</v>
      </c>
      <c r="N109" s="769">
        <v>600</v>
      </c>
      <c r="O109" s="769">
        <v>1030</v>
      </c>
      <c r="P109" s="769">
        <f t="shared" si="2"/>
        <v>20354</v>
      </c>
      <c r="Q109" s="758">
        <f t="shared" si="3"/>
        <v>1696.1666666666667</v>
      </c>
      <c r="R109" s="4"/>
      <c r="T109" s="6" t="s">
        <v>870</v>
      </c>
      <c r="U109">
        <v>780</v>
      </c>
      <c r="V109" s="4">
        <v>65</v>
      </c>
    </row>
    <row r="110" spans="1:22">
      <c r="A110" s="761" t="s">
        <v>856</v>
      </c>
      <c r="B110" s="769" t="s">
        <v>901</v>
      </c>
      <c r="C110" s="769"/>
      <c r="D110" s="769">
        <v>90</v>
      </c>
      <c r="E110" s="769"/>
      <c r="F110" s="769"/>
      <c r="G110" s="769">
        <v>106</v>
      </c>
      <c r="H110" s="769"/>
      <c r="I110" s="769"/>
      <c r="J110" s="769"/>
      <c r="K110" s="769"/>
      <c r="L110" s="769"/>
      <c r="M110" s="769">
        <v>200</v>
      </c>
      <c r="N110" s="769">
        <v>253</v>
      </c>
      <c r="O110" s="769"/>
      <c r="P110" s="769">
        <f t="shared" si="2"/>
        <v>649</v>
      </c>
      <c r="Q110" s="758">
        <f t="shared" si="3"/>
        <v>54.083333333333336</v>
      </c>
      <c r="R110" s="4"/>
      <c r="T110" s="6" t="s">
        <v>856</v>
      </c>
      <c r="U110">
        <v>649</v>
      </c>
      <c r="V110" s="4">
        <v>54.083333333333336</v>
      </c>
    </row>
    <row r="111" spans="1:22">
      <c r="A111" s="761" t="s">
        <v>776</v>
      </c>
      <c r="B111" s="769" t="s">
        <v>910</v>
      </c>
      <c r="C111" s="769">
        <v>1308</v>
      </c>
      <c r="D111" s="769">
        <v>1106</v>
      </c>
      <c r="E111" s="769">
        <v>2196</v>
      </c>
      <c r="F111" s="769">
        <v>2636</v>
      </c>
      <c r="G111" s="769">
        <v>2573</v>
      </c>
      <c r="H111" s="769">
        <v>1550</v>
      </c>
      <c r="I111" s="769">
        <v>1810</v>
      </c>
      <c r="J111" s="769"/>
      <c r="K111" s="769">
        <v>2250</v>
      </c>
      <c r="L111" s="769">
        <v>2121</v>
      </c>
      <c r="M111" s="769">
        <v>1568</v>
      </c>
      <c r="N111" s="769">
        <v>1219</v>
      </c>
      <c r="O111" s="769">
        <v>1759</v>
      </c>
      <c r="P111" s="769">
        <f t="shared" si="2"/>
        <v>22096</v>
      </c>
      <c r="Q111" s="758">
        <f t="shared" si="3"/>
        <v>1841.3333333333333</v>
      </c>
      <c r="R111" s="4"/>
      <c r="T111" s="6" t="s">
        <v>847</v>
      </c>
      <c r="U111">
        <v>639</v>
      </c>
      <c r="V111" s="4">
        <v>53.25</v>
      </c>
    </row>
    <row r="112" spans="1:22">
      <c r="A112" s="761" t="s">
        <v>805</v>
      </c>
      <c r="B112" s="769" t="s">
        <v>910</v>
      </c>
      <c r="C112" s="769">
        <v>795</v>
      </c>
      <c r="D112" s="769">
        <v>564</v>
      </c>
      <c r="E112" s="769">
        <v>870</v>
      </c>
      <c r="F112" s="769">
        <v>1329</v>
      </c>
      <c r="G112" s="769">
        <v>1117</v>
      </c>
      <c r="H112" s="769">
        <v>1380</v>
      </c>
      <c r="I112" s="769">
        <v>1024</v>
      </c>
      <c r="J112" s="769"/>
      <c r="K112" s="769">
        <v>922</v>
      </c>
      <c r="L112" s="769">
        <v>1145</v>
      </c>
      <c r="M112" s="769">
        <v>868</v>
      </c>
      <c r="N112" s="769">
        <v>730</v>
      </c>
      <c r="O112" s="769">
        <v>660</v>
      </c>
      <c r="P112" s="769">
        <f t="shared" si="2"/>
        <v>11404</v>
      </c>
      <c r="Q112" s="758">
        <f t="shared" si="3"/>
        <v>950.33333333333337</v>
      </c>
      <c r="R112" s="4"/>
      <c r="T112" s="6" t="s">
        <v>836</v>
      </c>
      <c r="U112">
        <v>630</v>
      </c>
      <c r="V112" s="4">
        <v>52.5</v>
      </c>
    </row>
    <row r="113" spans="1:22">
      <c r="A113" s="761" t="s">
        <v>745</v>
      </c>
      <c r="B113" s="769" t="s">
        <v>912</v>
      </c>
      <c r="C113" s="769"/>
      <c r="D113" s="769"/>
      <c r="E113" s="769"/>
      <c r="F113" s="769">
        <v>30</v>
      </c>
      <c r="G113" s="769"/>
      <c r="H113" s="769"/>
      <c r="I113" s="769"/>
      <c r="J113" s="769"/>
      <c r="K113" s="769"/>
      <c r="L113" s="769"/>
      <c r="M113" s="769"/>
      <c r="N113" s="769"/>
      <c r="O113" s="769"/>
      <c r="P113" s="769">
        <f t="shared" si="2"/>
        <v>30</v>
      </c>
      <c r="Q113" s="758">
        <f t="shared" si="3"/>
        <v>2.5</v>
      </c>
      <c r="R113" s="4"/>
      <c r="T113" s="6" t="s">
        <v>839</v>
      </c>
      <c r="U113">
        <v>600</v>
      </c>
      <c r="V113" s="4">
        <v>50</v>
      </c>
    </row>
    <row r="114" spans="1:22">
      <c r="A114" s="770" t="s">
        <v>745</v>
      </c>
      <c r="B114" s="769" t="s">
        <v>900</v>
      </c>
      <c r="C114" s="769">
        <v>775</v>
      </c>
      <c r="D114" s="769">
        <v>2124</v>
      </c>
      <c r="E114" s="769">
        <v>1025</v>
      </c>
      <c r="F114" s="769">
        <v>2004</v>
      </c>
      <c r="G114" s="769">
        <v>799</v>
      </c>
      <c r="H114" s="769">
        <v>2452</v>
      </c>
      <c r="I114" s="769">
        <v>1058</v>
      </c>
      <c r="J114" s="769"/>
      <c r="K114" s="769">
        <v>785</v>
      </c>
      <c r="L114" s="769">
        <v>1935</v>
      </c>
      <c r="M114" s="769">
        <v>1456</v>
      </c>
      <c r="N114" s="769">
        <v>2006</v>
      </c>
      <c r="O114" s="769">
        <v>1739</v>
      </c>
      <c r="P114" s="769">
        <f t="shared" si="2"/>
        <v>18158</v>
      </c>
      <c r="Q114" s="758">
        <f t="shared" si="3"/>
        <v>1513.1666666666667</v>
      </c>
      <c r="R114" s="4"/>
      <c r="T114" s="6" t="s">
        <v>818</v>
      </c>
      <c r="U114">
        <v>590</v>
      </c>
      <c r="V114" s="4">
        <v>49.166666666666664</v>
      </c>
    </row>
    <row r="115" spans="1:22">
      <c r="A115" s="770" t="s">
        <v>745</v>
      </c>
      <c r="B115" s="769" t="s">
        <v>911</v>
      </c>
      <c r="C115" s="769">
        <v>200</v>
      </c>
      <c r="D115" s="769">
        <v>300</v>
      </c>
      <c r="E115" s="769">
        <v>403</v>
      </c>
      <c r="F115" s="769">
        <v>300</v>
      </c>
      <c r="G115" s="769">
        <v>300</v>
      </c>
      <c r="H115" s="769"/>
      <c r="I115" s="769">
        <v>453</v>
      </c>
      <c r="J115" s="769"/>
      <c r="K115" s="769">
        <v>400</v>
      </c>
      <c r="L115" s="769">
        <v>380</v>
      </c>
      <c r="M115" s="769">
        <v>310</v>
      </c>
      <c r="N115" s="769">
        <v>390</v>
      </c>
      <c r="O115" s="769">
        <v>120</v>
      </c>
      <c r="P115" s="769">
        <f t="shared" si="2"/>
        <v>3556</v>
      </c>
      <c r="Q115" s="758">
        <f t="shared" si="3"/>
        <v>296.33333333333331</v>
      </c>
      <c r="R115" s="4"/>
      <c r="T115" s="6" t="s">
        <v>873</v>
      </c>
      <c r="U115">
        <v>527</v>
      </c>
      <c r="V115" s="4">
        <v>43.916666666666664</v>
      </c>
    </row>
    <row r="116" spans="1:22">
      <c r="A116" s="770" t="s">
        <v>745</v>
      </c>
      <c r="B116" s="769" t="s">
        <v>909</v>
      </c>
      <c r="C116" s="769">
        <v>100</v>
      </c>
      <c r="D116" s="769"/>
      <c r="E116" s="769">
        <v>50</v>
      </c>
      <c r="F116" s="769"/>
      <c r="G116" s="769">
        <v>100</v>
      </c>
      <c r="H116" s="769"/>
      <c r="I116" s="769">
        <v>100</v>
      </c>
      <c r="J116" s="769"/>
      <c r="K116" s="769"/>
      <c r="L116" s="769"/>
      <c r="M116" s="769">
        <v>100</v>
      </c>
      <c r="N116" s="769">
        <v>50</v>
      </c>
      <c r="O116" s="769">
        <v>50</v>
      </c>
      <c r="P116" s="769">
        <f t="shared" si="2"/>
        <v>550</v>
      </c>
      <c r="Q116" s="758">
        <f t="shared" si="3"/>
        <v>45.833333333333336</v>
      </c>
      <c r="R116" s="4"/>
      <c r="T116" s="6" t="s">
        <v>851</v>
      </c>
      <c r="U116">
        <v>520</v>
      </c>
      <c r="V116" s="4">
        <v>43.333333333333329</v>
      </c>
    </row>
    <row r="117" spans="1:22">
      <c r="A117" s="770" t="s">
        <v>745</v>
      </c>
      <c r="B117" s="769" t="s">
        <v>901</v>
      </c>
      <c r="C117" s="769">
        <v>300</v>
      </c>
      <c r="D117" s="769">
        <v>760</v>
      </c>
      <c r="E117" s="769">
        <v>300</v>
      </c>
      <c r="F117" s="769">
        <v>252</v>
      </c>
      <c r="G117" s="769">
        <v>952</v>
      </c>
      <c r="H117" s="769">
        <v>1263</v>
      </c>
      <c r="I117" s="769">
        <v>960</v>
      </c>
      <c r="J117" s="769"/>
      <c r="K117" s="769">
        <v>360</v>
      </c>
      <c r="L117" s="769">
        <v>1150</v>
      </c>
      <c r="M117" s="769">
        <v>400</v>
      </c>
      <c r="N117" s="769">
        <v>1405</v>
      </c>
      <c r="O117" s="769">
        <v>400</v>
      </c>
      <c r="P117" s="769">
        <f t="shared" si="2"/>
        <v>8502</v>
      </c>
      <c r="Q117" s="758">
        <f t="shared" si="3"/>
        <v>708.5</v>
      </c>
      <c r="R117" s="4"/>
      <c r="T117" s="6" t="s">
        <v>857</v>
      </c>
      <c r="U117">
        <v>454</v>
      </c>
      <c r="V117" s="4">
        <v>37.833333333333336</v>
      </c>
    </row>
    <row r="118" spans="1:22">
      <c r="A118" s="770" t="s">
        <v>745</v>
      </c>
      <c r="B118" s="769" t="s">
        <v>904</v>
      </c>
      <c r="C118" s="769">
        <v>795</v>
      </c>
      <c r="D118" s="769"/>
      <c r="E118" s="769">
        <v>950</v>
      </c>
      <c r="F118" s="769"/>
      <c r="G118" s="769"/>
      <c r="H118" s="769"/>
      <c r="I118" s="769"/>
      <c r="J118" s="769"/>
      <c r="K118" s="769">
        <v>550</v>
      </c>
      <c r="L118" s="769"/>
      <c r="M118" s="769"/>
      <c r="N118" s="769"/>
      <c r="O118" s="769">
        <v>275</v>
      </c>
      <c r="P118" s="769">
        <f t="shared" si="2"/>
        <v>2570</v>
      </c>
      <c r="Q118" s="758">
        <f t="shared" si="3"/>
        <v>214.16666666666666</v>
      </c>
      <c r="R118" s="4"/>
      <c r="T118" s="6" t="s">
        <v>826</v>
      </c>
      <c r="U118">
        <v>428</v>
      </c>
      <c r="V118" s="4">
        <v>35.666666666666664</v>
      </c>
    </row>
    <row r="119" spans="1:22">
      <c r="A119" s="770" t="s">
        <v>745</v>
      </c>
      <c r="B119" s="769" t="s">
        <v>903</v>
      </c>
      <c r="C119" s="769"/>
      <c r="D119" s="769">
        <v>1257</v>
      </c>
      <c r="E119" s="769">
        <v>1250</v>
      </c>
      <c r="F119" s="769">
        <v>1100</v>
      </c>
      <c r="G119" s="769">
        <v>3314</v>
      </c>
      <c r="H119" s="769">
        <v>730</v>
      </c>
      <c r="I119" s="769"/>
      <c r="J119" s="769"/>
      <c r="K119" s="769">
        <v>2918</v>
      </c>
      <c r="L119" s="769"/>
      <c r="M119" s="769">
        <v>1160</v>
      </c>
      <c r="N119" s="769">
        <v>1524</v>
      </c>
      <c r="O119" s="769">
        <v>644</v>
      </c>
      <c r="P119" s="769">
        <f t="shared" si="2"/>
        <v>13897</v>
      </c>
      <c r="Q119" s="758">
        <f t="shared" si="3"/>
        <v>1158.0833333333333</v>
      </c>
      <c r="R119" s="4"/>
      <c r="T119" s="6" t="s">
        <v>852</v>
      </c>
      <c r="U119">
        <v>412</v>
      </c>
      <c r="V119" s="4">
        <v>34.333333333333336</v>
      </c>
    </row>
    <row r="120" spans="1:22">
      <c r="A120" s="761" t="s">
        <v>773</v>
      </c>
      <c r="B120" s="769" t="s">
        <v>901</v>
      </c>
      <c r="C120" s="769">
        <v>968</v>
      </c>
      <c r="D120" s="769">
        <v>694</v>
      </c>
      <c r="E120" s="769">
        <v>200</v>
      </c>
      <c r="F120" s="769">
        <v>348</v>
      </c>
      <c r="G120" s="769">
        <v>598</v>
      </c>
      <c r="H120" s="769">
        <v>1399</v>
      </c>
      <c r="I120" s="769">
        <v>898</v>
      </c>
      <c r="J120" s="769"/>
      <c r="K120" s="769"/>
      <c r="L120" s="769">
        <v>756</v>
      </c>
      <c r="M120" s="769">
        <v>545</v>
      </c>
      <c r="N120" s="769">
        <v>928</v>
      </c>
      <c r="O120" s="769">
        <v>454</v>
      </c>
      <c r="P120" s="769">
        <f t="shared" si="2"/>
        <v>7788</v>
      </c>
      <c r="Q120" s="758">
        <f t="shared" si="3"/>
        <v>649</v>
      </c>
      <c r="R120" s="4"/>
      <c r="T120" s="6" t="s">
        <v>829</v>
      </c>
      <c r="U120">
        <v>411</v>
      </c>
      <c r="V120" s="4">
        <v>34.25</v>
      </c>
    </row>
    <row r="121" spans="1:22">
      <c r="A121" s="770" t="s">
        <v>773</v>
      </c>
      <c r="B121" s="769" t="s">
        <v>903</v>
      </c>
      <c r="C121" s="769"/>
      <c r="D121" s="769"/>
      <c r="E121" s="769">
        <v>1171</v>
      </c>
      <c r="F121" s="769">
        <v>895</v>
      </c>
      <c r="G121" s="769">
        <v>3075</v>
      </c>
      <c r="H121" s="769"/>
      <c r="I121" s="769"/>
      <c r="J121" s="769"/>
      <c r="K121" s="769">
        <v>1708</v>
      </c>
      <c r="L121" s="769"/>
      <c r="M121" s="769">
        <v>708</v>
      </c>
      <c r="N121" s="769">
        <v>419</v>
      </c>
      <c r="O121" s="769"/>
      <c r="P121" s="769">
        <f t="shared" si="2"/>
        <v>7976</v>
      </c>
      <c r="Q121" s="758">
        <f t="shared" si="3"/>
        <v>664.66666666666663</v>
      </c>
      <c r="R121" s="4"/>
      <c r="T121" s="6" t="s">
        <v>831</v>
      </c>
      <c r="U121">
        <v>395</v>
      </c>
      <c r="V121" s="4">
        <v>32.916666666666664</v>
      </c>
    </row>
    <row r="122" spans="1:22">
      <c r="A122" s="761" t="s">
        <v>845</v>
      </c>
      <c r="B122" s="769" t="s">
        <v>910</v>
      </c>
      <c r="C122" s="769"/>
      <c r="D122" s="769">
        <v>309</v>
      </c>
      <c r="E122" s="769">
        <v>181</v>
      </c>
      <c r="F122" s="769">
        <v>255</v>
      </c>
      <c r="G122" s="769">
        <v>347</v>
      </c>
      <c r="H122" s="769">
        <v>35</v>
      </c>
      <c r="I122" s="769">
        <v>295</v>
      </c>
      <c r="J122" s="769"/>
      <c r="K122" s="769">
        <v>406</v>
      </c>
      <c r="L122" s="769"/>
      <c r="M122" s="769">
        <v>51</v>
      </c>
      <c r="N122" s="769">
        <v>331</v>
      </c>
      <c r="O122" s="769">
        <v>280</v>
      </c>
      <c r="P122" s="769">
        <f t="shared" si="2"/>
        <v>2490</v>
      </c>
      <c r="Q122" s="758">
        <f t="shared" si="3"/>
        <v>207.5</v>
      </c>
      <c r="R122" s="4"/>
      <c r="T122" s="6" t="s">
        <v>833</v>
      </c>
      <c r="U122">
        <v>380</v>
      </c>
      <c r="V122" s="4">
        <v>31.666666666666668</v>
      </c>
    </row>
    <row r="123" spans="1:22">
      <c r="A123" s="761" t="s">
        <v>760</v>
      </c>
      <c r="B123" s="769" t="s">
        <v>904</v>
      </c>
      <c r="C123" s="769">
        <v>4002</v>
      </c>
      <c r="D123" s="769">
        <v>1900</v>
      </c>
      <c r="E123" s="769">
        <v>3415</v>
      </c>
      <c r="F123" s="769">
        <v>1680</v>
      </c>
      <c r="G123" s="769">
        <v>2300</v>
      </c>
      <c r="H123" s="769">
        <v>1926</v>
      </c>
      <c r="I123" s="769">
        <v>4199</v>
      </c>
      <c r="J123" s="769"/>
      <c r="K123" s="769">
        <v>1400</v>
      </c>
      <c r="L123" s="769">
        <v>4347</v>
      </c>
      <c r="M123" s="769">
        <v>2290</v>
      </c>
      <c r="N123" s="769">
        <v>600</v>
      </c>
      <c r="O123" s="769">
        <v>2017</v>
      </c>
      <c r="P123" s="769">
        <f t="shared" si="2"/>
        <v>30076</v>
      </c>
      <c r="Q123" s="758">
        <f t="shared" si="3"/>
        <v>2506.3333333333335</v>
      </c>
      <c r="R123" s="4"/>
      <c r="T123" s="6" t="s">
        <v>865</v>
      </c>
      <c r="U123">
        <v>322</v>
      </c>
      <c r="V123" s="4">
        <v>26.833333333333332</v>
      </c>
    </row>
    <row r="124" spans="1:22">
      <c r="A124" s="761" t="s">
        <v>793</v>
      </c>
      <c r="B124" s="769" t="s">
        <v>900</v>
      </c>
      <c r="C124" s="769"/>
      <c r="D124" s="769"/>
      <c r="E124" s="769"/>
      <c r="F124" s="769">
        <v>250</v>
      </c>
      <c r="G124" s="769">
        <v>140</v>
      </c>
      <c r="H124" s="769"/>
      <c r="I124" s="769"/>
      <c r="J124" s="769"/>
      <c r="K124" s="769"/>
      <c r="L124" s="769"/>
      <c r="M124" s="769"/>
      <c r="N124" s="769"/>
      <c r="O124" s="769"/>
      <c r="P124" s="769">
        <f t="shared" si="2"/>
        <v>390</v>
      </c>
      <c r="Q124" s="758">
        <f t="shared" si="3"/>
        <v>32.5</v>
      </c>
      <c r="R124" s="4"/>
      <c r="T124" s="6" t="s">
        <v>838</v>
      </c>
      <c r="U124">
        <v>300</v>
      </c>
      <c r="V124" s="4">
        <v>25</v>
      </c>
    </row>
    <row r="125" spans="1:22">
      <c r="A125" s="770" t="s">
        <v>793</v>
      </c>
      <c r="B125" s="769" t="s">
        <v>901</v>
      </c>
      <c r="C125" s="769"/>
      <c r="D125" s="769">
        <v>755</v>
      </c>
      <c r="E125" s="769">
        <v>150</v>
      </c>
      <c r="F125" s="769">
        <v>300</v>
      </c>
      <c r="G125" s="769">
        <v>464</v>
      </c>
      <c r="H125" s="769">
        <v>718</v>
      </c>
      <c r="I125" s="769">
        <v>554</v>
      </c>
      <c r="J125" s="769"/>
      <c r="K125" s="769">
        <v>101</v>
      </c>
      <c r="L125" s="769">
        <v>810</v>
      </c>
      <c r="M125" s="769">
        <v>600</v>
      </c>
      <c r="N125" s="769">
        <v>832</v>
      </c>
      <c r="O125" s="769">
        <v>615</v>
      </c>
      <c r="P125" s="769">
        <f t="shared" si="2"/>
        <v>5899</v>
      </c>
      <c r="Q125" s="758">
        <f t="shared" si="3"/>
        <v>491.58333333333331</v>
      </c>
      <c r="R125" s="4"/>
      <c r="T125" s="6" t="s">
        <v>837</v>
      </c>
      <c r="U125">
        <v>300</v>
      </c>
      <c r="V125" s="4">
        <v>25</v>
      </c>
    </row>
    <row r="126" spans="1:22">
      <c r="A126" s="770" t="s">
        <v>793</v>
      </c>
      <c r="B126" s="769" t="s">
        <v>903</v>
      </c>
      <c r="C126" s="769"/>
      <c r="D126" s="769"/>
      <c r="E126" s="769">
        <v>1226</v>
      </c>
      <c r="F126" s="769">
        <v>450</v>
      </c>
      <c r="G126" s="769">
        <v>880</v>
      </c>
      <c r="H126" s="769"/>
      <c r="I126" s="769"/>
      <c r="J126" s="769"/>
      <c r="K126" s="769">
        <v>277</v>
      </c>
      <c r="L126" s="769"/>
      <c r="M126" s="769">
        <v>200</v>
      </c>
      <c r="N126" s="769">
        <v>130</v>
      </c>
      <c r="O126" s="769"/>
      <c r="P126" s="769">
        <f t="shared" si="2"/>
        <v>3163</v>
      </c>
      <c r="Q126" s="758">
        <f t="shared" si="3"/>
        <v>263.58333333333331</v>
      </c>
      <c r="R126" s="4"/>
      <c r="T126" s="6" t="s">
        <v>840</v>
      </c>
      <c r="U126">
        <v>296</v>
      </c>
      <c r="V126" s="4">
        <v>24.666666666666668</v>
      </c>
    </row>
    <row r="127" spans="1:22">
      <c r="A127" s="761" t="s">
        <v>871</v>
      </c>
      <c r="B127" s="769" t="s">
        <v>911</v>
      </c>
      <c r="C127" s="769">
        <v>63</v>
      </c>
      <c r="D127" s="769"/>
      <c r="E127" s="769"/>
      <c r="F127" s="769"/>
      <c r="G127" s="769"/>
      <c r="H127" s="769"/>
      <c r="I127" s="769"/>
      <c r="J127" s="769"/>
      <c r="K127" s="769"/>
      <c r="L127" s="769">
        <v>100</v>
      </c>
      <c r="M127" s="769"/>
      <c r="N127" s="769"/>
      <c r="O127" s="769"/>
      <c r="P127" s="769">
        <f t="shared" si="2"/>
        <v>163</v>
      </c>
      <c r="Q127" s="758">
        <f t="shared" si="3"/>
        <v>13.583333333333334</v>
      </c>
      <c r="R127" s="4"/>
      <c r="T127" s="6" t="s">
        <v>841</v>
      </c>
      <c r="U127">
        <v>295</v>
      </c>
      <c r="V127" s="4">
        <v>24.583333333333332</v>
      </c>
    </row>
    <row r="128" spans="1:22">
      <c r="A128" s="761" t="s">
        <v>748</v>
      </c>
      <c r="B128" s="769" t="s">
        <v>905</v>
      </c>
      <c r="C128" s="769">
        <v>2290</v>
      </c>
      <c r="D128" s="769">
        <v>2850</v>
      </c>
      <c r="E128" s="769">
        <v>2700</v>
      </c>
      <c r="F128" s="769">
        <v>2830</v>
      </c>
      <c r="G128" s="769">
        <v>2750</v>
      </c>
      <c r="H128" s="769">
        <v>3495</v>
      </c>
      <c r="I128" s="769">
        <v>3360</v>
      </c>
      <c r="J128" s="769"/>
      <c r="K128" s="769">
        <v>3363</v>
      </c>
      <c r="L128" s="769">
        <v>3482</v>
      </c>
      <c r="M128" s="769">
        <v>1840</v>
      </c>
      <c r="N128" s="769">
        <v>2667</v>
      </c>
      <c r="O128" s="769">
        <v>5010</v>
      </c>
      <c r="P128" s="769">
        <f t="shared" si="2"/>
        <v>36637</v>
      </c>
      <c r="Q128" s="758">
        <f t="shared" si="3"/>
        <v>3053.0833333333335</v>
      </c>
      <c r="R128" s="4"/>
      <c r="T128" s="6" t="s">
        <v>878</v>
      </c>
      <c r="U128">
        <v>287</v>
      </c>
      <c r="V128" s="4">
        <v>23.916666666666668</v>
      </c>
    </row>
    <row r="129" spans="1:22">
      <c r="A129" s="770" t="s">
        <v>748</v>
      </c>
      <c r="B129" s="769" t="s">
        <v>908</v>
      </c>
      <c r="C129" s="769">
        <v>570</v>
      </c>
      <c r="D129" s="769">
        <v>1100</v>
      </c>
      <c r="E129" s="769">
        <v>950</v>
      </c>
      <c r="F129" s="769">
        <v>1090</v>
      </c>
      <c r="G129" s="769">
        <v>1400</v>
      </c>
      <c r="H129" s="769">
        <v>1374</v>
      </c>
      <c r="I129" s="769">
        <v>1573</v>
      </c>
      <c r="J129" s="769"/>
      <c r="K129" s="769">
        <v>926</v>
      </c>
      <c r="L129" s="769">
        <v>890</v>
      </c>
      <c r="M129" s="769">
        <v>1738</v>
      </c>
      <c r="N129" s="769">
        <v>328</v>
      </c>
      <c r="O129" s="769">
        <v>1000</v>
      </c>
      <c r="P129" s="769">
        <f t="shared" si="2"/>
        <v>12939</v>
      </c>
      <c r="Q129" s="758">
        <f t="shared" si="3"/>
        <v>1078.25</v>
      </c>
      <c r="R129" s="4"/>
      <c r="T129" s="6" t="s">
        <v>844</v>
      </c>
      <c r="U129">
        <v>250</v>
      </c>
      <c r="V129" s="4">
        <v>20.833333333333336</v>
      </c>
    </row>
    <row r="130" spans="1:22">
      <c r="A130" s="770" t="s">
        <v>748</v>
      </c>
      <c r="B130" s="769" t="s">
        <v>898</v>
      </c>
      <c r="C130" s="769"/>
      <c r="D130" s="769"/>
      <c r="E130" s="769"/>
      <c r="F130" s="769">
        <v>300</v>
      </c>
      <c r="G130" s="769"/>
      <c r="H130" s="769"/>
      <c r="I130" s="769"/>
      <c r="J130" s="769"/>
      <c r="K130" s="769"/>
      <c r="L130" s="769"/>
      <c r="M130" s="769"/>
      <c r="N130" s="769"/>
      <c r="O130" s="769"/>
      <c r="P130" s="769">
        <f t="shared" ref="P130:P193" si="4">SUM(C130:O130)</f>
        <v>300</v>
      </c>
      <c r="Q130" s="758">
        <f t="shared" si="3"/>
        <v>25</v>
      </c>
      <c r="R130" s="4"/>
      <c r="T130" s="6" t="s">
        <v>846</v>
      </c>
      <c r="U130">
        <v>242</v>
      </c>
      <c r="V130" s="4">
        <v>20.166666666666668</v>
      </c>
    </row>
    <row r="131" spans="1:22">
      <c r="A131" s="761" t="s">
        <v>808</v>
      </c>
      <c r="B131" s="769" t="s">
        <v>910</v>
      </c>
      <c r="C131" s="769">
        <v>119</v>
      </c>
      <c r="D131" s="769">
        <v>345</v>
      </c>
      <c r="E131" s="769">
        <v>264</v>
      </c>
      <c r="F131" s="769">
        <v>443</v>
      </c>
      <c r="G131" s="769">
        <v>646</v>
      </c>
      <c r="H131" s="769">
        <v>595</v>
      </c>
      <c r="I131" s="769">
        <v>384</v>
      </c>
      <c r="J131" s="769"/>
      <c r="K131" s="769">
        <v>419</v>
      </c>
      <c r="L131" s="769">
        <v>230</v>
      </c>
      <c r="M131" s="769">
        <v>390</v>
      </c>
      <c r="N131" s="769">
        <v>390</v>
      </c>
      <c r="O131" s="769">
        <v>396</v>
      </c>
      <c r="P131" s="769">
        <f t="shared" si="4"/>
        <v>4621</v>
      </c>
      <c r="Q131" s="758">
        <f t="shared" ref="Q131:Q194" si="5">P131/12</f>
        <v>385.08333333333331</v>
      </c>
      <c r="R131" s="4"/>
      <c r="T131" s="6" t="s">
        <v>871</v>
      </c>
      <c r="U131">
        <v>163</v>
      </c>
      <c r="V131" s="4">
        <v>13.583333333333334</v>
      </c>
    </row>
    <row r="132" spans="1:22">
      <c r="A132" s="770" t="s">
        <v>808</v>
      </c>
      <c r="B132" s="769" t="s">
        <v>911</v>
      </c>
      <c r="C132" s="769"/>
      <c r="D132" s="769"/>
      <c r="E132" s="769">
        <v>239</v>
      </c>
      <c r="F132" s="769">
        <v>837</v>
      </c>
      <c r="G132" s="769">
        <v>305</v>
      </c>
      <c r="H132" s="769"/>
      <c r="I132" s="769"/>
      <c r="J132" s="769"/>
      <c r="K132" s="769"/>
      <c r="L132" s="769"/>
      <c r="M132" s="769">
        <v>204</v>
      </c>
      <c r="N132" s="769">
        <v>300</v>
      </c>
      <c r="O132" s="769">
        <v>1196</v>
      </c>
      <c r="P132" s="769">
        <f t="shared" si="4"/>
        <v>3081</v>
      </c>
      <c r="Q132" s="758">
        <f t="shared" si="5"/>
        <v>256.75</v>
      </c>
      <c r="R132" s="4"/>
      <c r="T132" s="6" t="s">
        <v>872</v>
      </c>
      <c r="U132">
        <v>153</v>
      </c>
      <c r="V132" s="4">
        <v>12.75</v>
      </c>
    </row>
    <row r="133" spans="1:22">
      <c r="A133" s="761" t="s">
        <v>758</v>
      </c>
      <c r="B133" s="769" t="s">
        <v>906</v>
      </c>
      <c r="C133" s="769">
        <v>657</v>
      </c>
      <c r="D133" s="769">
        <v>3154</v>
      </c>
      <c r="E133" s="769">
        <v>2527</v>
      </c>
      <c r="F133" s="769">
        <v>3609</v>
      </c>
      <c r="G133" s="769">
        <v>2214</v>
      </c>
      <c r="H133" s="769">
        <v>2933</v>
      </c>
      <c r="I133" s="769">
        <v>3866</v>
      </c>
      <c r="J133" s="769"/>
      <c r="K133" s="769">
        <v>2687</v>
      </c>
      <c r="L133" s="769">
        <v>3131</v>
      </c>
      <c r="M133" s="769">
        <v>1084</v>
      </c>
      <c r="N133" s="769">
        <v>3344</v>
      </c>
      <c r="O133" s="769">
        <v>2173</v>
      </c>
      <c r="P133" s="769">
        <f t="shared" si="4"/>
        <v>31379</v>
      </c>
      <c r="Q133" s="758">
        <f t="shared" si="5"/>
        <v>2614.9166666666665</v>
      </c>
      <c r="R133" s="4"/>
      <c r="T133" s="6" t="s">
        <v>858</v>
      </c>
      <c r="U133">
        <v>152</v>
      </c>
      <c r="V133" s="4">
        <v>12.666666666666666</v>
      </c>
    </row>
    <row r="134" spans="1:22">
      <c r="A134" s="761" t="s">
        <v>735</v>
      </c>
      <c r="B134" s="769" t="s">
        <v>902</v>
      </c>
      <c r="C134" s="769">
        <v>100</v>
      </c>
      <c r="D134" s="769">
        <v>330</v>
      </c>
      <c r="E134" s="769">
        <v>210</v>
      </c>
      <c r="F134" s="769">
        <v>160</v>
      </c>
      <c r="G134" s="769">
        <v>300</v>
      </c>
      <c r="H134" s="769">
        <v>342</v>
      </c>
      <c r="I134" s="769">
        <v>110</v>
      </c>
      <c r="J134" s="769"/>
      <c r="K134" s="769">
        <v>220</v>
      </c>
      <c r="L134" s="769">
        <v>180</v>
      </c>
      <c r="M134" s="769">
        <v>320</v>
      </c>
      <c r="N134" s="769">
        <v>247</v>
      </c>
      <c r="O134" s="769">
        <v>310</v>
      </c>
      <c r="P134" s="769">
        <f t="shared" si="4"/>
        <v>2829</v>
      </c>
      <c r="Q134" s="758">
        <f t="shared" si="5"/>
        <v>235.75</v>
      </c>
      <c r="R134" s="4"/>
      <c r="T134" s="6" t="s">
        <v>862</v>
      </c>
      <c r="U134">
        <v>150</v>
      </c>
      <c r="V134" s="4">
        <v>12.5</v>
      </c>
    </row>
    <row r="135" spans="1:22">
      <c r="A135" s="770" t="s">
        <v>735</v>
      </c>
      <c r="B135" s="769" t="s">
        <v>905</v>
      </c>
      <c r="C135" s="769">
        <v>1393</v>
      </c>
      <c r="D135" s="769">
        <v>1312</v>
      </c>
      <c r="E135" s="769">
        <v>1254</v>
      </c>
      <c r="F135" s="769">
        <v>1100</v>
      </c>
      <c r="G135" s="769">
        <v>1356</v>
      </c>
      <c r="H135" s="769">
        <v>2310</v>
      </c>
      <c r="I135" s="769">
        <v>1080</v>
      </c>
      <c r="J135" s="769"/>
      <c r="K135" s="769">
        <v>1616</v>
      </c>
      <c r="L135" s="769">
        <v>1654</v>
      </c>
      <c r="M135" s="769">
        <v>1134</v>
      </c>
      <c r="N135" s="769">
        <v>1358</v>
      </c>
      <c r="O135" s="769">
        <v>1730</v>
      </c>
      <c r="P135" s="769">
        <f t="shared" si="4"/>
        <v>17297</v>
      </c>
      <c r="Q135" s="758">
        <f t="shared" si="5"/>
        <v>1441.4166666666667</v>
      </c>
      <c r="R135" s="4"/>
      <c r="T135" s="6" t="s">
        <v>860</v>
      </c>
      <c r="U135">
        <v>150</v>
      </c>
      <c r="V135" s="4">
        <v>12.5</v>
      </c>
    </row>
    <row r="136" spans="1:22">
      <c r="A136" s="770" t="s">
        <v>735</v>
      </c>
      <c r="B136" s="769" t="s">
        <v>906</v>
      </c>
      <c r="C136" s="769">
        <v>11081</v>
      </c>
      <c r="D136" s="769">
        <v>15942</v>
      </c>
      <c r="E136" s="769">
        <v>15773</v>
      </c>
      <c r="F136" s="769">
        <v>8636</v>
      </c>
      <c r="G136" s="769">
        <v>11506</v>
      </c>
      <c r="H136" s="769">
        <v>20459</v>
      </c>
      <c r="I136" s="769">
        <v>18008</v>
      </c>
      <c r="J136" s="769"/>
      <c r="K136" s="769">
        <v>9994</v>
      </c>
      <c r="L136" s="769">
        <v>15378</v>
      </c>
      <c r="M136" s="769">
        <v>14504</v>
      </c>
      <c r="N136" s="769">
        <v>11154</v>
      </c>
      <c r="O136" s="769">
        <v>19257</v>
      </c>
      <c r="P136" s="769">
        <f t="shared" si="4"/>
        <v>171692</v>
      </c>
      <c r="Q136" s="758">
        <f t="shared" si="5"/>
        <v>14307.666666666666</v>
      </c>
      <c r="R136" s="4"/>
      <c r="T136" s="6" t="s">
        <v>859</v>
      </c>
      <c r="U136">
        <v>150</v>
      </c>
      <c r="V136" s="4">
        <v>12.5</v>
      </c>
    </row>
    <row r="137" spans="1:22">
      <c r="A137" s="770" t="s">
        <v>735</v>
      </c>
      <c r="B137" s="769" t="s">
        <v>913</v>
      </c>
      <c r="C137" s="769">
        <v>400</v>
      </c>
      <c r="D137" s="769">
        <v>300</v>
      </c>
      <c r="E137" s="769"/>
      <c r="F137" s="769"/>
      <c r="G137" s="769"/>
      <c r="H137" s="769">
        <v>200</v>
      </c>
      <c r="I137" s="769"/>
      <c r="J137" s="769"/>
      <c r="K137" s="769"/>
      <c r="L137" s="769">
        <v>340</v>
      </c>
      <c r="M137" s="769"/>
      <c r="N137" s="769"/>
      <c r="O137" s="769"/>
      <c r="P137" s="769">
        <f t="shared" si="4"/>
        <v>1240</v>
      </c>
      <c r="Q137" s="758">
        <f t="shared" si="5"/>
        <v>103.33333333333333</v>
      </c>
      <c r="R137" s="4"/>
      <c r="T137" s="6" t="s">
        <v>864</v>
      </c>
      <c r="U137">
        <v>149</v>
      </c>
      <c r="V137" s="4">
        <v>12.416666666666666</v>
      </c>
    </row>
    <row r="138" spans="1:22">
      <c r="A138" s="770" t="s">
        <v>735</v>
      </c>
      <c r="B138" s="769" t="s">
        <v>908</v>
      </c>
      <c r="C138" s="769">
        <v>210</v>
      </c>
      <c r="D138" s="769">
        <v>442</v>
      </c>
      <c r="E138" s="769">
        <v>420</v>
      </c>
      <c r="F138" s="769">
        <v>600</v>
      </c>
      <c r="G138" s="769">
        <v>400</v>
      </c>
      <c r="H138" s="769">
        <v>570</v>
      </c>
      <c r="I138" s="769">
        <v>1641</v>
      </c>
      <c r="J138" s="769"/>
      <c r="K138" s="769">
        <v>745</v>
      </c>
      <c r="L138" s="769">
        <v>400</v>
      </c>
      <c r="M138" s="769">
        <v>650</v>
      </c>
      <c r="N138" s="769">
        <v>190</v>
      </c>
      <c r="O138" s="769">
        <v>500</v>
      </c>
      <c r="P138" s="769">
        <f t="shared" si="4"/>
        <v>6768</v>
      </c>
      <c r="Q138" s="758">
        <f t="shared" si="5"/>
        <v>564</v>
      </c>
      <c r="R138" s="4"/>
      <c r="T138" s="6" t="s">
        <v>863</v>
      </c>
      <c r="U138">
        <v>149</v>
      </c>
      <c r="V138" s="4">
        <v>12.416666666666666</v>
      </c>
    </row>
    <row r="139" spans="1:22">
      <c r="A139" s="770" t="s">
        <v>735</v>
      </c>
      <c r="B139" s="769" t="s">
        <v>903</v>
      </c>
      <c r="C139" s="769"/>
      <c r="D139" s="769"/>
      <c r="E139" s="769">
        <v>745</v>
      </c>
      <c r="F139" s="769">
        <v>210</v>
      </c>
      <c r="G139" s="769">
        <v>100</v>
      </c>
      <c r="H139" s="769"/>
      <c r="I139" s="769"/>
      <c r="J139" s="769"/>
      <c r="K139" s="769"/>
      <c r="L139" s="769"/>
      <c r="M139" s="769">
        <v>943</v>
      </c>
      <c r="N139" s="769">
        <v>300</v>
      </c>
      <c r="O139" s="769"/>
      <c r="P139" s="769">
        <f t="shared" si="4"/>
        <v>2298</v>
      </c>
      <c r="Q139" s="758">
        <f t="shared" si="5"/>
        <v>191.5</v>
      </c>
      <c r="R139" s="4"/>
      <c r="T139" s="6" t="s">
        <v>866</v>
      </c>
      <c r="U139">
        <v>120</v>
      </c>
      <c r="V139" s="4">
        <v>10</v>
      </c>
    </row>
    <row r="140" spans="1:22">
      <c r="A140" s="770" t="s">
        <v>735</v>
      </c>
      <c r="B140" s="769" t="s">
        <v>898</v>
      </c>
      <c r="C140" s="769"/>
      <c r="D140" s="769">
        <v>60</v>
      </c>
      <c r="E140" s="769">
        <v>700</v>
      </c>
      <c r="F140" s="769">
        <v>500</v>
      </c>
      <c r="G140" s="769"/>
      <c r="H140" s="769">
        <v>150</v>
      </c>
      <c r="I140" s="769">
        <v>100</v>
      </c>
      <c r="J140" s="769"/>
      <c r="K140" s="769">
        <v>600</v>
      </c>
      <c r="L140" s="769">
        <v>400</v>
      </c>
      <c r="M140" s="769">
        <v>340</v>
      </c>
      <c r="N140" s="769">
        <v>505</v>
      </c>
      <c r="O140" s="769">
        <v>300</v>
      </c>
      <c r="P140" s="769">
        <f t="shared" si="4"/>
        <v>3655</v>
      </c>
      <c r="Q140" s="758">
        <f t="shared" si="5"/>
        <v>304.58333333333331</v>
      </c>
      <c r="R140" s="4"/>
      <c r="T140" s="6" t="s">
        <v>867</v>
      </c>
      <c r="U140">
        <v>100</v>
      </c>
      <c r="V140" s="4">
        <v>8.3333333333333339</v>
      </c>
    </row>
    <row r="141" spans="1:22">
      <c r="A141" s="761" t="s">
        <v>806</v>
      </c>
      <c r="B141" s="769" t="s">
        <v>906</v>
      </c>
      <c r="C141" s="769">
        <v>350</v>
      </c>
      <c r="D141" s="769">
        <v>567</v>
      </c>
      <c r="E141" s="769">
        <v>1198</v>
      </c>
      <c r="F141" s="769">
        <v>1633</v>
      </c>
      <c r="G141" s="769">
        <v>2171</v>
      </c>
      <c r="H141" s="769"/>
      <c r="I141" s="769">
        <v>1183</v>
      </c>
      <c r="J141" s="769"/>
      <c r="K141" s="769">
        <v>705</v>
      </c>
      <c r="L141" s="769">
        <v>678</v>
      </c>
      <c r="M141" s="769">
        <v>614</v>
      </c>
      <c r="N141" s="769">
        <v>593</v>
      </c>
      <c r="O141" s="769">
        <v>580</v>
      </c>
      <c r="P141" s="769">
        <f t="shared" si="4"/>
        <v>10272</v>
      </c>
      <c r="Q141" s="758">
        <f t="shared" si="5"/>
        <v>856</v>
      </c>
      <c r="R141" s="4"/>
      <c r="T141" s="6" t="s">
        <v>868</v>
      </c>
      <c r="U141">
        <v>100</v>
      </c>
      <c r="V141" s="4">
        <v>8.3333333333333339</v>
      </c>
    </row>
    <row r="142" spans="1:22">
      <c r="A142" s="761" t="s">
        <v>873</v>
      </c>
      <c r="B142" s="769" t="s">
        <v>910</v>
      </c>
      <c r="C142" s="769"/>
      <c r="D142" s="769">
        <v>48</v>
      </c>
      <c r="E142" s="769"/>
      <c r="F142" s="769">
        <v>50</v>
      </c>
      <c r="G142" s="769">
        <v>65</v>
      </c>
      <c r="H142" s="769">
        <v>80</v>
      </c>
      <c r="I142" s="769"/>
      <c r="J142" s="769"/>
      <c r="K142" s="769">
        <v>100</v>
      </c>
      <c r="L142" s="769"/>
      <c r="M142" s="769"/>
      <c r="N142" s="769">
        <v>71</v>
      </c>
      <c r="O142" s="769">
        <v>113</v>
      </c>
      <c r="P142" s="769">
        <f t="shared" si="4"/>
        <v>527</v>
      </c>
      <c r="Q142" s="758">
        <f t="shared" si="5"/>
        <v>43.916666666666664</v>
      </c>
      <c r="R142" s="4"/>
      <c r="T142" s="6" t="s">
        <v>875</v>
      </c>
      <c r="U142">
        <v>60</v>
      </c>
      <c r="V142" s="4">
        <v>5</v>
      </c>
    </row>
    <row r="143" spans="1:22">
      <c r="A143" s="761" t="s">
        <v>802</v>
      </c>
      <c r="B143" s="769" t="s">
        <v>909</v>
      </c>
      <c r="C143" s="769">
        <v>160</v>
      </c>
      <c r="D143" s="769">
        <v>285</v>
      </c>
      <c r="E143" s="769">
        <v>150</v>
      </c>
      <c r="F143" s="769">
        <v>100</v>
      </c>
      <c r="G143" s="769">
        <v>270</v>
      </c>
      <c r="H143" s="769">
        <v>360</v>
      </c>
      <c r="I143" s="769">
        <v>360</v>
      </c>
      <c r="J143" s="769"/>
      <c r="K143" s="769">
        <v>322</v>
      </c>
      <c r="L143" s="769">
        <v>305</v>
      </c>
      <c r="M143" s="769">
        <v>320</v>
      </c>
      <c r="N143" s="769">
        <v>332</v>
      </c>
      <c r="O143" s="769">
        <v>64</v>
      </c>
      <c r="P143" s="769">
        <f t="shared" si="4"/>
        <v>3028</v>
      </c>
      <c r="Q143" s="758">
        <f t="shared" si="5"/>
        <v>252.33333333333334</v>
      </c>
      <c r="R143" s="4"/>
      <c r="T143" s="6" t="s">
        <v>874</v>
      </c>
      <c r="U143">
        <v>60</v>
      </c>
      <c r="V143" s="4">
        <v>5</v>
      </c>
    </row>
    <row r="144" spans="1:22">
      <c r="A144" s="770" t="s">
        <v>802</v>
      </c>
      <c r="B144" s="769" t="s">
        <v>901</v>
      </c>
      <c r="C144" s="769"/>
      <c r="D144" s="769">
        <v>65</v>
      </c>
      <c r="E144" s="769"/>
      <c r="F144" s="769"/>
      <c r="G144" s="769"/>
      <c r="H144" s="769"/>
      <c r="I144" s="769">
        <v>200</v>
      </c>
      <c r="J144" s="769"/>
      <c r="K144" s="769"/>
      <c r="L144" s="769"/>
      <c r="M144" s="769"/>
      <c r="N144" s="769"/>
      <c r="O144" s="769"/>
      <c r="P144" s="769">
        <f t="shared" si="4"/>
        <v>265</v>
      </c>
      <c r="Q144" s="758">
        <f t="shared" si="5"/>
        <v>22.083333333333332</v>
      </c>
      <c r="R144" s="4"/>
      <c r="T144" s="6" t="s">
        <v>876</v>
      </c>
      <c r="U144">
        <v>55</v>
      </c>
      <c r="V144" s="4">
        <v>4.583333333333333</v>
      </c>
    </row>
    <row r="145" spans="1:22">
      <c r="A145" s="770" t="s">
        <v>802</v>
      </c>
      <c r="B145" s="769" t="s">
        <v>904</v>
      </c>
      <c r="C145" s="769">
        <v>1000</v>
      </c>
      <c r="D145" s="769">
        <v>1006</v>
      </c>
      <c r="E145" s="769">
        <v>369</v>
      </c>
      <c r="F145" s="769">
        <v>500</v>
      </c>
      <c r="G145" s="769">
        <v>843</v>
      </c>
      <c r="H145" s="769"/>
      <c r="I145" s="769">
        <v>440</v>
      </c>
      <c r="J145" s="769"/>
      <c r="K145" s="769">
        <v>390</v>
      </c>
      <c r="L145" s="769">
        <v>515</v>
      </c>
      <c r="M145" s="769"/>
      <c r="N145" s="769"/>
      <c r="O145" s="769">
        <v>754</v>
      </c>
      <c r="P145" s="769">
        <f t="shared" si="4"/>
        <v>5817</v>
      </c>
      <c r="Q145" s="758">
        <f t="shared" si="5"/>
        <v>484.75</v>
      </c>
      <c r="R145" s="4"/>
      <c r="T145" s="6" t="s">
        <v>877</v>
      </c>
      <c r="U145">
        <v>53</v>
      </c>
      <c r="V145" s="4">
        <v>4.416666666666667</v>
      </c>
    </row>
    <row r="146" spans="1:22">
      <c r="A146" s="761" t="s">
        <v>821</v>
      </c>
      <c r="B146" s="769" t="s">
        <v>901</v>
      </c>
      <c r="C146" s="769">
        <v>180</v>
      </c>
      <c r="D146" s="769">
        <v>709</v>
      </c>
      <c r="E146" s="769"/>
      <c r="F146" s="769"/>
      <c r="G146" s="769"/>
      <c r="H146" s="769">
        <v>225</v>
      </c>
      <c r="I146" s="769"/>
      <c r="J146" s="769"/>
      <c r="K146" s="769">
        <v>291</v>
      </c>
      <c r="L146" s="769">
        <v>247</v>
      </c>
      <c r="M146" s="769"/>
      <c r="N146" s="769"/>
      <c r="O146" s="769"/>
      <c r="P146" s="769">
        <f t="shared" si="4"/>
        <v>1652</v>
      </c>
      <c r="Q146" s="758">
        <f t="shared" si="5"/>
        <v>137.66666666666666</v>
      </c>
      <c r="R146" s="4"/>
      <c r="T146" s="6" t="s">
        <v>879</v>
      </c>
      <c r="U146">
        <v>20</v>
      </c>
      <c r="V146" s="4">
        <v>1.6666666666666667</v>
      </c>
    </row>
    <row r="147" spans="1:22">
      <c r="A147" s="770" t="s">
        <v>821</v>
      </c>
      <c r="B147" s="769" t="s">
        <v>904</v>
      </c>
      <c r="C147" s="769">
        <v>350</v>
      </c>
      <c r="D147" s="769"/>
      <c r="E147" s="769"/>
      <c r="F147" s="769"/>
      <c r="G147" s="769"/>
      <c r="H147" s="769"/>
      <c r="I147" s="769"/>
      <c r="J147" s="769"/>
      <c r="K147" s="769"/>
      <c r="L147" s="769"/>
      <c r="M147" s="769"/>
      <c r="N147" s="769"/>
      <c r="O147" s="769">
        <v>100</v>
      </c>
      <c r="P147" s="769">
        <f t="shared" si="4"/>
        <v>450</v>
      </c>
      <c r="Q147" s="758">
        <f t="shared" si="5"/>
        <v>37.5</v>
      </c>
      <c r="R147" s="4"/>
      <c r="T147" s="6" t="s">
        <v>880</v>
      </c>
      <c r="U147">
        <v>10</v>
      </c>
      <c r="V147" s="4">
        <v>0.83333333333333337</v>
      </c>
    </row>
    <row r="148" spans="1:22">
      <c r="A148" s="761" t="s">
        <v>847</v>
      </c>
      <c r="B148" s="769" t="s">
        <v>902</v>
      </c>
      <c r="C148" s="769"/>
      <c r="D148" s="769"/>
      <c r="E148" s="769"/>
      <c r="F148" s="769"/>
      <c r="G148" s="769"/>
      <c r="H148" s="769"/>
      <c r="I148" s="769"/>
      <c r="J148" s="769">
        <v>50</v>
      </c>
      <c r="K148" s="769"/>
      <c r="L148" s="769"/>
      <c r="M148" s="769"/>
      <c r="N148" s="769"/>
      <c r="O148" s="769">
        <v>82</v>
      </c>
      <c r="P148" s="769">
        <f t="shared" si="4"/>
        <v>132</v>
      </c>
      <c r="Q148" s="758">
        <f t="shared" si="5"/>
        <v>11</v>
      </c>
      <c r="R148" s="4"/>
      <c r="T148" s="6" t="s">
        <v>522</v>
      </c>
      <c r="U148">
        <v>1875950</v>
      </c>
      <c r="V148" s="4">
        <v>156329.16666666663</v>
      </c>
    </row>
    <row r="149" spans="1:22">
      <c r="A149" s="770" t="s">
        <v>847</v>
      </c>
      <c r="B149" s="769" t="s">
        <v>911</v>
      </c>
      <c r="C149" s="769"/>
      <c r="D149" s="769">
        <v>307</v>
      </c>
      <c r="E149" s="769"/>
      <c r="F149" s="769"/>
      <c r="G149" s="769"/>
      <c r="H149" s="769"/>
      <c r="I149" s="769"/>
      <c r="J149" s="769">
        <v>130</v>
      </c>
      <c r="K149" s="769"/>
      <c r="L149" s="769">
        <v>70</v>
      </c>
      <c r="M149" s="769"/>
      <c r="N149" s="769"/>
      <c r="O149" s="769"/>
      <c r="P149" s="769">
        <f t="shared" si="4"/>
        <v>507</v>
      </c>
      <c r="Q149" s="758">
        <f t="shared" si="5"/>
        <v>42.25</v>
      </c>
      <c r="R149" s="4"/>
    </row>
    <row r="150" spans="1:22">
      <c r="A150" s="761" t="s">
        <v>789</v>
      </c>
      <c r="B150" s="769" t="s">
        <v>904</v>
      </c>
      <c r="C150" s="769">
        <v>3574</v>
      </c>
      <c r="D150" s="769">
        <v>2303</v>
      </c>
      <c r="E150" s="769">
        <v>1259</v>
      </c>
      <c r="F150" s="769">
        <v>1375</v>
      </c>
      <c r="G150" s="769">
        <v>984</v>
      </c>
      <c r="H150" s="769">
        <v>650</v>
      </c>
      <c r="I150" s="769">
        <v>1267</v>
      </c>
      <c r="J150" s="769"/>
      <c r="K150" s="769">
        <v>1400</v>
      </c>
      <c r="L150" s="769">
        <v>1075</v>
      </c>
      <c r="M150" s="769">
        <v>575</v>
      </c>
      <c r="N150" s="769"/>
      <c r="O150" s="769"/>
      <c r="P150" s="769">
        <f t="shared" si="4"/>
        <v>14462</v>
      </c>
      <c r="Q150" s="758">
        <f t="shared" si="5"/>
        <v>1205.1666666666667</v>
      </c>
      <c r="R150" s="4"/>
    </row>
    <row r="151" spans="1:22">
      <c r="A151" s="761" t="s">
        <v>761</v>
      </c>
      <c r="B151" s="769" t="s">
        <v>904</v>
      </c>
      <c r="C151" s="769">
        <v>5415</v>
      </c>
      <c r="D151" s="769">
        <v>2140</v>
      </c>
      <c r="E151" s="769">
        <v>2917</v>
      </c>
      <c r="F151" s="769">
        <v>853</v>
      </c>
      <c r="G151" s="769">
        <v>2329</v>
      </c>
      <c r="H151" s="769">
        <v>2150</v>
      </c>
      <c r="I151" s="769">
        <v>3018</v>
      </c>
      <c r="J151" s="769"/>
      <c r="K151" s="769">
        <v>1900</v>
      </c>
      <c r="L151" s="769">
        <v>4890</v>
      </c>
      <c r="M151" s="769">
        <v>2000</v>
      </c>
      <c r="N151" s="769">
        <v>602</v>
      </c>
      <c r="O151" s="769">
        <v>1813</v>
      </c>
      <c r="P151" s="769">
        <f t="shared" si="4"/>
        <v>30027</v>
      </c>
      <c r="Q151" s="758">
        <f t="shared" si="5"/>
        <v>2502.25</v>
      </c>
      <c r="R151" s="4"/>
    </row>
    <row r="152" spans="1:22">
      <c r="A152" s="761" t="s">
        <v>791</v>
      </c>
      <c r="B152" s="769" t="s">
        <v>904</v>
      </c>
      <c r="C152" s="769"/>
      <c r="D152" s="769"/>
      <c r="E152" s="769">
        <v>1200</v>
      </c>
      <c r="F152" s="769"/>
      <c r="G152" s="769"/>
      <c r="H152" s="769"/>
      <c r="I152" s="769"/>
      <c r="J152" s="769">
        <v>1625</v>
      </c>
      <c r="K152" s="769"/>
      <c r="L152" s="769"/>
      <c r="M152" s="769"/>
      <c r="N152" s="769"/>
      <c r="O152" s="769"/>
      <c r="P152" s="769">
        <f t="shared" si="4"/>
        <v>2825</v>
      </c>
      <c r="Q152" s="758">
        <f t="shared" si="5"/>
        <v>235.41666666666666</v>
      </c>
      <c r="R152" s="4"/>
    </row>
    <row r="153" spans="1:22">
      <c r="A153" s="761" t="s">
        <v>765</v>
      </c>
      <c r="B153" s="769" t="s">
        <v>904</v>
      </c>
      <c r="C153" s="769"/>
      <c r="D153" s="769"/>
      <c r="E153" s="769">
        <v>887</v>
      </c>
      <c r="F153" s="769"/>
      <c r="G153" s="769"/>
      <c r="H153" s="769"/>
      <c r="I153" s="769"/>
      <c r="J153" s="769">
        <v>3835</v>
      </c>
      <c r="K153" s="769"/>
      <c r="L153" s="769"/>
      <c r="M153" s="769"/>
      <c r="N153" s="769"/>
      <c r="O153" s="769"/>
      <c r="P153" s="769">
        <f t="shared" si="4"/>
        <v>4722</v>
      </c>
      <c r="Q153" s="758">
        <f t="shared" si="5"/>
        <v>393.5</v>
      </c>
      <c r="R153" s="4"/>
    </row>
    <row r="154" spans="1:22">
      <c r="A154" s="761" t="s">
        <v>797</v>
      </c>
      <c r="B154" s="769" t="s">
        <v>904</v>
      </c>
      <c r="C154" s="769"/>
      <c r="D154" s="769"/>
      <c r="E154" s="769">
        <v>645</v>
      </c>
      <c r="F154" s="769"/>
      <c r="G154" s="769"/>
      <c r="H154" s="769"/>
      <c r="I154" s="769"/>
      <c r="J154" s="769">
        <v>1597</v>
      </c>
      <c r="K154" s="769"/>
      <c r="L154" s="769"/>
      <c r="M154" s="769"/>
      <c r="N154" s="769"/>
      <c r="O154" s="769"/>
      <c r="P154" s="769">
        <f t="shared" si="4"/>
        <v>2242</v>
      </c>
      <c r="Q154" s="758">
        <f t="shared" si="5"/>
        <v>186.83333333333334</v>
      </c>
      <c r="R154" s="4"/>
    </row>
    <row r="155" spans="1:22">
      <c r="A155" s="761" t="s">
        <v>754</v>
      </c>
      <c r="B155" s="769" t="s">
        <v>909</v>
      </c>
      <c r="C155" s="769">
        <v>124</v>
      </c>
      <c r="D155" s="769">
        <v>100</v>
      </c>
      <c r="E155" s="769">
        <v>100</v>
      </c>
      <c r="F155" s="769">
        <v>200</v>
      </c>
      <c r="G155" s="769"/>
      <c r="H155" s="769">
        <v>110</v>
      </c>
      <c r="I155" s="769">
        <v>150</v>
      </c>
      <c r="J155" s="769">
        <v>200</v>
      </c>
      <c r="K155" s="769">
        <v>122</v>
      </c>
      <c r="L155" s="769">
        <v>295</v>
      </c>
      <c r="M155" s="769"/>
      <c r="N155" s="769">
        <v>122</v>
      </c>
      <c r="O155" s="769">
        <v>201</v>
      </c>
      <c r="P155" s="769">
        <f t="shared" si="4"/>
        <v>1724</v>
      </c>
      <c r="Q155" s="758">
        <f t="shared" si="5"/>
        <v>143.66666666666666</v>
      </c>
      <c r="R155" s="4"/>
    </row>
    <row r="156" spans="1:22">
      <c r="A156" s="770" t="s">
        <v>754</v>
      </c>
      <c r="B156" s="769" t="s">
        <v>904</v>
      </c>
      <c r="C156" s="769"/>
      <c r="D156" s="769"/>
      <c r="E156" s="769">
        <v>544</v>
      </c>
      <c r="F156" s="769"/>
      <c r="G156" s="769"/>
      <c r="H156" s="769"/>
      <c r="I156" s="769"/>
      <c r="J156" s="769">
        <v>5451</v>
      </c>
      <c r="K156" s="769"/>
      <c r="L156" s="769"/>
      <c r="M156" s="769"/>
      <c r="N156" s="769"/>
      <c r="O156" s="769"/>
      <c r="P156" s="769">
        <f t="shared" si="4"/>
        <v>5995</v>
      </c>
      <c r="Q156" s="758">
        <f t="shared" si="5"/>
        <v>499.58333333333331</v>
      </c>
      <c r="R156" s="4"/>
    </row>
    <row r="157" spans="1:22">
      <c r="A157" s="761" t="s">
        <v>764</v>
      </c>
      <c r="B157" s="769" t="s">
        <v>902</v>
      </c>
      <c r="C157" s="769">
        <v>620</v>
      </c>
      <c r="D157" s="769">
        <v>1100</v>
      </c>
      <c r="E157" s="769">
        <v>1880</v>
      </c>
      <c r="F157" s="769">
        <v>1850</v>
      </c>
      <c r="G157" s="769">
        <v>1350</v>
      </c>
      <c r="H157" s="769">
        <v>2038</v>
      </c>
      <c r="I157" s="769">
        <v>1416</v>
      </c>
      <c r="J157" s="769">
        <v>1465</v>
      </c>
      <c r="K157" s="769">
        <v>750</v>
      </c>
      <c r="L157" s="769">
        <v>1100</v>
      </c>
      <c r="M157" s="769">
        <v>1560</v>
      </c>
      <c r="N157" s="769">
        <v>1880</v>
      </c>
      <c r="O157" s="769">
        <v>1350</v>
      </c>
      <c r="P157" s="769">
        <f t="shared" si="4"/>
        <v>18359</v>
      </c>
      <c r="Q157" s="758">
        <f t="shared" si="5"/>
        <v>1529.9166666666667</v>
      </c>
      <c r="R157" s="4"/>
    </row>
    <row r="158" spans="1:22">
      <c r="A158" s="770" t="s">
        <v>764</v>
      </c>
      <c r="B158" s="769" t="s">
        <v>910</v>
      </c>
      <c r="C158" s="769"/>
      <c r="D158" s="769"/>
      <c r="E158" s="769">
        <v>250</v>
      </c>
      <c r="F158" s="769">
        <v>300</v>
      </c>
      <c r="G158" s="769">
        <v>293</v>
      </c>
      <c r="H158" s="769"/>
      <c r="I158" s="769"/>
      <c r="J158" s="769"/>
      <c r="K158" s="769">
        <v>300</v>
      </c>
      <c r="L158" s="769"/>
      <c r="M158" s="769"/>
      <c r="N158" s="769"/>
      <c r="O158" s="769"/>
      <c r="P158" s="769">
        <f t="shared" si="4"/>
        <v>1143</v>
      </c>
      <c r="Q158" s="758">
        <f t="shared" si="5"/>
        <v>95.25</v>
      </c>
      <c r="R158" s="4"/>
    </row>
    <row r="159" spans="1:22">
      <c r="A159" s="770" t="s">
        <v>764</v>
      </c>
      <c r="B159" s="769" t="s">
        <v>903</v>
      </c>
      <c r="C159" s="769"/>
      <c r="D159" s="769"/>
      <c r="E159" s="769">
        <v>700</v>
      </c>
      <c r="F159" s="769">
        <v>200</v>
      </c>
      <c r="G159" s="769"/>
      <c r="H159" s="769"/>
      <c r="I159" s="769"/>
      <c r="J159" s="769"/>
      <c r="K159" s="769">
        <v>1110</v>
      </c>
      <c r="L159" s="769"/>
      <c r="M159" s="769"/>
      <c r="N159" s="769"/>
      <c r="O159" s="769"/>
      <c r="P159" s="769">
        <f t="shared" si="4"/>
        <v>2010</v>
      </c>
      <c r="Q159" s="758">
        <f t="shared" si="5"/>
        <v>167.5</v>
      </c>
      <c r="R159" s="4"/>
    </row>
    <row r="160" spans="1:22">
      <c r="A160" s="761" t="s">
        <v>790</v>
      </c>
      <c r="B160" s="769" t="s">
        <v>900</v>
      </c>
      <c r="C160" s="769">
        <v>809</v>
      </c>
      <c r="D160" s="769">
        <v>400</v>
      </c>
      <c r="E160" s="769">
        <v>332</v>
      </c>
      <c r="F160" s="769">
        <v>608</v>
      </c>
      <c r="G160" s="769">
        <v>707</v>
      </c>
      <c r="H160" s="769">
        <v>866</v>
      </c>
      <c r="I160" s="769">
        <v>689</v>
      </c>
      <c r="J160" s="769">
        <v>670</v>
      </c>
      <c r="K160" s="769">
        <v>653</v>
      </c>
      <c r="L160" s="769">
        <v>640</v>
      </c>
      <c r="M160" s="769">
        <v>458</v>
      </c>
      <c r="N160" s="769">
        <v>1004</v>
      </c>
      <c r="O160" s="769">
        <v>683</v>
      </c>
      <c r="P160" s="769">
        <f t="shared" si="4"/>
        <v>8519</v>
      </c>
      <c r="Q160" s="758">
        <f t="shared" si="5"/>
        <v>709.91666666666663</v>
      </c>
      <c r="R160" s="4"/>
    </row>
    <row r="161" spans="1:18">
      <c r="A161" s="770" t="s">
        <v>790</v>
      </c>
      <c r="B161" s="769" t="s">
        <v>901</v>
      </c>
      <c r="C161" s="769">
        <v>398</v>
      </c>
      <c r="D161" s="769">
        <v>250</v>
      </c>
      <c r="E161" s="769"/>
      <c r="F161" s="769">
        <v>200</v>
      </c>
      <c r="G161" s="769">
        <v>200</v>
      </c>
      <c r="H161" s="769">
        <v>514</v>
      </c>
      <c r="I161" s="769"/>
      <c r="J161" s="769">
        <v>250</v>
      </c>
      <c r="K161" s="769">
        <v>150</v>
      </c>
      <c r="L161" s="769">
        <v>203</v>
      </c>
      <c r="M161" s="769">
        <v>300</v>
      </c>
      <c r="N161" s="769">
        <v>453</v>
      </c>
      <c r="O161" s="769">
        <v>400</v>
      </c>
      <c r="P161" s="769">
        <f t="shared" si="4"/>
        <v>3318</v>
      </c>
      <c r="Q161" s="758">
        <f t="shared" si="5"/>
        <v>276.5</v>
      </c>
      <c r="R161" s="4"/>
    </row>
    <row r="162" spans="1:18">
      <c r="A162" s="770" t="s">
        <v>790</v>
      </c>
      <c r="B162" s="769" t="s">
        <v>903</v>
      </c>
      <c r="C162" s="769"/>
      <c r="D162" s="769"/>
      <c r="E162" s="769"/>
      <c r="F162" s="769"/>
      <c r="G162" s="769">
        <v>645</v>
      </c>
      <c r="H162" s="769"/>
      <c r="I162" s="769"/>
      <c r="J162" s="769"/>
      <c r="K162" s="769">
        <v>150</v>
      </c>
      <c r="L162" s="769"/>
      <c r="M162" s="769">
        <v>670</v>
      </c>
      <c r="N162" s="769"/>
      <c r="O162" s="769"/>
      <c r="P162" s="769">
        <f t="shared" si="4"/>
        <v>1465</v>
      </c>
      <c r="Q162" s="758">
        <f t="shared" si="5"/>
        <v>122.08333333333333</v>
      </c>
      <c r="R162" s="4"/>
    </row>
    <row r="163" spans="1:18">
      <c r="A163" s="761" t="s">
        <v>848</v>
      </c>
      <c r="B163" s="769" t="s">
        <v>901</v>
      </c>
      <c r="C163" s="769">
        <v>91</v>
      </c>
      <c r="D163" s="769">
        <v>154</v>
      </c>
      <c r="E163" s="769">
        <v>124</v>
      </c>
      <c r="F163" s="769"/>
      <c r="G163" s="769"/>
      <c r="H163" s="769">
        <v>339</v>
      </c>
      <c r="I163" s="769"/>
      <c r="J163" s="769"/>
      <c r="K163" s="769"/>
      <c r="L163" s="769">
        <v>499</v>
      </c>
      <c r="M163" s="769">
        <v>200</v>
      </c>
      <c r="N163" s="769">
        <v>108</v>
      </c>
      <c r="O163" s="769"/>
      <c r="P163" s="769">
        <f t="shared" si="4"/>
        <v>1515</v>
      </c>
      <c r="Q163" s="758">
        <f t="shared" si="5"/>
        <v>126.25</v>
      </c>
      <c r="R163" s="4"/>
    </row>
    <row r="164" spans="1:18">
      <c r="A164" s="761" t="s">
        <v>876</v>
      </c>
      <c r="B164" s="769" t="s">
        <v>900</v>
      </c>
      <c r="C164" s="769"/>
      <c r="D164" s="769"/>
      <c r="E164" s="769"/>
      <c r="F164" s="769">
        <v>55</v>
      </c>
      <c r="G164" s="769"/>
      <c r="H164" s="769"/>
      <c r="I164" s="769"/>
      <c r="J164" s="769"/>
      <c r="K164" s="769"/>
      <c r="L164" s="769"/>
      <c r="M164" s="769"/>
      <c r="N164" s="769"/>
      <c r="O164" s="769"/>
      <c r="P164" s="769">
        <f t="shared" si="4"/>
        <v>55</v>
      </c>
      <c r="Q164" s="758">
        <f t="shared" si="5"/>
        <v>4.583333333333333</v>
      </c>
      <c r="R164" s="4"/>
    </row>
    <row r="165" spans="1:18">
      <c r="A165" s="761" t="s">
        <v>759</v>
      </c>
      <c r="B165" s="769" t="s">
        <v>912</v>
      </c>
      <c r="C165" s="769">
        <v>1700</v>
      </c>
      <c r="D165" s="769">
        <v>2850</v>
      </c>
      <c r="E165" s="769">
        <v>1805</v>
      </c>
      <c r="F165" s="769">
        <v>2680</v>
      </c>
      <c r="G165" s="769">
        <v>3020</v>
      </c>
      <c r="H165" s="769">
        <v>2513</v>
      </c>
      <c r="I165" s="769">
        <v>3200</v>
      </c>
      <c r="J165" s="769">
        <v>2042</v>
      </c>
      <c r="K165" s="769">
        <v>3000</v>
      </c>
      <c r="L165" s="769">
        <v>1710</v>
      </c>
      <c r="M165" s="769">
        <v>1900</v>
      </c>
      <c r="N165" s="769">
        <v>3349</v>
      </c>
      <c r="O165" s="769">
        <v>3325</v>
      </c>
      <c r="P165" s="769">
        <f t="shared" si="4"/>
        <v>33094</v>
      </c>
      <c r="Q165" s="758">
        <f t="shared" si="5"/>
        <v>2757.8333333333335</v>
      </c>
      <c r="R165" s="4"/>
    </row>
    <row r="166" spans="1:18">
      <c r="A166" s="761" t="s">
        <v>820</v>
      </c>
      <c r="B166" s="769" t="s">
        <v>900</v>
      </c>
      <c r="C166" s="769"/>
      <c r="D166" s="769"/>
      <c r="E166" s="769"/>
      <c r="F166" s="769">
        <v>501</v>
      </c>
      <c r="G166" s="769">
        <v>204</v>
      </c>
      <c r="H166" s="769"/>
      <c r="I166" s="769"/>
      <c r="J166" s="769">
        <v>305</v>
      </c>
      <c r="K166" s="769">
        <v>505</v>
      </c>
      <c r="L166" s="769">
        <v>1008</v>
      </c>
      <c r="M166" s="769">
        <v>1009</v>
      </c>
      <c r="N166" s="769">
        <v>505</v>
      </c>
      <c r="O166" s="769"/>
      <c r="P166" s="769">
        <f t="shared" si="4"/>
        <v>4037</v>
      </c>
      <c r="Q166" s="758">
        <f t="shared" si="5"/>
        <v>336.41666666666669</v>
      </c>
      <c r="R166" s="4"/>
    </row>
    <row r="167" spans="1:18">
      <c r="A167" s="761" t="s">
        <v>746</v>
      </c>
      <c r="B167" s="769" t="s">
        <v>900</v>
      </c>
      <c r="C167" s="769">
        <v>1209</v>
      </c>
      <c r="D167" s="769"/>
      <c r="E167" s="769"/>
      <c r="F167" s="769"/>
      <c r="G167" s="769"/>
      <c r="H167" s="769"/>
      <c r="I167" s="769"/>
      <c r="J167" s="769">
        <v>1251</v>
      </c>
      <c r="K167" s="769"/>
      <c r="L167" s="769"/>
      <c r="M167" s="769"/>
      <c r="N167" s="769"/>
      <c r="O167" s="769"/>
      <c r="P167" s="769">
        <f t="shared" si="4"/>
        <v>2460</v>
      </c>
      <c r="Q167" s="758">
        <f t="shared" si="5"/>
        <v>205</v>
      </c>
      <c r="R167" s="4"/>
    </row>
    <row r="168" spans="1:18">
      <c r="A168" s="770" t="s">
        <v>746</v>
      </c>
      <c r="B168" s="769" t="s">
        <v>911</v>
      </c>
      <c r="C168" s="769"/>
      <c r="D168" s="769"/>
      <c r="E168" s="769"/>
      <c r="F168" s="769"/>
      <c r="G168" s="769"/>
      <c r="H168" s="769"/>
      <c r="I168" s="769"/>
      <c r="J168" s="769">
        <v>167</v>
      </c>
      <c r="K168" s="769"/>
      <c r="L168" s="769"/>
      <c r="M168" s="769"/>
      <c r="N168" s="769"/>
      <c r="O168" s="769"/>
      <c r="P168" s="769">
        <f t="shared" si="4"/>
        <v>167</v>
      </c>
      <c r="Q168" s="758">
        <f t="shared" si="5"/>
        <v>13.916666666666666</v>
      </c>
      <c r="R168" s="4"/>
    </row>
    <row r="169" spans="1:18">
      <c r="A169" s="770" t="s">
        <v>746</v>
      </c>
      <c r="B169" s="769" t="s">
        <v>901</v>
      </c>
      <c r="C169" s="769"/>
      <c r="D169" s="769"/>
      <c r="E169" s="769"/>
      <c r="F169" s="769"/>
      <c r="G169" s="769"/>
      <c r="H169" s="769"/>
      <c r="I169" s="769"/>
      <c r="J169" s="769">
        <v>1794</v>
      </c>
      <c r="K169" s="769"/>
      <c r="L169" s="769"/>
      <c r="M169" s="769"/>
      <c r="N169" s="769"/>
      <c r="O169" s="769"/>
      <c r="P169" s="769">
        <f t="shared" si="4"/>
        <v>1794</v>
      </c>
      <c r="Q169" s="758">
        <f t="shared" si="5"/>
        <v>149.5</v>
      </c>
      <c r="R169" s="4"/>
    </row>
    <row r="170" spans="1:18">
      <c r="A170" s="770" t="s">
        <v>746</v>
      </c>
      <c r="B170" s="769" t="s">
        <v>904</v>
      </c>
      <c r="C170" s="769"/>
      <c r="D170" s="769"/>
      <c r="E170" s="769"/>
      <c r="F170" s="769"/>
      <c r="G170" s="769"/>
      <c r="H170" s="769"/>
      <c r="I170" s="769"/>
      <c r="J170" s="769">
        <v>1360</v>
      </c>
      <c r="K170" s="769"/>
      <c r="L170" s="769"/>
      <c r="M170" s="769"/>
      <c r="N170" s="769"/>
      <c r="O170" s="769"/>
      <c r="P170" s="769">
        <f t="shared" si="4"/>
        <v>1360</v>
      </c>
      <c r="Q170" s="758">
        <f t="shared" si="5"/>
        <v>113.33333333333333</v>
      </c>
      <c r="R170" s="4"/>
    </row>
    <row r="171" spans="1:18">
      <c r="A171" s="761" t="s">
        <v>794</v>
      </c>
      <c r="B171" s="769" t="s">
        <v>901</v>
      </c>
      <c r="C171" s="769"/>
      <c r="D171" s="769"/>
      <c r="E171" s="769"/>
      <c r="F171" s="769"/>
      <c r="G171" s="769"/>
      <c r="H171" s="769"/>
      <c r="I171" s="769"/>
      <c r="J171" s="769">
        <v>1045</v>
      </c>
      <c r="K171" s="769"/>
      <c r="L171" s="769"/>
      <c r="M171" s="769"/>
      <c r="N171" s="769"/>
      <c r="O171" s="769"/>
      <c r="P171" s="769">
        <f t="shared" si="4"/>
        <v>1045</v>
      </c>
      <c r="Q171" s="758">
        <f t="shared" si="5"/>
        <v>87.083333333333329</v>
      </c>
      <c r="R171" s="4"/>
    </row>
    <row r="172" spans="1:18">
      <c r="A172" s="770" t="s">
        <v>794</v>
      </c>
      <c r="B172" s="769" t="s">
        <v>904</v>
      </c>
      <c r="C172" s="769"/>
      <c r="D172" s="769"/>
      <c r="E172" s="769"/>
      <c r="F172" s="769"/>
      <c r="G172" s="769"/>
      <c r="H172" s="769"/>
      <c r="I172" s="769"/>
      <c r="J172" s="769">
        <v>200</v>
      </c>
      <c r="K172" s="769"/>
      <c r="L172" s="769"/>
      <c r="M172" s="769"/>
      <c r="N172" s="769"/>
      <c r="O172" s="769"/>
      <c r="P172" s="769">
        <f t="shared" si="4"/>
        <v>200</v>
      </c>
      <c r="Q172" s="758">
        <f t="shared" si="5"/>
        <v>16.666666666666668</v>
      </c>
      <c r="R172" s="4"/>
    </row>
    <row r="173" spans="1:18">
      <c r="A173" s="761" t="s">
        <v>828</v>
      </c>
      <c r="B173" s="769" t="s">
        <v>911</v>
      </c>
      <c r="C173" s="769">
        <v>200</v>
      </c>
      <c r="D173" s="769"/>
      <c r="E173" s="769"/>
      <c r="F173" s="769"/>
      <c r="G173" s="769"/>
      <c r="H173" s="769"/>
      <c r="I173" s="769"/>
      <c r="J173" s="769">
        <v>650</v>
      </c>
      <c r="K173" s="769"/>
      <c r="L173" s="769"/>
      <c r="M173" s="769"/>
      <c r="N173" s="769"/>
      <c r="O173" s="769"/>
      <c r="P173" s="769">
        <f t="shared" si="4"/>
        <v>850</v>
      </c>
      <c r="Q173" s="758">
        <f t="shared" si="5"/>
        <v>70.833333333333329</v>
      </c>
      <c r="R173" s="4"/>
    </row>
    <row r="174" spans="1:18">
      <c r="A174" s="761" t="s">
        <v>874</v>
      </c>
      <c r="B174" s="769" t="s">
        <v>911</v>
      </c>
      <c r="C174" s="769"/>
      <c r="D174" s="769"/>
      <c r="E174" s="769"/>
      <c r="F174" s="769"/>
      <c r="G174" s="769"/>
      <c r="H174" s="769"/>
      <c r="I174" s="769"/>
      <c r="J174" s="769">
        <v>60</v>
      </c>
      <c r="K174" s="769"/>
      <c r="L174" s="769"/>
      <c r="M174" s="769"/>
      <c r="N174" s="769"/>
      <c r="O174" s="769"/>
      <c r="P174" s="769">
        <f t="shared" si="4"/>
        <v>60</v>
      </c>
      <c r="Q174" s="758">
        <f t="shared" si="5"/>
        <v>5</v>
      </c>
      <c r="R174" s="4"/>
    </row>
    <row r="175" spans="1:18">
      <c r="A175" s="761" t="s">
        <v>751</v>
      </c>
      <c r="B175" s="769" t="s">
        <v>905</v>
      </c>
      <c r="C175" s="769"/>
      <c r="D175" s="769"/>
      <c r="E175" s="769"/>
      <c r="F175" s="769"/>
      <c r="G175" s="769"/>
      <c r="H175" s="769"/>
      <c r="I175" s="769"/>
      <c r="J175" s="769">
        <v>1000</v>
      </c>
      <c r="K175" s="769"/>
      <c r="L175" s="769"/>
      <c r="M175" s="769"/>
      <c r="N175" s="769"/>
      <c r="O175" s="769"/>
      <c r="P175" s="769">
        <f t="shared" si="4"/>
        <v>1000</v>
      </c>
      <c r="Q175" s="758">
        <f t="shared" si="5"/>
        <v>83.333333333333329</v>
      </c>
      <c r="R175" s="4"/>
    </row>
    <row r="176" spans="1:18">
      <c r="A176" s="770" t="s">
        <v>751</v>
      </c>
      <c r="B176" s="769" t="s">
        <v>900</v>
      </c>
      <c r="C176" s="769">
        <v>1000</v>
      </c>
      <c r="D176" s="769"/>
      <c r="E176" s="769"/>
      <c r="F176" s="769"/>
      <c r="G176" s="769"/>
      <c r="H176" s="769"/>
      <c r="I176" s="769"/>
      <c r="J176" s="769">
        <v>1250</v>
      </c>
      <c r="K176" s="769"/>
      <c r="L176" s="769"/>
      <c r="M176" s="769"/>
      <c r="N176" s="769"/>
      <c r="O176" s="769"/>
      <c r="P176" s="769">
        <f t="shared" si="4"/>
        <v>2250</v>
      </c>
      <c r="Q176" s="758">
        <f t="shared" si="5"/>
        <v>187.5</v>
      </c>
      <c r="R176" s="4"/>
    </row>
    <row r="177" spans="1:18">
      <c r="A177" s="770" t="s">
        <v>751</v>
      </c>
      <c r="B177" s="769" t="s">
        <v>911</v>
      </c>
      <c r="C177" s="769"/>
      <c r="D177" s="769"/>
      <c r="E177" s="769"/>
      <c r="F177" s="769"/>
      <c r="G177" s="769"/>
      <c r="H177" s="769"/>
      <c r="I177" s="769"/>
      <c r="J177" s="769">
        <v>310</v>
      </c>
      <c r="K177" s="769"/>
      <c r="L177" s="769"/>
      <c r="M177" s="769"/>
      <c r="N177" s="769"/>
      <c r="O177" s="769"/>
      <c r="P177" s="769">
        <f t="shared" si="4"/>
        <v>310</v>
      </c>
      <c r="Q177" s="758">
        <f t="shared" si="5"/>
        <v>25.833333333333332</v>
      </c>
      <c r="R177" s="4"/>
    </row>
    <row r="178" spans="1:18">
      <c r="A178" s="770" t="s">
        <v>751</v>
      </c>
      <c r="B178" s="769" t="s">
        <v>906</v>
      </c>
      <c r="C178" s="769"/>
      <c r="D178" s="769"/>
      <c r="E178" s="769"/>
      <c r="F178" s="769"/>
      <c r="G178" s="769"/>
      <c r="H178" s="769"/>
      <c r="I178" s="769"/>
      <c r="J178" s="769">
        <v>700</v>
      </c>
      <c r="K178" s="769"/>
      <c r="L178" s="769"/>
      <c r="M178" s="769"/>
      <c r="N178" s="769"/>
      <c r="O178" s="769"/>
      <c r="P178" s="769">
        <f t="shared" si="4"/>
        <v>700</v>
      </c>
      <c r="Q178" s="758">
        <f t="shared" si="5"/>
        <v>58.333333333333336</v>
      </c>
      <c r="R178" s="4"/>
    </row>
    <row r="179" spans="1:18">
      <c r="A179" s="770" t="s">
        <v>751</v>
      </c>
      <c r="B179" s="769" t="s">
        <v>907</v>
      </c>
      <c r="C179" s="769"/>
      <c r="D179" s="769"/>
      <c r="E179" s="769"/>
      <c r="F179" s="769"/>
      <c r="G179" s="769"/>
      <c r="H179" s="769"/>
      <c r="I179" s="769"/>
      <c r="J179" s="769">
        <v>200</v>
      </c>
      <c r="K179" s="769"/>
      <c r="L179" s="769"/>
      <c r="M179" s="769"/>
      <c r="N179" s="769"/>
      <c r="O179" s="769"/>
      <c r="P179" s="769">
        <f t="shared" si="4"/>
        <v>200</v>
      </c>
      <c r="Q179" s="758">
        <f t="shared" si="5"/>
        <v>16.666666666666668</v>
      </c>
      <c r="R179" s="4"/>
    </row>
    <row r="180" spans="1:18">
      <c r="A180" s="770" t="s">
        <v>751</v>
      </c>
      <c r="B180" s="769" t="s">
        <v>909</v>
      </c>
      <c r="C180" s="769"/>
      <c r="D180" s="769"/>
      <c r="E180" s="769"/>
      <c r="F180" s="769"/>
      <c r="G180" s="769"/>
      <c r="H180" s="769"/>
      <c r="I180" s="769"/>
      <c r="J180" s="769">
        <v>380</v>
      </c>
      <c r="K180" s="769"/>
      <c r="L180" s="769"/>
      <c r="M180" s="769"/>
      <c r="N180" s="769"/>
      <c r="O180" s="769"/>
      <c r="P180" s="769">
        <f t="shared" si="4"/>
        <v>380</v>
      </c>
      <c r="Q180" s="758">
        <f t="shared" si="5"/>
        <v>31.666666666666668</v>
      </c>
      <c r="R180" s="4"/>
    </row>
    <row r="181" spans="1:18">
      <c r="A181" s="770" t="s">
        <v>751</v>
      </c>
      <c r="B181" s="769" t="s">
        <v>908</v>
      </c>
      <c r="C181" s="769"/>
      <c r="D181" s="769"/>
      <c r="E181" s="769"/>
      <c r="F181" s="769"/>
      <c r="G181" s="769"/>
      <c r="H181" s="769"/>
      <c r="I181" s="769"/>
      <c r="J181" s="769">
        <v>200</v>
      </c>
      <c r="K181" s="769"/>
      <c r="L181" s="769"/>
      <c r="M181" s="769"/>
      <c r="N181" s="769"/>
      <c r="O181" s="769"/>
      <c r="P181" s="769">
        <f t="shared" si="4"/>
        <v>200</v>
      </c>
      <c r="Q181" s="758">
        <f t="shared" si="5"/>
        <v>16.666666666666668</v>
      </c>
      <c r="R181" s="4"/>
    </row>
    <row r="182" spans="1:18">
      <c r="A182" s="770" t="s">
        <v>751</v>
      </c>
      <c r="B182" s="769" t="s">
        <v>898</v>
      </c>
      <c r="C182" s="769"/>
      <c r="D182" s="769"/>
      <c r="E182" s="769"/>
      <c r="F182" s="769"/>
      <c r="G182" s="769"/>
      <c r="H182" s="769"/>
      <c r="I182" s="769"/>
      <c r="J182" s="769">
        <v>60</v>
      </c>
      <c r="K182" s="769"/>
      <c r="L182" s="769"/>
      <c r="M182" s="769"/>
      <c r="N182" s="769"/>
      <c r="O182" s="769"/>
      <c r="P182" s="769">
        <f t="shared" si="4"/>
        <v>60</v>
      </c>
      <c r="Q182" s="758">
        <f t="shared" si="5"/>
        <v>5</v>
      </c>
      <c r="R182" s="4"/>
    </row>
    <row r="183" spans="1:18">
      <c r="A183" s="761" t="s">
        <v>851</v>
      </c>
      <c r="B183" s="769" t="s">
        <v>900</v>
      </c>
      <c r="C183" s="769">
        <v>72</v>
      </c>
      <c r="D183" s="769"/>
      <c r="E183" s="769"/>
      <c r="F183" s="769"/>
      <c r="G183" s="769"/>
      <c r="H183" s="769"/>
      <c r="I183" s="769"/>
      <c r="J183" s="769"/>
      <c r="K183" s="769"/>
      <c r="L183" s="769"/>
      <c r="M183" s="769"/>
      <c r="N183" s="769"/>
      <c r="O183" s="769">
        <v>235</v>
      </c>
      <c r="P183" s="769">
        <f t="shared" si="4"/>
        <v>307</v>
      </c>
      <c r="Q183" s="758">
        <f t="shared" si="5"/>
        <v>25.583333333333332</v>
      </c>
      <c r="R183" s="4"/>
    </row>
    <row r="184" spans="1:18">
      <c r="A184" s="770" t="s">
        <v>851</v>
      </c>
      <c r="B184" s="769" t="s">
        <v>909</v>
      </c>
      <c r="C184" s="769">
        <v>50</v>
      </c>
      <c r="D184" s="769"/>
      <c r="E184" s="769"/>
      <c r="F184" s="769">
        <v>54</v>
      </c>
      <c r="G184" s="769"/>
      <c r="H184" s="769"/>
      <c r="I184" s="769"/>
      <c r="J184" s="769"/>
      <c r="K184" s="769"/>
      <c r="L184" s="769"/>
      <c r="M184" s="769">
        <v>58</v>
      </c>
      <c r="N184" s="769"/>
      <c r="O184" s="769">
        <v>51</v>
      </c>
      <c r="P184" s="769">
        <f t="shared" si="4"/>
        <v>213</v>
      </c>
      <c r="Q184" s="758">
        <f t="shared" si="5"/>
        <v>17.75</v>
      </c>
      <c r="R184" s="4"/>
    </row>
    <row r="185" spans="1:18">
      <c r="A185" s="761" t="s">
        <v>803</v>
      </c>
      <c r="B185" s="769" t="s">
        <v>916</v>
      </c>
      <c r="C185" s="769">
        <v>750</v>
      </c>
      <c r="D185" s="769">
        <v>500</v>
      </c>
      <c r="E185" s="769">
        <v>1673</v>
      </c>
      <c r="F185" s="769">
        <v>205</v>
      </c>
      <c r="G185" s="769">
        <v>200</v>
      </c>
      <c r="H185" s="769">
        <v>300</v>
      </c>
      <c r="I185" s="769">
        <v>950</v>
      </c>
      <c r="J185" s="769"/>
      <c r="K185" s="769">
        <v>107</v>
      </c>
      <c r="L185" s="769"/>
      <c r="M185" s="769"/>
      <c r="N185" s="769">
        <v>250</v>
      </c>
      <c r="O185" s="769">
        <v>190</v>
      </c>
      <c r="P185" s="769">
        <f t="shared" si="4"/>
        <v>5125</v>
      </c>
      <c r="Q185" s="758">
        <f t="shared" si="5"/>
        <v>427.08333333333331</v>
      </c>
      <c r="R185" s="4"/>
    </row>
    <row r="186" spans="1:18">
      <c r="A186" s="770" t="s">
        <v>803</v>
      </c>
      <c r="B186" s="769" t="s">
        <v>904</v>
      </c>
      <c r="C186" s="769"/>
      <c r="D186" s="769"/>
      <c r="E186" s="769"/>
      <c r="F186" s="769"/>
      <c r="G186" s="769"/>
      <c r="H186" s="769"/>
      <c r="I186" s="769"/>
      <c r="J186" s="769"/>
      <c r="K186" s="769"/>
      <c r="L186" s="769"/>
      <c r="M186" s="769"/>
      <c r="N186" s="769"/>
      <c r="O186" s="769">
        <v>480</v>
      </c>
      <c r="P186" s="769">
        <f t="shared" si="4"/>
        <v>480</v>
      </c>
      <c r="Q186" s="758">
        <f t="shared" si="5"/>
        <v>40</v>
      </c>
      <c r="R186" s="4"/>
    </row>
    <row r="187" spans="1:18">
      <c r="A187" s="761" t="s">
        <v>752</v>
      </c>
      <c r="B187" s="769" t="s">
        <v>912</v>
      </c>
      <c r="C187" s="769">
        <v>2900</v>
      </c>
      <c r="D187" s="769">
        <v>3024</v>
      </c>
      <c r="E187" s="769">
        <v>2500</v>
      </c>
      <c r="F187" s="769">
        <v>3950</v>
      </c>
      <c r="G187" s="769">
        <v>3500</v>
      </c>
      <c r="H187" s="769">
        <v>4087</v>
      </c>
      <c r="I187" s="769">
        <v>4300</v>
      </c>
      <c r="J187" s="769">
        <v>2614</v>
      </c>
      <c r="K187" s="769">
        <v>3000</v>
      </c>
      <c r="L187" s="769">
        <v>3608</v>
      </c>
      <c r="M187" s="769">
        <v>4032</v>
      </c>
      <c r="N187" s="769">
        <v>4719</v>
      </c>
      <c r="O187" s="769">
        <v>5145</v>
      </c>
      <c r="P187" s="769">
        <f t="shared" si="4"/>
        <v>47379</v>
      </c>
      <c r="Q187" s="758">
        <f t="shared" si="5"/>
        <v>3948.25</v>
      </c>
      <c r="R187" s="4"/>
    </row>
    <row r="188" spans="1:18">
      <c r="A188" s="761" t="s">
        <v>796</v>
      </c>
      <c r="B188" s="769" t="s">
        <v>916</v>
      </c>
      <c r="C188" s="769">
        <v>300</v>
      </c>
      <c r="D188" s="769">
        <v>809</v>
      </c>
      <c r="E188" s="769">
        <v>2123</v>
      </c>
      <c r="F188" s="769">
        <v>850</v>
      </c>
      <c r="G188" s="769">
        <v>1031</v>
      </c>
      <c r="H188" s="769">
        <v>1211</v>
      </c>
      <c r="I188" s="769">
        <v>480</v>
      </c>
      <c r="J188" s="769">
        <v>1825</v>
      </c>
      <c r="K188" s="769">
        <v>1407</v>
      </c>
      <c r="L188" s="769">
        <v>1820</v>
      </c>
      <c r="M188" s="769"/>
      <c r="N188" s="769">
        <v>417</v>
      </c>
      <c r="O188" s="769">
        <v>1307</v>
      </c>
      <c r="P188" s="769">
        <f t="shared" si="4"/>
        <v>13580</v>
      </c>
      <c r="Q188" s="758">
        <f t="shared" si="5"/>
        <v>1131.6666666666667</v>
      </c>
      <c r="R188" s="4"/>
    </row>
    <row r="189" spans="1:18">
      <c r="A189" s="761" t="s">
        <v>767</v>
      </c>
      <c r="B189" s="769" t="s">
        <v>916</v>
      </c>
      <c r="C189" s="769">
        <v>300</v>
      </c>
      <c r="D189" s="769">
        <v>3487</v>
      </c>
      <c r="E189" s="769">
        <v>4907</v>
      </c>
      <c r="F189" s="769">
        <v>1097</v>
      </c>
      <c r="G189" s="769">
        <v>2900</v>
      </c>
      <c r="H189" s="769">
        <v>500</v>
      </c>
      <c r="I189" s="769">
        <v>3900</v>
      </c>
      <c r="J189" s="769"/>
      <c r="K189" s="769">
        <v>2097</v>
      </c>
      <c r="L189" s="769">
        <v>2430</v>
      </c>
      <c r="M189" s="769">
        <v>1130</v>
      </c>
      <c r="N189" s="769">
        <v>3066</v>
      </c>
      <c r="O189" s="769">
        <v>2401</v>
      </c>
      <c r="P189" s="769">
        <f t="shared" si="4"/>
        <v>28215</v>
      </c>
      <c r="Q189" s="758">
        <f t="shared" si="5"/>
        <v>2351.25</v>
      </c>
      <c r="R189" s="4"/>
    </row>
    <row r="190" spans="1:18">
      <c r="A190" s="761" t="s">
        <v>840</v>
      </c>
      <c r="B190" s="769" t="s">
        <v>901</v>
      </c>
      <c r="C190" s="769"/>
      <c r="D190" s="769"/>
      <c r="E190" s="769"/>
      <c r="F190" s="769"/>
      <c r="G190" s="769"/>
      <c r="H190" s="769"/>
      <c r="I190" s="769"/>
      <c r="J190" s="769">
        <v>296</v>
      </c>
      <c r="K190" s="769"/>
      <c r="L190" s="769"/>
      <c r="M190" s="769"/>
      <c r="N190" s="769"/>
      <c r="O190" s="769"/>
      <c r="P190" s="769">
        <f t="shared" si="4"/>
        <v>296</v>
      </c>
      <c r="Q190" s="758">
        <f t="shared" si="5"/>
        <v>24.666666666666668</v>
      </c>
      <c r="R190" s="4"/>
    </row>
    <row r="191" spans="1:18">
      <c r="A191" s="761" t="s">
        <v>762</v>
      </c>
      <c r="B191" s="769" t="s">
        <v>902</v>
      </c>
      <c r="C191" s="769">
        <v>805</v>
      </c>
      <c r="D191" s="769">
        <v>600</v>
      </c>
      <c r="E191" s="769">
        <v>446</v>
      </c>
      <c r="F191" s="769"/>
      <c r="G191" s="769"/>
      <c r="H191" s="769">
        <v>1464</v>
      </c>
      <c r="I191" s="769">
        <v>733</v>
      </c>
      <c r="J191" s="769">
        <v>870</v>
      </c>
      <c r="K191" s="769"/>
      <c r="L191" s="769">
        <v>1121</v>
      </c>
      <c r="M191" s="769">
        <v>984</v>
      </c>
      <c r="N191" s="769">
        <v>650</v>
      </c>
      <c r="O191" s="769">
        <v>1600</v>
      </c>
      <c r="P191" s="769">
        <f t="shared" si="4"/>
        <v>9273</v>
      </c>
      <c r="Q191" s="758">
        <f t="shared" si="5"/>
        <v>772.75</v>
      </c>
      <c r="R191" s="4"/>
    </row>
    <row r="192" spans="1:18">
      <c r="A192" s="770" t="s">
        <v>762</v>
      </c>
      <c r="B192" s="769" t="s">
        <v>905</v>
      </c>
      <c r="C192" s="769">
        <v>450</v>
      </c>
      <c r="D192" s="769">
        <v>556</v>
      </c>
      <c r="E192" s="769">
        <v>400</v>
      </c>
      <c r="F192" s="769">
        <v>550</v>
      </c>
      <c r="G192" s="769">
        <v>300</v>
      </c>
      <c r="H192" s="769">
        <v>500</v>
      </c>
      <c r="I192" s="769">
        <v>500</v>
      </c>
      <c r="J192" s="769">
        <v>596</v>
      </c>
      <c r="K192" s="769">
        <v>300</v>
      </c>
      <c r="L192" s="769">
        <v>200</v>
      </c>
      <c r="M192" s="769">
        <v>550</v>
      </c>
      <c r="N192" s="769">
        <v>550</v>
      </c>
      <c r="O192" s="769">
        <v>500</v>
      </c>
      <c r="P192" s="769">
        <f t="shared" si="4"/>
        <v>5952</v>
      </c>
      <c r="Q192" s="758">
        <f t="shared" si="5"/>
        <v>496</v>
      </c>
      <c r="R192" s="4"/>
    </row>
    <row r="193" spans="1:18">
      <c r="A193" s="770" t="s">
        <v>762</v>
      </c>
      <c r="B193" s="769" t="s">
        <v>910</v>
      </c>
      <c r="C193" s="769">
        <v>100</v>
      </c>
      <c r="D193" s="769">
        <v>1045</v>
      </c>
      <c r="E193" s="769">
        <v>550</v>
      </c>
      <c r="F193" s="769">
        <v>1586</v>
      </c>
      <c r="G193" s="769">
        <v>1176</v>
      </c>
      <c r="H193" s="769">
        <v>501</v>
      </c>
      <c r="I193" s="769">
        <v>690</v>
      </c>
      <c r="J193" s="769">
        <v>628</v>
      </c>
      <c r="K193" s="769">
        <v>590</v>
      </c>
      <c r="L193" s="769">
        <v>654</v>
      </c>
      <c r="M193" s="769">
        <v>592</v>
      </c>
      <c r="N193" s="769">
        <v>605</v>
      </c>
      <c r="O193" s="769">
        <v>100</v>
      </c>
      <c r="P193" s="769">
        <f t="shared" si="4"/>
        <v>8817</v>
      </c>
      <c r="Q193" s="758">
        <f t="shared" si="5"/>
        <v>734.75</v>
      </c>
      <c r="R193" s="4"/>
    </row>
    <row r="194" spans="1:18">
      <c r="A194" s="770" t="s">
        <v>762</v>
      </c>
      <c r="B194" s="769" t="s">
        <v>906</v>
      </c>
      <c r="C194" s="769"/>
      <c r="D194" s="769"/>
      <c r="E194" s="769"/>
      <c r="F194" s="769">
        <v>100</v>
      </c>
      <c r="G194" s="769">
        <v>200</v>
      </c>
      <c r="H194" s="769"/>
      <c r="I194" s="769"/>
      <c r="J194" s="769"/>
      <c r="K194" s="769">
        <v>200</v>
      </c>
      <c r="L194" s="769"/>
      <c r="M194" s="769"/>
      <c r="N194" s="769"/>
      <c r="O194" s="769"/>
      <c r="P194" s="769">
        <f t="shared" ref="P194:P257" si="6">SUM(C194:O194)</f>
        <v>500</v>
      </c>
      <c r="Q194" s="758">
        <f t="shared" si="5"/>
        <v>41.666666666666664</v>
      </c>
      <c r="R194" s="4"/>
    </row>
    <row r="195" spans="1:18">
      <c r="A195" s="770" t="s">
        <v>762</v>
      </c>
      <c r="B195" s="769" t="s">
        <v>907</v>
      </c>
      <c r="C195" s="769">
        <v>350</v>
      </c>
      <c r="D195" s="769">
        <v>100</v>
      </c>
      <c r="E195" s="769">
        <v>200</v>
      </c>
      <c r="F195" s="769">
        <v>200</v>
      </c>
      <c r="G195" s="769">
        <v>346</v>
      </c>
      <c r="H195" s="769">
        <v>300</v>
      </c>
      <c r="I195" s="769">
        <v>100</v>
      </c>
      <c r="J195" s="769">
        <v>400</v>
      </c>
      <c r="K195" s="769">
        <v>250</v>
      </c>
      <c r="L195" s="769">
        <v>300</v>
      </c>
      <c r="M195" s="769">
        <v>150</v>
      </c>
      <c r="N195" s="769">
        <v>208</v>
      </c>
      <c r="O195" s="769">
        <v>100</v>
      </c>
      <c r="P195" s="769">
        <f t="shared" si="6"/>
        <v>3004</v>
      </c>
      <c r="Q195" s="758">
        <f t="shared" ref="Q195:Q258" si="7">P195/12</f>
        <v>250.33333333333334</v>
      </c>
      <c r="R195" s="4"/>
    </row>
    <row r="196" spans="1:18">
      <c r="A196" s="761" t="s">
        <v>857</v>
      </c>
      <c r="B196" s="769" t="s">
        <v>900</v>
      </c>
      <c r="C196" s="769"/>
      <c r="D196" s="769">
        <v>103</v>
      </c>
      <c r="E196" s="769"/>
      <c r="F196" s="769"/>
      <c r="G196" s="769">
        <v>151</v>
      </c>
      <c r="H196" s="769"/>
      <c r="I196" s="769"/>
      <c r="J196" s="769">
        <v>200</v>
      </c>
      <c r="K196" s="769"/>
      <c r="L196" s="769"/>
      <c r="M196" s="769"/>
      <c r="N196" s="769"/>
      <c r="O196" s="769"/>
      <c r="P196" s="769">
        <f t="shared" si="6"/>
        <v>454</v>
      </c>
      <c r="Q196" s="758">
        <f t="shared" si="7"/>
        <v>37.833333333333336</v>
      </c>
      <c r="R196" s="4"/>
    </row>
    <row r="197" spans="1:18">
      <c r="A197" s="761" t="s">
        <v>768</v>
      </c>
      <c r="B197" s="769" t="s">
        <v>916</v>
      </c>
      <c r="C197" s="769">
        <v>1577</v>
      </c>
      <c r="D197" s="769">
        <v>2223</v>
      </c>
      <c r="E197" s="769"/>
      <c r="F197" s="769">
        <v>1364</v>
      </c>
      <c r="G197" s="769"/>
      <c r="H197" s="769">
        <v>4319</v>
      </c>
      <c r="I197" s="769">
        <v>2900</v>
      </c>
      <c r="J197" s="769">
        <v>2291</v>
      </c>
      <c r="K197" s="769">
        <v>1821</v>
      </c>
      <c r="L197" s="769">
        <v>2900</v>
      </c>
      <c r="M197" s="769">
        <v>760</v>
      </c>
      <c r="N197" s="769">
        <v>3200</v>
      </c>
      <c r="O197" s="769">
        <v>1832</v>
      </c>
      <c r="P197" s="769">
        <f t="shared" si="6"/>
        <v>25187</v>
      </c>
      <c r="Q197" s="758">
        <f t="shared" si="7"/>
        <v>2098.9166666666665</v>
      </c>
      <c r="R197" s="4"/>
    </row>
    <row r="198" spans="1:18">
      <c r="A198" s="761" t="s">
        <v>854</v>
      </c>
      <c r="B198" s="769" t="s">
        <v>912</v>
      </c>
      <c r="C198" s="769">
        <v>155</v>
      </c>
      <c r="D198" s="769">
        <v>421</v>
      </c>
      <c r="E198" s="769">
        <v>252</v>
      </c>
      <c r="F198" s="769">
        <v>99</v>
      </c>
      <c r="G198" s="769">
        <v>125</v>
      </c>
      <c r="H198" s="769">
        <v>103</v>
      </c>
      <c r="I198" s="769">
        <v>101</v>
      </c>
      <c r="J198" s="769"/>
      <c r="K198" s="769"/>
      <c r="L198" s="769"/>
      <c r="M198" s="769">
        <v>149</v>
      </c>
      <c r="N198" s="769"/>
      <c r="O198" s="769"/>
      <c r="P198" s="769">
        <f t="shared" si="6"/>
        <v>1405</v>
      </c>
      <c r="Q198" s="758">
        <f t="shared" si="7"/>
        <v>117.08333333333333</v>
      </c>
      <c r="R198" s="4"/>
    </row>
    <row r="199" spans="1:18">
      <c r="A199" s="761" t="s">
        <v>846</v>
      </c>
      <c r="B199" s="769" t="s">
        <v>911</v>
      </c>
      <c r="C199" s="769"/>
      <c r="D199" s="769"/>
      <c r="E199" s="769"/>
      <c r="F199" s="769"/>
      <c r="G199" s="769"/>
      <c r="H199" s="769"/>
      <c r="I199" s="769"/>
      <c r="J199" s="769">
        <v>242</v>
      </c>
      <c r="K199" s="769"/>
      <c r="L199" s="769"/>
      <c r="M199" s="769"/>
      <c r="N199" s="769"/>
      <c r="O199" s="769"/>
      <c r="P199" s="769">
        <f t="shared" si="6"/>
        <v>242</v>
      </c>
      <c r="Q199" s="758">
        <f t="shared" si="7"/>
        <v>20.166666666666668</v>
      </c>
      <c r="R199" s="4"/>
    </row>
    <row r="200" spans="1:18">
      <c r="A200" s="761" t="s">
        <v>824</v>
      </c>
      <c r="B200" s="769" t="s">
        <v>910</v>
      </c>
      <c r="C200" s="769">
        <v>367</v>
      </c>
      <c r="D200" s="769">
        <v>603</v>
      </c>
      <c r="E200" s="769">
        <v>304</v>
      </c>
      <c r="F200" s="769">
        <v>370</v>
      </c>
      <c r="G200" s="769">
        <v>512</v>
      </c>
      <c r="H200" s="769">
        <v>200</v>
      </c>
      <c r="I200" s="769">
        <v>954</v>
      </c>
      <c r="J200" s="769">
        <v>636</v>
      </c>
      <c r="K200" s="769">
        <v>653</v>
      </c>
      <c r="L200" s="769">
        <v>532</v>
      </c>
      <c r="M200" s="769">
        <v>108</v>
      </c>
      <c r="N200" s="769">
        <v>300</v>
      </c>
      <c r="O200" s="769"/>
      <c r="P200" s="769">
        <f t="shared" si="6"/>
        <v>5539</v>
      </c>
      <c r="Q200" s="758">
        <f t="shared" si="7"/>
        <v>461.58333333333331</v>
      </c>
      <c r="R200" s="4"/>
    </row>
    <row r="201" spans="1:18">
      <c r="A201" s="761" t="s">
        <v>749</v>
      </c>
      <c r="B201" s="769" t="s">
        <v>910</v>
      </c>
      <c r="C201" s="769"/>
      <c r="D201" s="769"/>
      <c r="E201" s="769"/>
      <c r="F201" s="769"/>
      <c r="G201" s="769"/>
      <c r="H201" s="769"/>
      <c r="I201" s="769"/>
      <c r="J201" s="769">
        <v>241</v>
      </c>
      <c r="K201" s="769"/>
      <c r="L201" s="769"/>
      <c r="M201" s="769"/>
      <c r="N201" s="769"/>
      <c r="O201" s="769"/>
      <c r="P201" s="769">
        <f t="shared" si="6"/>
        <v>241</v>
      </c>
      <c r="Q201" s="758">
        <f t="shared" si="7"/>
        <v>20.083333333333332</v>
      </c>
      <c r="R201" s="4"/>
    </row>
    <row r="202" spans="1:18">
      <c r="A202" s="770" t="s">
        <v>749</v>
      </c>
      <c r="B202" s="769" t="s">
        <v>909</v>
      </c>
      <c r="C202" s="769"/>
      <c r="D202" s="769"/>
      <c r="E202" s="769"/>
      <c r="F202" s="769"/>
      <c r="G202" s="769"/>
      <c r="H202" s="769"/>
      <c r="I202" s="769"/>
      <c r="J202" s="769">
        <v>3960</v>
      </c>
      <c r="K202" s="769"/>
      <c r="L202" s="769"/>
      <c r="M202" s="769"/>
      <c r="N202" s="769"/>
      <c r="O202" s="769"/>
      <c r="P202" s="769">
        <f t="shared" si="6"/>
        <v>3960</v>
      </c>
      <c r="Q202" s="758">
        <f t="shared" si="7"/>
        <v>330</v>
      </c>
      <c r="R202" s="4"/>
    </row>
    <row r="203" spans="1:18">
      <c r="A203" s="761" t="s">
        <v>784</v>
      </c>
      <c r="B203" s="769" t="s">
        <v>910</v>
      </c>
      <c r="C203" s="769"/>
      <c r="D203" s="769"/>
      <c r="E203" s="769"/>
      <c r="F203" s="769"/>
      <c r="G203" s="769"/>
      <c r="H203" s="769"/>
      <c r="I203" s="769"/>
      <c r="J203" s="769">
        <v>1553</v>
      </c>
      <c r="K203" s="769"/>
      <c r="L203" s="769"/>
      <c r="M203" s="769"/>
      <c r="N203" s="769"/>
      <c r="O203" s="769"/>
      <c r="P203" s="769">
        <f t="shared" si="6"/>
        <v>1553</v>
      </c>
      <c r="Q203" s="758">
        <f t="shared" si="7"/>
        <v>129.41666666666666</v>
      </c>
      <c r="R203" s="4"/>
    </row>
    <row r="204" spans="1:18">
      <c r="A204" s="761" t="s">
        <v>818</v>
      </c>
      <c r="B204" s="769" t="s">
        <v>910</v>
      </c>
      <c r="C204" s="769"/>
      <c r="D204" s="769"/>
      <c r="E204" s="769"/>
      <c r="F204" s="769"/>
      <c r="G204" s="769"/>
      <c r="H204" s="769"/>
      <c r="I204" s="769"/>
      <c r="J204" s="769">
        <v>590</v>
      </c>
      <c r="K204" s="769"/>
      <c r="L204" s="769"/>
      <c r="M204" s="769"/>
      <c r="N204" s="769"/>
      <c r="O204" s="769"/>
      <c r="P204" s="769">
        <f t="shared" si="6"/>
        <v>590</v>
      </c>
      <c r="Q204" s="758">
        <f t="shared" si="7"/>
        <v>49.166666666666664</v>
      </c>
      <c r="R204" s="4"/>
    </row>
    <row r="205" spans="1:18">
      <c r="A205" s="761" t="s">
        <v>867</v>
      </c>
      <c r="B205" s="769" t="s">
        <v>910</v>
      </c>
      <c r="C205" s="769"/>
      <c r="D205" s="769"/>
      <c r="E205" s="769"/>
      <c r="F205" s="769"/>
      <c r="G205" s="769"/>
      <c r="H205" s="769"/>
      <c r="I205" s="769"/>
      <c r="J205" s="769">
        <v>100</v>
      </c>
      <c r="K205" s="769"/>
      <c r="L205" s="769"/>
      <c r="M205" s="769"/>
      <c r="N205" s="769"/>
      <c r="O205" s="769"/>
      <c r="P205" s="769">
        <f t="shared" si="6"/>
        <v>100</v>
      </c>
      <c r="Q205" s="758">
        <f t="shared" si="7"/>
        <v>8.3333333333333339</v>
      </c>
      <c r="R205" s="4"/>
    </row>
    <row r="206" spans="1:18">
      <c r="A206" s="761" t="s">
        <v>868</v>
      </c>
      <c r="B206" s="769" t="s">
        <v>911</v>
      </c>
      <c r="C206" s="769"/>
      <c r="D206" s="769"/>
      <c r="E206" s="769"/>
      <c r="F206" s="769"/>
      <c r="G206" s="769">
        <v>100</v>
      </c>
      <c r="H206" s="769"/>
      <c r="I206" s="769"/>
      <c r="J206" s="769"/>
      <c r="K206" s="769"/>
      <c r="L206" s="769"/>
      <c r="M206" s="769"/>
      <c r="N206" s="769"/>
      <c r="O206" s="769"/>
      <c r="P206" s="769">
        <f t="shared" si="6"/>
        <v>100</v>
      </c>
      <c r="Q206" s="758">
        <f t="shared" si="7"/>
        <v>8.3333333333333339</v>
      </c>
      <c r="R206" s="4"/>
    </row>
    <row r="207" spans="1:18">
      <c r="A207" s="761" t="s">
        <v>835</v>
      </c>
      <c r="B207" s="769" t="s">
        <v>916</v>
      </c>
      <c r="C207" s="769"/>
      <c r="D207" s="769"/>
      <c r="E207" s="769">
        <v>299</v>
      </c>
      <c r="F207" s="769">
        <v>406</v>
      </c>
      <c r="G207" s="769"/>
      <c r="H207" s="769"/>
      <c r="I207" s="769"/>
      <c r="J207" s="769"/>
      <c r="K207" s="769">
        <v>303</v>
      </c>
      <c r="L207" s="769"/>
      <c r="M207" s="769"/>
      <c r="N207" s="769"/>
      <c r="O207" s="769"/>
      <c r="P207" s="769">
        <f t="shared" si="6"/>
        <v>1008</v>
      </c>
      <c r="Q207" s="758">
        <f t="shared" si="7"/>
        <v>84</v>
      </c>
      <c r="R207" s="4"/>
    </row>
    <row r="208" spans="1:18">
      <c r="A208" s="761" t="s">
        <v>844</v>
      </c>
      <c r="B208" s="769" t="s">
        <v>905</v>
      </c>
      <c r="C208" s="769"/>
      <c r="D208" s="769"/>
      <c r="E208" s="769"/>
      <c r="F208" s="769"/>
      <c r="G208" s="769"/>
      <c r="H208" s="769"/>
      <c r="I208" s="769"/>
      <c r="J208" s="769"/>
      <c r="K208" s="769">
        <v>100</v>
      </c>
      <c r="L208" s="769"/>
      <c r="M208" s="769"/>
      <c r="N208" s="769"/>
      <c r="O208" s="769"/>
      <c r="P208" s="769">
        <f t="shared" si="6"/>
        <v>100</v>
      </c>
      <c r="Q208" s="758">
        <f t="shared" si="7"/>
        <v>8.3333333333333339</v>
      </c>
      <c r="R208" s="4"/>
    </row>
    <row r="209" spans="1:18">
      <c r="A209" s="770" t="s">
        <v>844</v>
      </c>
      <c r="B209" s="769" t="s">
        <v>909</v>
      </c>
      <c r="C209" s="769"/>
      <c r="D209" s="769"/>
      <c r="E209" s="769"/>
      <c r="F209" s="769"/>
      <c r="G209" s="769"/>
      <c r="H209" s="769"/>
      <c r="I209" s="769"/>
      <c r="J209" s="769"/>
      <c r="K209" s="769"/>
      <c r="L209" s="769"/>
      <c r="M209" s="769"/>
      <c r="N209" s="769"/>
      <c r="O209" s="769">
        <v>75</v>
      </c>
      <c r="P209" s="769">
        <f t="shared" si="6"/>
        <v>75</v>
      </c>
      <c r="Q209" s="758">
        <f t="shared" si="7"/>
        <v>6.25</v>
      </c>
      <c r="R209" s="4"/>
    </row>
    <row r="210" spans="1:18">
      <c r="A210" s="770" t="s">
        <v>844</v>
      </c>
      <c r="B210" s="769" t="s">
        <v>904</v>
      </c>
      <c r="C210" s="769"/>
      <c r="D210" s="769"/>
      <c r="E210" s="769"/>
      <c r="F210" s="769"/>
      <c r="G210" s="769"/>
      <c r="H210" s="769"/>
      <c r="I210" s="769"/>
      <c r="J210" s="769"/>
      <c r="K210" s="769"/>
      <c r="L210" s="769"/>
      <c r="M210" s="769"/>
      <c r="N210" s="769"/>
      <c r="O210" s="769">
        <v>75</v>
      </c>
      <c r="P210" s="769">
        <f t="shared" si="6"/>
        <v>75</v>
      </c>
      <c r="Q210" s="758">
        <f t="shared" si="7"/>
        <v>6.25</v>
      </c>
      <c r="R210" s="4"/>
    </row>
    <row r="211" spans="1:18">
      <c r="A211" s="761" t="s">
        <v>858</v>
      </c>
      <c r="B211" s="769" t="s">
        <v>905</v>
      </c>
      <c r="C211" s="769"/>
      <c r="D211" s="769"/>
      <c r="E211" s="769"/>
      <c r="F211" s="769"/>
      <c r="G211" s="769"/>
      <c r="H211" s="769"/>
      <c r="I211" s="769"/>
      <c r="J211" s="769"/>
      <c r="K211" s="769"/>
      <c r="L211" s="769"/>
      <c r="M211" s="769"/>
      <c r="N211" s="769"/>
      <c r="O211" s="769">
        <v>152</v>
      </c>
      <c r="P211" s="769">
        <f t="shared" si="6"/>
        <v>152</v>
      </c>
      <c r="Q211" s="758">
        <f t="shared" si="7"/>
        <v>12.666666666666666</v>
      </c>
      <c r="R211" s="4"/>
    </row>
    <row r="212" spans="1:18">
      <c r="A212" s="761" t="s">
        <v>829</v>
      </c>
      <c r="B212" s="769" t="s">
        <v>900</v>
      </c>
      <c r="C212" s="769"/>
      <c r="D212" s="769"/>
      <c r="E212" s="769"/>
      <c r="F212" s="769"/>
      <c r="G212" s="769">
        <v>411</v>
      </c>
      <c r="H212" s="769"/>
      <c r="I212" s="769"/>
      <c r="J212" s="769"/>
      <c r="K212" s="769"/>
      <c r="L212" s="769"/>
      <c r="M212" s="769"/>
      <c r="N212" s="769"/>
      <c r="O212" s="769"/>
      <c r="P212" s="769">
        <f t="shared" si="6"/>
        <v>411</v>
      </c>
      <c r="Q212" s="758">
        <f t="shared" si="7"/>
        <v>34.25</v>
      </c>
      <c r="R212" s="4"/>
    </row>
    <row r="213" spans="1:18">
      <c r="A213" s="761" t="s">
        <v>863</v>
      </c>
      <c r="B213" s="769" t="s">
        <v>909</v>
      </c>
      <c r="C213" s="769"/>
      <c r="D213" s="769"/>
      <c r="E213" s="769"/>
      <c r="F213" s="769"/>
      <c r="G213" s="769"/>
      <c r="H213" s="769"/>
      <c r="I213" s="769"/>
      <c r="J213" s="769"/>
      <c r="K213" s="769"/>
      <c r="L213" s="769"/>
      <c r="M213" s="769"/>
      <c r="N213" s="769"/>
      <c r="O213" s="769">
        <v>149</v>
      </c>
      <c r="P213" s="769">
        <f t="shared" si="6"/>
        <v>149</v>
      </c>
      <c r="Q213" s="758">
        <f t="shared" si="7"/>
        <v>12.416666666666666</v>
      </c>
      <c r="R213" s="4"/>
    </row>
    <row r="214" spans="1:18">
      <c r="A214" s="761" t="s">
        <v>864</v>
      </c>
      <c r="B214" s="769" t="s">
        <v>904</v>
      </c>
      <c r="C214" s="769"/>
      <c r="D214" s="769"/>
      <c r="E214" s="769"/>
      <c r="F214" s="769"/>
      <c r="G214" s="769"/>
      <c r="H214" s="769"/>
      <c r="I214" s="769"/>
      <c r="J214" s="769"/>
      <c r="K214" s="769"/>
      <c r="L214" s="769"/>
      <c r="M214" s="769"/>
      <c r="N214" s="769"/>
      <c r="O214" s="769">
        <v>149</v>
      </c>
      <c r="P214" s="769">
        <f t="shared" si="6"/>
        <v>149</v>
      </c>
      <c r="Q214" s="758">
        <f t="shared" si="7"/>
        <v>12.416666666666666</v>
      </c>
      <c r="R214" s="4"/>
    </row>
    <row r="215" spans="1:18">
      <c r="A215" s="761" t="s">
        <v>859</v>
      </c>
      <c r="B215" s="769" t="s">
        <v>909</v>
      </c>
      <c r="C215" s="769"/>
      <c r="D215" s="769"/>
      <c r="E215" s="769"/>
      <c r="F215" s="769"/>
      <c r="G215" s="769"/>
      <c r="H215" s="769"/>
      <c r="I215" s="769"/>
      <c r="J215" s="769"/>
      <c r="K215" s="769"/>
      <c r="L215" s="769"/>
      <c r="M215" s="769"/>
      <c r="N215" s="769"/>
      <c r="O215" s="769">
        <v>150</v>
      </c>
      <c r="P215" s="769">
        <f t="shared" si="6"/>
        <v>150</v>
      </c>
      <c r="Q215" s="758">
        <f t="shared" si="7"/>
        <v>12.5</v>
      </c>
      <c r="R215" s="4"/>
    </row>
    <row r="216" spans="1:18">
      <c r="A216" s="761" t="s">
        <v>860</v>
      </c>
      <c r="B216" s="769" t="s">
        <v>904</v>
      </c>
      <c r="C216" s="769"/>
      <c r="D216" s="769"/>
      <c r="E216" s="769"/>
      <c r="F216" s="769"/>
      <c r="G216" s="769"/>
      <c r="H216" s="769"/>
      <c r="I216" s="769"/>
      <c r="J216" s="769"/>
      <c r="K216" s="769"/>
      <c r="L216" s="769"/>
      <c r="M216" s="769"/>
      <c r="N216" s="769"/>
      <c r="O216" s="769">
        <v>150</v>
      </c>
      <c r="P216" s="769">
        <f t="shared" si="6"/>
        <v>150</v>
      </c>
      <c r="Q216" s="758">
        <f t="shared" si="7"/>
        <v>12.5</v>
      </c>
      <c r="R216" s="4"/>
    </row>
    <row r="217" spans="1:18">
      <c r="A217" s="761" t="s">
        <v>763</v>
      </c>
      <c r="B217" s="769" t="s">
        <v>910</v>
      </c>
      <c r="C217" s="769"/>
      <c r="D217" s="769"/>
      <c r="E217" s="769"/>
      <c r="F217" s="769"/>
      <c r="G217" s="769"/>
      <c r="H217" s="769"/>
      <c r="I217" s="769"/>
      <c r="J217" s="769">
        <v>2400</v>
      </c>
      <c r="K217" s="769"/>
      <c r="L217" s="769"/>
      <c r="M217" s="769"/>
      <c r="N217" s="769"/>
      <c r="O217" s="769"/>
      <c r="P217" s="769">
        <f t="shared" si="6"/>
        <v>2400</v>
      </c>
      <c r="Q217" s="758">
        <f t="shared" si="7"/>
        <v>200</v>
      </c>
      <c r="R217" s="4"/>
    </row>
    <row r="218" spans="1:18">
      <c r="A218" s="761" t="s">
        <v>766</v>
      </c>
      <c r="B218" s="769" t="s">
        <v>910</v>
      </c>
      <c r="C218" s="769"/>
      <c r="D218" s="769"/>
      <c r="E218" s="769"/>
      <c r="F218" s="769"/>
      <c r="G218" s="769"/>
      <c r="H218" s="769"/>
      <c r="I218" s="769"/>
      <c r="J218" s="769">
        <v>2361</v>
      </c>
      <c r="K218" s="769"/>
      <c r="L218" s="769"/>
      <c r="M218" s="769"/>
      <c r="N218" s="769"/>
      <c r="O218" s="769"/>
      <c r="P218" s="769">
        <f t="shared" si="6"/>
        <v>2361</v>
      </c>
      <c r="Q218" s="758">
        <f t="shared" si="7"/>
        <v>196.75</v>
      </c>
      <c r="R218" s="4"/>
    </row>
    <row r="219" spans="1:18">
      <c r="A219" s="761" t="s">
        <v>831</v>
      </c>
      <c r="B219" s="769" t="s">
        <v>910</v>
      </c>
      <c r="C219" s="769"/>
      <c r="D219" s="769"/>
      <c r="E219" s="769"/>
      <c r="F219" s="769"/>
      <c r="G219" s="769"/>
      <c r="H219" s="769"/>
      <c r="I219" s="769"/>
      <c r="J219" s="769">
        <v>395</v>
      </c>
      <c r="K219" s="769"/>
      <c r="L219" s="769"/>
      <c r="M219" s="769"/>
      <c r="N219" s="769"/>
      <c r="O219" s="769"/>
      <c r="P219" s="769">
        <f t="shared" si="6"/>
        <v>395</v>
      </c>
      <c r="Q219" s="758">
        <f t="shared" si="7"/>
        <v>32.916666666666664</v>
      </c>
      <c r="R219" s="4"/>
    </row>
    <row r="220" spans="1:18">
      <c r="A220" s="761" t="s">
        <v>836</v>
      </c>
      <c r="B220" s="769" t="s">
        <v>904</v>
      </c>
      <c r="C220" s="769"/>
      <c r="D220" s="769"/>
      <c r="E220" s="769">
        <v>300</v>
      </c>
      <c r="F220" s="769">
        <v>330</v>
      </c>
      <c r="G220" s="769"/>
      <c r="H220" s="769"/>
      <c r="I220" s="769"/>
      <c r="J220" s="769"/>
      <c r="K220" s="769"/>
      <c r="L220" s="769"/>
      <c r="M220" s="769"/>
      <c r="N220" s="769"/>
      <c r="O220" s="769"/>
      <c r="P220" s="769">
        <f t="shared" si="6"/>
        <v>630</v>
      </c>
      <c r="Q220" s="758">
        <f t="shared" si="7"/>
        <v>52.5</v>
      </c>
      <c r="R220" s="4"/>
    </row>
    <row r="221" spans="1:18">
      <c r="A221" s="761" t="s">
        <v>861</v>
      </c>
      <c r="B221" s="769" t="s">
        <v>912</v>
      </c>
      <c r="C221" s="769">
        <v>108</v>
      </c>
      <c r="D221" s="769">
        <v>222</v>
      </c>
      <c r="E221" s="769">
        <v>198</v>
      </c>
      <c r="F221" s="769">
        <v>172</v>
      </c>
      <c r="G221" s="769"/>
      <c r="H221" s="769">
        <v>107</v>
      </c>
      <c r="I221" s="769"/>
      <c r="J221" s="769"/>
      <c r="K221" s="769"/>
      <c r="L221" s="769"/>
      <c r="M221" s="769">
        <v>104</v>
      </c>
      <c r="N221" s="769">
        <v>86</v>
      </c>
      <c r="O221" s="769">
        <v>196</v>
      </c>
      <c r="P221" s="769">
        <f t="shared" si="6"/>
        <v>1193</v>
      </c>
      <c r="Q221" s="758">
        <f t="shared" si="7"/>
        <v>99.416666666666671</v>
      </c>
      <c r="R221" s="4"/>
    </row>
    <row r="222" spans="1:18">
      <c r="A222" s="761" t="s">
        <v>827</v>
      </c>
      <c r="B222" s="769" t="s">
        <v>912</v>
      </c>
      <c r="C222" s="769"/>
      <c r="D222" s="769">
        <v>259</v>
      </c>
      <c r="E222" s="769"/>
      <c r="F222" s="769"/>
      <c r="G222" s="769">
        <v>595</v>
      </c>
      <c r="H222" s="769"/>
      <c r="I222" s="769"/>
      <c r="J222" s="769"/>
      <c r="K222" s="769"/>
      <c r="L222" s="769"/>
      <c r="M222" s="769"/>
      <c r="N222" s="769"/>
      <c r="O222" s="769"/>
      <c r="P222" s="769">
        <f t="shared" si="6"/>
        <v>854</v>
      </c>
      <c r="Q222" s="758">
        <f t="shared" si="7"/>
        <v>71.166666666666671</v>
      </c>
      <c r="R222" s="4"/>
    </row>
    <row r="223" spans="1:18">
      <c r="A223" s="761" t="s">
        <v>862</v>
      </c>
      <c r="B223" s="769" t="s">
        <v>910</v>
      </c>
      <c r="C223" s="769"/>
      <c r="D223" s="769"/>
      <c r="E223" s="769"/>
      <c r="F223" s="769"/>
      <c r="G223" s="769">
        <v>150</v>
      </c>
      <c r="H223" s="769"/>
      <c r="I223" s="769"/>
      <c r="J223" s="769"/>
      <c r="K223" s="769"/>
      <c r="L223" s="769"/>
      <c r="M223" s="769"/>
      <c r="N223" s="769"/>
      <c r="O223" s="769"/>
      <c r="P223" s="769">
        <f t="shared" si="6"/>
        <v>150</v>
      </c>
      <c r="Q223" s="758">
        <f t="shared" si="7"/>
        <v>12.5</v>
      </c>
      <c r="R223" s="4"/>
    </row>
    <row r="224" spans="1:18">
      <c r="A224" s="761" t="s">
        <v>832</v>
      </c>
      <c r="B224" s="769" t="s">
        <v>911</v>
      </c>
      <c r="C224" s="769">
        <v>220</v>
      </c>
      <c r="D224" s="769">
        <v>300</v>
      </c>
      <c r="E224" s="769">
        <v>600</v>
      </c>
      <c r="F224" s="769"/>
      <c r="G224" s="769"/>
      <c r="H224" s="769">
        <v>584</v>
      </c>
      <c r="I224" s="769">
        <v>190</v>
      </c>
      <c r="J224" s="769">
        <v>474</v>
      </c>
      <c r="K224" s="769">
        <v>422</v>
      </c>
      <c r="L224" s="769">
        <v>369</v>
      </c>
      <c r="M224" s="769">
        <v>348</v>
      </c>
      <c r="N224" s="769">
        <v>290</v>
      </c>
      <c r="O224" s="769"/>
      <c r="P224" s="769">
        <f t="shared" si="6"/>
        <v>3797</v>
      </c>
      <c r="Q224" s="758">
        <f t="shared" si="7"/>
        <v>316.41666666666669</v>
      </c>
      <c r="R224" s="4"/>
    </row>
    <row r="225" spans="1:18">
      <c r="A225" s="761" t="s">
        <v>850</v>
      </c>
      <c r="B225" s="769" t="s">
        <v>901</v>
      </c>
      <c r="C225" s="769"/>
      <c r="D225" s="769">
        <v>127</v>
      </c>
      <c r="E225" s="769">
        <v>115</v>
      </c>
      <c r="F225" s="769">
        <v>79</v>
      </c>
      <c r="G225" s="769">
        <v>100</v>
      </c>
      <c r="H225" s="769"/>
      <c r="I225" s="769"/>
      <c r="J225" s="769">
        <v>122</v>
      </c>
      <c r="K225" s="769"/>
      <c r="L225" s="769">
        <v>109</v>
      </c>
      <c r="M225" s="769"/>
      <c r="N225" s="769">
        <v>59</v>
      </c>
      <c r="O225" s="769"/>
      <c r="P225" s="769">
        <f t="shared" si="6"/>
        <v>711</v>
      </c>
      <c r="Q225" s="758">
        <f t="shared" si="7"/>
        <v>59.25</v>
      </c>
      <c r="R225" s="4"/>
    </row>
    <row r="226" spans="1:18">
      <c r="A226" s="770" t="s">
        <v>850</v>
      </c>
      <c r="B226" s="769" t="s">
        <v>903</v>
      </c>
      <c r="C226" s="769"/>
      <c r="D226" s="769"/>
      <c r="E226" s="769"/>
      <c r="F226" s="769">
        <v>200</v>
      </c>
      <c r="G226" s="769">
        <v>20</v>
      </c>
      <c r="H226" s="769"/>
      <c r="I226" s="769"/>
      <c r="J226" s="769"/>
      <c r="K226" s="769"/>
      <c r="L226" s="769"/>
      <c r="M226" s="769"/>
      <c r="N226" s="769"/>
      <c r="O226" s="769"/>
      <c r="P226" s="769">
        <f t="shared" si="6"/>
        <v>220</v>
      </c>
      <c r="Q226" s="758">
        <f t="shared" si="7"/>
        <v>18.333333333333332</v>
      </c>
      <c r="R226" s="4"/>
    </row>
    <row r="227" spans="1:18">
      <c r="A227" s="761" t="s">
        <v>872</v>
      </c>
      <c r="B227" s="769" t="s">
        <v>909</v>
      </c>
      <c r="C227" s="769"/>
      <c r="D227" s="769"/>
      <c r="E227" s="769"/>
      <c r="F227" s="769"/>
      <c r="G227" s="769"/>
      <c r="H227" s="769"/>
      <c r="I227" s="769"/>
      <c r="J227" s="769"/>
      <c r="K227" s="769">
        <v>105</v>
      </c>
      <c r="L227" s="769"/>
      <c r="M227" s="769">
        <v>48</v>
      </c>
      <c r="N227" s="769"/>
      <c r="O227" s="769"/>
      <c r="P227" s="769">
        <f t="shared" si="6"/>
        <v>153</v>
      </c>
      <c r="Q227" s="758">
        <f t="shared" si="7"/>
        <v>12.75</v>
      </c>
      <c r="R227" s="4"/>
    </row>
    <row r="228" spans="1:18">
      <c r="A228" s="761" t="s">
        <v>870</v>
      </c>
      <c r="B228" s="769" t="s">
        <v>909</v>
      </c>
      <c r="C228" s="769">
        <v>86</v>
      </c>
      <c r="D228" s="769">
        <v>100</v>
      </c>
      <c r="E228" s="769"/>
      <c r="F228" s="769">
        <v>60</v>
      </c>
      <c r="G228" s="769"/>
      <c r="H228" s="769">
        <v>153</v>
      </c>
      <c r="I228" s="769">
        <v>101</v>
      </c>
      <c r="J228" s="769">
        <v>66</v>
      </c>
      <c r="K228" s="769"/>
      <c r="L228" s="769">
        <v>116</v>
      </c>
      <c r="M228" s="769">
        <v>48</v>
      </c>
      <c r="N228" s="769">
        <v>50</v>
      </c>
      <c r="O228" s="769"/>
      <c r="P228" s="769">
        <f t="shared" si="6"/>
        <v>780</v>
      </c>
      <c r="Q228" s="758">
        <f t="shared" si="7"/>
        <v>65</v>
      </c>
      <c r="R228" s="4"/>
    </row>
    <row r="229" spans="1:18">
      <c r="A229" s="761" t="s">
        <v>843</v>
      </c>
      <c r="B229" s="769" t="s">
        <v>907</v>
      </c>
      <c r="C229" s="769">
        <v>100</v>
      </c>
      <c r="D229" s="769">
        <v>559</v>
      </c>
      <c r="E229" s="769"/>
      <c r="F229" s="769"/>
      <c r="G229" s="769"/>
      <c r="H229" s="769">
        <v>198</v>
      </c>
      <c r="I229" s="769">
        <v>170</v>
      </c>
      <c r="J229" s="769"/>
      <c r="K229" s="769">
        <v>203</v>
      </c>
      <c r="L229" s="769">
        <v>100</v>
      </c>
      <c r="M229" s="769">
        <v>355</v>
      </c>
      <c r="N229" s="769">
        <v>330</v>
      </c>
      <c r="O229" s="769"/>
      <c r="P229" s="769">
        <f t="shared" si="6"/>
        <v>2015</v>
      </c>
      <c r="Q229" s="758">
        <f t="shared" si="7"/>
        <v>167.91666666666666</v>
      </c>
      <c r="R229" s="4"/>
    </row>
    <row r="230" spans="1:18">
      <c r="A230" s="761" t="s">
        <v>866</v>
      </c>
      <c r="B230" s="769" t="s">
        <v>902</v>
      </c>
      <c r="C230" s="769"/>
      <c r="D230" s="769"/>
      <c r="E230" s="769"/>
      <c r="F230" s="769"/>
      <c r="G230" s="769"/>
      <c r="H230" s="769"/>
      <c r="I230" s="769"/>
      <c r="J230" s="769">
        <v>120</v>
      </c>
      <c r="K230" s="769"/>
      <c r="L230" s="769"/>
      <c r="M230" s="769"/>
      <c r="N230" s="769"/>
      <c r="O230" s="769"/>
      <c r="P230" s="769">
        <f t="shared" si="6"/>
        <v>120</v>
      </c>
      <c r="Q230" s="758">
        <f t="shared" si="7"/>
        <v>10</v>
      </c>
      <c r="R230" s="4"/>
    </row>
    <row r="231" spans="1:18">
      <c r="A231" s="761" t="s">
        <v>738</v>
      </c>
      <c r="B231" s="769" t="s">
        <v>905</v>
      </c>
      <c r="C231" s="769">
        <v>256</v>
      </c>
      <c r="D231" s="769">
        <v>325</v>
      </c>
      <c r="E231" s="769">
        <v>400</v>
      </c>
      <c r="F231" s="769">
        <v>200</v>
      </c>
      <c r="G231" s="769">
        <v>250</v>
      </c>
      <c r="H231" s="769">
        <v>400</v>
      </c>
      <c r="I231" s="769">
        <v>200</v>
      </c>
      <c r="J231" s="769">
        <v>420</v>
      </c>
      <c r="K231" s="769">
        <v>400</v>
      </c>
      <c r="L231" s="769">
        <v>350</v>
      </c>
      <c r="M231" s="769">
        <v>300</v>
      </c>
      <c r="N231" s="769">
        <v>225</v>
      </c>
      <c r="O231" s="769">
        <v>300</v>
      </c>
      <c r="P231" s="769">
        <f t="shared" si="6"/>
        <v>4026</v>
      </c>
      <c r="Q231" s="758">
        <f t="shared" si="7"/>
        <v>335.5</v>
      </c>
      <c r="R231" s="4"/>
    </row>
    <row r="232" spans="1:18">
      <c r="A232" s="770" t="s">
        <v>738</v>
      </c>
      <c r="B232" s="769" t="s">
        <v>907</v>
      </c>
      <c r="C232" s="769">
        <v>3150</v>
      </c>
      <c r="D232" s="769">
        <v>6300</v>
      </c>
      <c r="E232" s="769">
        <v>4650</v>
      </c>
      <c r="F232" s="769">
        <v>5600</v>
      </c>
      <c r="G232" s="769">
        <v>4230</v>
      </c>
      <c r="H232" s="769">
        <v>5350</v>
      </c>
      <c r="I232" s="769">
        <v>6410</v>
      </c>
      <c r="J232" s="769">
        <v>2950</v>
      </c>
      <c r="K232" s="769">
        <v>4550</v>
      </c>
      <c r="L232" s="769">
        <v>4000</v>
      </c>
      <c r="M232" s="769">
        <v>4100</v>
      </c>
      <c r="N232" s="769">
        <v>2300</v>
      </c>
      <c r="O232" s="769">
        <v>5050</v>
      </c>
      <c r="P232" s="769">
        <f t="shared" si="6"/>
        <v>58640</v>
      </c>
      <c r="Q232" s="758">
        <f t="shared" si="7"/>
        <v>4886.666666666667</v>
      </c>
      <c r="R232" s="4"/>
    </row>
    <row r="233" spans="1:18">
      <c r="A233" s="770" t="s">
        <v>738</v>
      </c>
      <c r="B233" s="769" t="s">
        <v>908</v>
      </c>
      <c r="C233" s="769">
        <v>310</v>
      </c>
      <c r="D233" s="769">
        <v>919</v>
      </c>
      <c r="E233" s="769">
        <v>1027</v>
      </c>
      <c r="F233" s="769">
        <v>1465</v>
      </c>
      <c r="G233" s="769">
        <v>1300</v>
      </c>
      <c r="H233" s="769">
        <v>1399</v>
      </c>
      <c r="I233" s="769">
        <v>2256</v>
      </c>
      <c r="J233" s="769">
        <v>910</v>
      </c>
      <c r="K233" s="769">
        <v>1560</v>
      </c>
      <c r="L233" s="769">
        <v>500</v>
      </c>
      <c r="M233" s="769">
        <v>1750</v>
      </c>
      <c r="N233" s="769">
        <v>658</v>
      </c>
      <c r="O233" s="769">
        <v>1148</v>
      </c>
      <c r="P233" s="769">
        <f t="shared" si="6"/>
        <v>15202</v>
      </c>
      <c r="Q233" s="758">
        <f t="shared" si="7"/>
        <v>1266.8333333333333</v>
      </c>
      <c r="R233" s="4"/>
    </row>
    <row r="234" spans="1:18">
      <c r="A234" s="761" t="s">
        <v>852</v>
      </c>
      <c r="B234" s="769" t="s">
        <v>916</v>
      </c>
      <c r="C234" s="769"/>
      <c r="D234" s="769">
        <v>308</v>
      </c>
      <c r="E234" s="769"/>
      <c r="F234" s="769"/>
      <c r="G234" s="769"/>
      <c r="H234" s="769"/>
      <c r="I234" s="769"/>
      <c r="J234" s="769"/>
      <c r="K234" s="769">
        <v>104</v>
      </c>
      <c r="L234" s="769"/>
      <c r="M234" s="769"/>
      <c r="N234" s="769"/>
      <c r="O234" s="769"/>
      <c r="P234" s="769">
        <f t="shared" si="6"/>
        <v>412</v>
      </c>
      <c r="Q234" s="758">
        <f t="shared" si="7"/>
        <v>34.333333333333336</v>
      </c>
      <c r="R234" s="4"/>
    </row>
    <row r="235" spans="1:18">
      <c r="A235" s="761" t="s">
        <v>807</v>
      </c>
      <c r="B235" s="769" t="s">
        <v>916</v>
      </c>
      <c r="C235" s="769">
        <v>2310</v>
      </c>
      <c r="D235" s="769">
        <v>605</v>
      </c>
      <c r="E235" s="769"/>
      <c r="F235" s="769"/>
      <c r="G235" s="769"/>
      <c r="H235" s="769">
        <v>555</v>
      </c>
      <c r="I235" s="769">
        <v>452</v>
      </c>
      <c r="J235" s="769">
        <v>975</v>
      </c>
      <c r="K235" s="769"/>
      <c r="L235" s="769"/>
      <c r="M235" s="769"/>
      <c r="N235" s="769">
        <v>500</v>
      </c>
      <c r="O235" s="769"/>
      <c r="P235" s="769">
        <f t="shared" si="6"/>
        <v>5397</v>
      </c>
      <c r="Q235" s="758">
        <f t="shared" si="7"/>
        <v>449.75</v>
      </c>
      <c r="R235" s="4"/>
    </row>
    <row r="236" spans="1:18">
      <c r="A236" s="761" t="s">
        <v>769</v>
      </c>
      <c r="B236" s="769" t="s">
        <v>902</v>
      </c>
      <c r="C236" s="769"/>
      <c r="D236" s="769"/>
      <c r="E236" s="769"/>
      <c r="F236" s="769"/>
      <c r="G236" s="769"/>
      <c r="H236" s="769">
        <v>3045</v>
      </c>
      <c r="I236" s="769"/>
      <c r="J236" s="769"/>
      <c r="K236" s="769"/>
      <c r="L236" s="769"/>
      <c r="M236" s="769">
        <v>1838</v>
      </c>
      <c r="N236" s="769"/>
      <c r="O236" s="769">
        <v>1820</v>
      </c>
      <c r="P236" s="769">
        <f t="shared" si="6"/>
        <v>6703</v>
      </c>
      <c r="Q236" s="758">
        <f t="shared" si="7"/>
        <v>558.58333333333337</v>
      </c>
      <c r="R236" s="4"/>
    </row>
    <row r="237" spans="1:18">
      <c r="A237" s="761" t="s">
        <v>833</v>
      </c>
      <c r="B237" s="769" t="s">
        <v>901</v>
      </c>
      <c r="C237" s="769"/>
      <c r="D237" s="769"/>
      <c r="E237" s="769"/>
      <c r="F237" s="769"/>
      <c r="G237" s="769"/>
      <c r="H237" s="769"/>
      <c r="I237" s="769"/>
      <c r="J237" s="769">
        <v>380</v>
      </c>
      <c r="K237" s="769"/>
      <c r="L237" s="769"/>
      <c r="M237" s="769"/>
      <c r="N237" s="769"/>
      <c r="O237" s="769"/>
      <c r="P237" s="769">
        <f t="shared" si="6"/>
        <v>380</v>
      </c>
      <c r="Q237" s="758">
        <f t="shared" si="7"/>
        <v>31.666666666666668</v>
      </c>
      <c r="R237" s="4"/>
    </row>
    <row r="238" spans="1:18">
      <c r="A238" s="761" t="s">
        <v>915</v>
      </c>
      <c r="B238" s="769" t="s">
        <v>909</v>
      </c>
      <c r="C238" s="769"/>
      <c r="D238" s="769">
        <v>474</v>
      </c>
      <c r="E238" s="769"/>
      <c r="F238" s="769"/>
      <c r="G238" s="769"/>
      <c r="H238" s="769">
        <v>509</v>
      </c>
      <c r="I238" s="769">
        <v>250</v>
      </c>
      <c r="J238" s="769"/>
      <c r="K238" s="769"/>
      <c r="L238" s="769"/>
      <c r="M238" s="769"/>
      <c r="N238" s="769"/>
      <c r="O238" s="769">
        <v>256</v>
      </c>
      <c r="P238" s="769">
        <f t="shared" si="6"/>
        <v>1489</v>
      </c>
      <c r="Q238" s="758">
        <f t="shared" si="7"/>
        <v>124.08333333333333</v>
      </c>
      <c r="R238" s="4"/>
    </row>
    <row r="239" spans="1:18">
      <c r="A239" s="761" t="s">
        <v>811</v>
      </c>
      <c r="B239" s="769" t="s">
        <v>905</v>
      </c>
      <c r="C239" s="769"/>
      <c r="D239" s="769"/>
      <c r="E239" s="769">
        <v>600</v>
      </c>
      <c r="F239" s="769">
        <v>680</v>
      </c>
      <c r="G239" s="769">
        <v>600</v>
      </c>
      <c r="H239" s="769"/>
      <c r="I239" s="769"/>
      <c r="J239" s="769"/>
      <c r="K239" s="769">
        <v>300</v>
      </c>
      <c r="L239" s="769"/>
      <c r="M239" s="769">
        <v>300</v>
      </c>
      <c r="N239" s="769">
        <v>241</v>
      </c>
      <c r="O239" s="769">
        <v>50</v>
      </c>
      <c r="P239" s="769">
        <f t="shared" si="6"/>
        <v>2771</v>
      </c>
      <c r="Q239" s="758">
        <f t="shared" si="7"/>
        <v>230.91666666666666</v>
      </c>
      <c r="R239" s="4"/>
    </row>
    <row r="240" spans="1:18">
      <c r="A240" s="770" t="s">
        <v>811</v>
      </c>
      <c r="B240" s="769" t="s">
        <v>908</v>
      </c>
      <c r="C240" s="769"/>
      <c r="D240" s="769">
        <v>413</v>
      </c>
      <c r="E240" s="769">
        <v>500</v>
      </c>
      <c r="F240" s="769">
        <v>350</v>
      </c>
      <c r="G240" s="769">
        <v>100</v>
      </c>
      <c r="H240" s="769">
        <v>565</v>
      </c>
      <c r="I240" s="769">
        <v>1163</v>
      </c>
      <c r="J240" s="769">
        <v>250</v>
      </c>
      <c r="K240" s="769">
        <v>300</v>
      </c>
      <c r="L240" s="769"/>
      <c r="M240" s="769">
        <v>472</v>
      </c>
      <c r="N240" s="769"/>
      <c r="O240" s="769">
        <v>527</v>
      </c>
      <c r="P240" s="769">
        <f t="shared" si="6"/>
        <v>4640</v>
      </c>
      <c r="Q240" s="758">
        <f t="shared" si="7"/>
        <v>386.66666666666669</v>
      </c>
      <c r="R240" s="4"/>
    </row>
    <row r="241" spans="1:18">
      <c r="A241" s="761" t="s">
        <v>826</v>
      </c>
      <c r="B241" s="769" t="s">
        <v>901</v>
      </c>
      <c r="C241" s="769"/>
      <c r="D241" s="769"/>
      <c r="E241" s="769"/>
      <c r="F241" s="769"/>
      <c r="G241" s="769"/>
      <c r="H241" s="769"/>
      <c r="I241" s="769"/>
      <c r="J241" s="769">
        <v>428</v>
      </c>
      <c r="K241" s="769"/>
      <c r="L241" s="769"/>
      <c r="M241" s="769"/>
      <c r="N241" s="769"/>
      <c r="O241" s="769"/>
      <c r="P241" s="769">
        <f t="shared" si="6"/>
        <v>428</v>
      </c>
      <c r="Q241" s="758">
        <f t="shared" si="7"/>
        <v>35.666666666666664</v>
      </c>
      <c r="R241" s="4"/>
    </row>
    <row r="242" spans="1:18">
      <c r="A242" s="761" t="s">
        <v>801</v>
      </c>
      <c r="B242" s="769" t="s">
        <v>904</v>
      </c>
      <c r="C242" s="769">
        <v>444</v>
      </c>
      <c r="D242" s="769">
        <v>1436</v>
      </c>
      <c r="E242" s="769">
        <v>100</v>
      </c>
      <c r="F242" s="769">
        <v>1626</v>
      </c>
      <c r="G242" s="769">
        <v>1245</v>
      </c>
      <c r="H242" s="769">
        <v>1291</v>
      </c>
      <c r="I242" s="769">
        <v>522</v>
      </c>
      <c r="J242" s="769">
        <v>1380</v>
      </c>
      <c r="K242" s="769"/>
      <c r="L242" s="769">
        <v>1023</v>
      </c>
      <c r="M242" s="769"/>
      <c r="N242" s="769">
        <v>750</v>
      </c>
      <c r="O242" s="769">
        <v>1876</v>
      </c>
      <c r="P242" s="769">
        <f t="shared" si="6"/>
        <v>11693</v>
      </c>
      <c r="Q242" s="758">
        <f t="shared" si="7"/>
        <v>974.41666666666663</v>
      </c>
      <c r="R242" s="4"/>
    </row>
    <row r="243" spans="1:18">
      <c r="A243" s="761" t="s">
        <v>780</v>
      </c>
      <c r="B243" s="769" t="s">
        <v>907</v>
      </c>
      <c r="C243" s="769">
        <v>1500</v>
      </c>
      <c r="D243" s="769">
        <v>3350</v>
      </c>
      <c r="E243" s="769">
        <v>2000</v>
      </c>
      <c r="F243" s="769">
        <v>1500</v>
      </c>
      <c r="G243" s="769"/>
      <c r="H243" s="769">
        <v>1000</v>
      </c>
      <c r="I243" s="769">
        <v>850</v>
      </c>
      <c r="J243" s="769"/>
      <c r="K243" s="769">
        <v>2006</v>
      </c>
      <c r="L243" s="769">
        <v>1975</v>
      </c>
      <c r="M243" s="769">
        <v>1470</v>
      </c>
      <c r="N243" s="769">
        <v>1440</v>
      </c>
      <c r="O243" s="769">
        <v>2150</v>
      </c>
      <c r="P243" s="769">
        <f t="shared" si="6"/>
        <v>19241</v>
      </c>
      <c r="Q243" s="758">
        <f t="shared" si="7"/>
        <v>1603.4166666666667</v>
      </c>
      <c r="R243" s="4"/>
    </row>
    <row r="244" spans="1:18">
      <c r="A244" s="761" t="s">
        <v>841</v>
      </c>
      <c r="B244" s="769" t="s">
        <v>904</v>
      </c>
      <c r="C244" s="769"/>
      <c r="D244" s="769"/>
      <c r="E244" s="769"/>
      <c r="F244" s="769"/>
      <c r="G244" s="769"/>
      <c r="H244" s="769"/>
      <c r="I244" s="769"/>
      <c r="J244" s="769">
        <v>295</v>
      </c>
      <c r="K244" s="769"/>
      <c r="L244" s="769"/>
      <c r="M244" s="769"/>
      <c r="N244" s="769"/>
      <c r="O244" s="769"/>
      <c r="P244" s="769">
        <f t="shared" si="6"/>
        <v>295</v>
      </c>
      <c r="Q244" s="758">
        <f t="shared" si="7"/>
        <v>24.583333333333332</v>
      </c>
      <c r="R244" s="4"/>
    </row>
    <row r="245" spans="1:18">
      <c r="A245" s="761" t="s">
        <v>757</v>
      </c>
      <c r="B245" s="769" t="s">
        <v>900</v>
      </c>
      <c r="C245" s="769">
        <v>673</v>
      </c>
      <c r="D245" s="769">
        <v>966</v>
      </c>
      <c r="E245" s="769">
        <v>1227</v>
      </c>
      <c r="F245" s="769">
        <v>506</v>
      </c>
      <c r="G245" s="769">
        <v>230</v>
      </c>
      <c r="H245" s="769">
        <v>1387</v>
      </c>
      <c r="I245" s="769">
        <v>1062</v>
      </c>
      <c r="J245" s="769">
        <v>1035</v>
      </c>
      <c r="K245" s="769">
        <v>690</v>
      </c>
      <c r="L245" s="769">
        <v>1019</v>
      </c>
      <c r="M245" s="769">
        <v>960</v>
      </c>
      <c r="N245" s="769">
        <v>1846</v>
      </c>
      <c r="O245" s="769">
        <v>938</v>
      </c>
      <c r="P245" s="769">
        <f t="shared" si="6"/>
        <v>12539</v>
      </c>
      <c r="Q245" s="758">
        <f t="shared" si="7"/>
        <v>1044.9166666666667</v>
      </c>
      <c r="R245" s="4"/>
    </row>
    <row r="246" spans="1:18">
      <c r="A246" s="770" t="s">
        <v>757</v>
      </c>
      <c r="B246" s="769" t="s">
        <v>904</v>
      </c>
      <c r="C246" s="769">
        <v>890</v>
      </c>
      <c r="D246" s="769">
        <v>622</v>
      </c>
      <c r="E246" s="769"/>
      <c r="F246" s="769">
        <v>840</v>
      </c>
      <c r="G246" s="769">
        <v>450</v>
      </c>
      <c r="H246" s="769">
        <v>1290</v>
      </c>
      <c r="I246" s="769">
        <v>890</v>
      </c>
      <c r="J246" s="769">
        <v>687</v>
      </c>
      <c r="K246" s="769">
        <v>458</v>
      </c>
      <c r="L246" s="769">
        <v>710</v>
      </c>
      <c r="M246" s="769">
        <v>200</v>
      </c>
      <c r="N246" s="769">
        <v>230</v>
      </c>
      <c r="O246" s="769">
        <v>790</v>
      </c>
      <c r="P246" s="769">
        <f t="shared" si="6"/>
        <v>8057</v>
      </c>
      <c r="Q246" s="758">
        <f t="shared" si="7"/>
        <v>671.41666666666663</v>
      </c>
      <c r="R246" s="4"/>
    </row>
    <row r="247" spans="1:18">
      <c r="A247" s="770" t="s">
        <v>757</v>
      </c>
      <c r="B247" s="769" t="s">
        <v>903</v>
      </c>
      <c r="C247" s="769"/>
      <c r="D247" s="769">
        <v>240</v>
      </c>
      <c r="E247" s="769">
        <v>1298</v>
      </c>
      <c r="F247" s="769">
        <v>844</v>
      </c>
      <c r="G247" s="769">
        <v>1585</v>
      </c>
      <c r="H247" s="769"/>
      <c r="I247" s="769"/>
      <c r="J247" s="769"/>
      <c r="K247" s="769">
        <v>1533</v>
      </c>
      <c r="L247" s="769"/>
      <c r="M247" s="769">
        <v>713</v>
      </c>
      <c r="N247" s="769">
        <v>1312</v>
      </c>
      <c r="O247" s="769">
        <v>661</v>
      </c>
      <c r="P247" s="769">
        <f t="shared" si="6"/>
        <v>8186</v>
      </c>
      <c r="Q247" s="758">
        <f t="shared" si="7"/>
        <v>682.16666666666663</v>
      </c>
      <c r="R247" s="4"/>
    </row>
    <row r="248" spans="1:18">
      <c r="A248" s="761" t="s">
        <v>778</v>
      </c>
      <c r="B248" s="769" t="s">
        <v>901</v>
      </c>
      <c r="C248" s="769"/>
      <c r="D248" s="769">
        <v>160</v>
      </c>
      <c r="E248" s="769"/>
      <c r="F248" s="769">
        <v>100</v>
      </c>
      <c r="G248" s="769">
        <v>100</v>
      </c>
      <c r="H248" s="769">
        <v>150</v>
      </c>
      <c r="I248" s="769"/>
      <c r="J248" s="769"/>
      <c r="K248" s="769">
        <v>150</v>
      </c>
      <c r="L248" s="769"/>
      <c r="M248" s="769">
        <v>200</v>
      </c>
      <c r="N248" s="769"/>
      <c r="O248" s="769">
        <v>250</v>
      </c>
      <c r="P248" s="769">
        <f t="shared" si="6"/>
        <v>1110</v>
      </c>
      <c r="Q248" s="758">
        <f t="shared" si="7"/>
        <v>92.5</v>
      </c>
      <c r="R248" s="4"/>
    </row>
    <row r="249" spans="1:18">
      <c r="A249" s="770" t="s">
        <v>778</v>
      </c>
      <c r="B249" s="769" t="s">
        <v>904</v>
      </c>
      <c r="C249" s="769">
        <v>1850</v>
      </c>
      <c r="D249" s="769">
        <v>1000</v>
      </c>
      <c r="E249" s="769">
        <v>1700</v>
      </c>
      <c r="F249" s="769">
        <v>1775</v>
      </c>
      <c r="G249" s="769">
        <v>1900</v>
      </c>
      <c r="H249" s="769">
        <v>1746</v>
      </c>
      <c r="I249" s="769">
        <v>1415</v>
      </c>
      <c r="J249" s="769">
        <v>1964</v>
      </c>
      <c r="K249" s="769">
        <v>1790</v>
      </c>
      <c r="L249" s="769">
        <v>1280</v>
      </c>
      <c r="M249" s="769">
        <v>936</v>
      </c>
      <c r="N249" s="769">
        <v>1150</v>
      </c>
      <c r="O249" s="769">
        <v>2585</v>
      </c>
      <c r="P249" s="769">
        <f t="shared" si="6"/>
        <v>21091</v>
      </c>
      <c r="Q249" s="758">
        <f t="shared" si="7"/>
        <v>1757.5833333333333</v>
      </c>
      <c r="R249" s="4"/>
    </row>
    <row r="250" spans="1:18">
      <c r="A250" s="761" t="s">
        <v>795</v>
      </c>
      <c r="B250" s="769" t="s">
        <v>909</v>
      </c>
      <c r="C250" s="769"/>
      <c r="D250" s="769"/>
      <c r="E250" s="769"/>
      <c r="F250" s="769"/>
      <c r="G250" s="769"/>
      <c r="H250" s="769"/>
      <c r="I250" s="769"/>
      <c r="J250" s="769">
        <v>255</v>
      </c>
      <c r="K250" s="769"/>
      <c r="L250" s="769"/>
      <c r="M250" s="769"/>
      <c r="N250" s="769"/>
      <c r="O250" s="769"/>
      <c r="P250" s="769">
        <f t="shared" si="6"/>
        <v>255</v>
      </c>
      <c r="Q250" s="758">
        <f t="shared" si="7"/>
        <v>21.25</v>
      </c>
      <c r="R250" s="4"/>
    </row>
    <row r="251" spans="1:18">
      <c r="A251" s="770" t="s">
        <v>795</v>
      </c>
      <c r="B251" s="769" t="s">
        <v>904</v>
      </c>
      <c r="C251" s="769"/>
      <c r="D251" s="769"/>
      <c r="E251" s="769"/>
      <c r="F251" s="769"/>
      <c r="G251" s="769"/>
      <c r="H251" s="769"/>
      <c r="I251" s="769"/>
      <c r="J251" s="769">
        <v>898</v>
      </c>
      <c r="K251" s="769"/>
      <c r="L251" s="769"/>
      <c r="M251" s="769"/>
      <c r="N251" s="769"/>
      <c r="O251" s="769"/>
      <c r="P251" s="769">
        <f t="shared" si="6"/>
        <v>898</v>
      </c>
      <c r="Q251" s="758">
        <f t="shared" si="7"/>
        <v>74.833333333333329</v>
      </c>
      <c r="R251" s="4"/>
    </row>
    <row r="252" spans="1:18">
      <c r="A252" s="761" t="s">
        <v>788</v>
      </c>
      <c r="B252" s="769" t="s">
        <v>909</v>
      </c>
      <c r="C252" s="769">
        <v>1407</v>
      </c>
      <c r="D252" s="769">
        <v>1360</v>
      </c>
      <c r="E252" s="769">
        <v>1466</v>
      </c>
      <c r="F252" s="769">
        <v>1702</v>
      </c>
      <c r="G252" s="769">
        <v>1030</v>
      </c>
      <c r="H252" s="769">
        <v>1896</v>
      </c>
      <c r="I252" s="769">
        <v>1519</v>
      </c>
      <c r="J252" s="769">
        <v>1517</v>
      </c>
      <c r="K252" s="769">
        <v>703</v>
      </c>
      <c r="L252" s="769">
        <v>1655</v>
      </c>
      <c r="M252" s="769">
        <v>949</v>
      </c>
      <c r="N252" s="769">
        <v>1640</v>
      </c>
      <c r="O252" s="769">
        <v>2018</v>
      </c>
      <c r="P252" s="769">
        <f t="shared" si="6"/>
        <v>18862</v>
      </c>
      <c r="Q252" s="758">
        <f t="shared" si="7"/>
        <v>1571.8333333333333</v>
      </c>
      <c r="R252" s="4"/>
    </row>
    <row r="253" spans="1:18">
      <c r="A253" s="761" t="s">
        <v>785</v>
      </c>
      <c r="B253" s="769" t="s">
        <v>900</v>
      </c>
      <c r="C253" s="769">
        <v>300</v>
      </c>
      <c r="D253" s="769"/>
      <c r="E253" s="769"/>
      <c r="F253" s="769"/>
      <c r="G253" s="769"/>
      <c r="H253" s="769">
        <v>250</v>
      </c>
      <c r="I253" s="769">
        <v>70</v>
      </c>
      <c r="J253" s="769">
        <v>690</v>
      </c>
      <c r="K253" s="769"/>
      <c r="L253" s="769">
        <v>300</v>
      </c>
      <c r="M253" s="769"/>
      <c r="N253" s="769"/>
      <c r="O253" s="769">
        <v>130</v>
      </c>
      <c r="P253" s="769">
        <f t="shared" si="6"/>
        <v>1740</v>
      </c>
      <c r="Q253" s="758">
        <f t="shared" si="7"/>
        <v>145</v>
      </c>
      <c r="R253" s="4"/>
    </row>
    <row r="254" spans="1:18">
      <c r="A254" s="770" t="s">
        <v>785</v>
      </c>
      <c r="B254" s="769" t="s">
        <v>909</v>
      </c>
      <c r="C254" s="769"/>
      <c r="D254" s="769"/>
      <c r="E254" s="769"/>
      <c r="F254" s="769"/>
      <c r="G254" s="769"/>
      <c r="H254" s="769"/>
      <c r="I254" s="769"/>
      <c r="J254" s="769">
        <v>1000</v>
      </c>
      <c r="K254" s="769"/>
      <c r="L254" s="769"/>
      <c r="M254" s="769"/>
      <c r="N254" s="769"/>
      <c r="O254" s="769"/>
      <c r="P254" s="769">
        <f t="shared" si="6"/>
        <v>1000</v>
      </c>
      <c r="Q254" s="758">
        <f t="shared" si="7"/>
        <v>83.333333333333329</v>
      </c>
      <c r="R254" s="4"/>
    </row>
    <row r="255" spans="1:18">
      <c r="A255" s="770" t="s">
        <v>785</v>
      </c>
      <c r="B255" s="769" t="s">
        <v>904</v>
      </c>
      <c r="C255" s="769"/>
      <c r="D255" s="769">
        <v>210</v>
      </c>
      <c r="E255" s="769"/>
      <c r="F255" s="769"/>
      <c r="G255" s="769"/>
      <c r="H255" s="769"/>
      <c r="I255" s="769"/>
      <c r="J255" s="769"/>
      <c r="K255" s="769"/>
      <c r="L255" s="769"/>
      <c r="M255" s="769"/>
      <c r="N255" s="769"/>
      <c r="O255" s="769"/>
      <c r="P255" s="769">
        <f t="shared" si="6"/>
        <v>210</v>
      </c>
      <c r="Q255" s="758">
        <f t="shared" si="7"/>
        <v>17.5</v>
      </c>
      <c r="R255" s="4"/>
    </row>
    <row r="256" spans="1:18">
      <c r="A256" s="761" t="s">
        <v>747</v>
      </c>
      <c r="B256" s="769" t="s">
        <v>909</v>
      </c>
      <c r="C256" s="769">
        <v>3650</v>
      </c>
      <c r="D256" s="769">
        <v>4500</v>
      </c>
      <c r="E256" s="769">
        <v>5155</v>
      </c>
      <c r="F256" s="769">
        <v>3720</v>
      </c>
      <c r="G256" s="769">
        <v>3872</v>
      </c>
      <c r="H256" s="769">
        <v>6044</v>
      </c>
      <c r="I256" s="769">
        <v>5155</v>
      </c>
      <c r="J256" s="769">
        <v>4520</v>
      </c>
      <c r="K256" s="769">
        <v>2500</v>
      </c>
      <c r="L256" s="769">
        <v>5185</v>
      </c>
      <c r="M256" s="769">
        <v>2700</v>
      </c>
      <c r="N256" s="769">
        <v>3660</v>
      </c>
      <c r="O256" s="769">
        <v>3700</v>
      </c>
      <c r="P256" s="769">
        <f t="shared" si="6"/>
        <v>54361</v>
      </c>
      <c r="Q256" s="758">
        <f t="shared" si="7"/>
        <v>4530.083333333333</v>
      </c>
      <c r="R256" s="4"/>
    </row>
    <row r="257" spans="1:18">
      <c r="A257" s="770" t="s">
        <v>747</v>
      </c>
      <c r="B257" s="769" t="s">
        <v>903</v>
      </c>
      <c r="C257" s="769"/>
      <c r="D257" s="769"/>
      <c r="E257" s="769">
        <v>300</v>
      </c>
      <c r="F257" s="769"/>
      <c r="G257" s="769"/>
      <c r="H257" s="769"/>
      <c r="I257" s="769"/>
      <c r="J257" s="769"/>
      <c r="K257" s="769"/>
      <c r="L257" s="769"/>
      <c r="M257" s="769"/>
      <c r="N257" s="769"/>
      <c r="O257" s="769"/>
      <c r="P257" s="769">
        <f t="shared" si="6"/>
        <v>300</v>
      </c>
      <c r="Q257" s="758">
        <f t="shared" si="7"/>
        <v>25</v>
      </c>
      <c r="R257" s="4"/>
    </row>
    <row r="258" spans="1:18">
      <c r="A258" s="761" t="s">
        <v>914</v>
      </c>
      <c r="B258" s="769" t="s">
        <v>909</v>
      </c>
      <c r="C258" s="769"/>
      <c r="D258" s="769">
        <v>1100</v>
      </c>
      <c r="E258" s="769"/>
      <c r="F258" s="769"/>
      <c r="G258" s="769"/>
      <c r="H258" s="769">
        <v>700</v>
      </c>
      <c r="I258" s="769">
        <v>500</v>
      </c>
      <c r="J258" s="769"/>
      <c r="K258" s="769"/>
      <c r="L258" s="769"/>
      <c r="M258" s="769"/>
      <c r="N258" s="769"/>
      <c r="O258" s="769">
        <v>500</v>
      </c>
      <c r="P258" s="769">
        <f t="shared" ref="P258:P268" si="8">SUM(C258:O258)</f>
        <v>2800</v>
      </c>
      <c r="Q258" s="758">
        <f t="shared" si="7"/>
        <v>233.33333333333334</v>
      </c>
      <c r="R258" s="4"/>
    </row>
    <row r="259" spans="1:18">
      <c r="A259" s="761" t="s">
        <v>879</v>
      </c>
      <c r="B259" s="769" t="s">
        <v>898</v>
      </c>
      <c r="C259" s="769"/>
      <c r="D259" s="769"/>
      <c r="E259" s="769"/>
      <c r="F259" s="769"/>
      <c r="G259" s="769">
        <v>20</v>
      </c>
      <c r="H259" s="769"/>
      <c r="I259" s="769"/>
      <c r="J259" s="769"/>
      <c r="K259" s="769"/>
      <c r="L259" s="769"/>
      <c r="M259" s="769"/>
      <c r="N259" s="769"/>
      <c r="O259" s="769"/>
      <c r="P259" s="769">
        <f t="shared" si="8"/>
        <v>20</v>
      </c>
      <c r="Q259" s="758">
        <f t="shared" ref="Q259:Q267" si="9">P259/12</f>
        <v>1.6666666666666667</v>
      </c>
      <c r="R259" s="4"/>
    </row>
    <row r="260" spans="1:18">
      <c r="A260" s="761" t="s">
        <v>875</v>
      </c>
      <c r="B260" s="769" t="s">
        <v>911</v>
      </c>
      <c r="C260" s="769"/>
      <c r="D260" s="769"/>
      <c r="E260" s="769"/>
      <c r="F260" s="769"/>
      <c r="G260" s="769"/>
      <c r="H260" s="769"/>
      <c r="I260" s="769"/>
      <c r="J260" s="769">
        <v>60</v>
      </c>
      <c r="K260" s="769"/>
      <c r="L260" s="769"/>
      <c r="M260" s="769"/>
      <c r="N260" s="769"/>
      <c r="O260" s="769"/>
      <c r="P260" s="769">
        <f t="shared" si="8"/>
        <v>60</v>
      </c>
      <c r="Q260" s="758">
        <f t="shared" si="9"/>
        <v>5</v>
      </c>
      <c r="R260" s="4"/>
    </row>
    <row r="261" spans="1:18">
      <c r="A261" s="761" t="s">
        <v>878</v>
      </c>
      <c r="B261" s="769" t="s">
        <v>910</v>
      </c>
      <c r="C261" s="769"/>
      <c r="D261" s="769">
        <v>4</v>
      </c>
      <c r="E261" s="769"/>
      <c r="F261" s="769"/>
      <c r="G261" s="769"/>
      <c r="H261" s="769">
        <v>73</v>
      </c>
      <c r="I261" s="769">
        <v>68</v>
      </c>
      <c r="J261" s="769">
        <v>35</v>
      </c>
      <c r="K261" s="769">
        <v>30</v>
      </c>
      <c r="L261" s="769"/>
      <c r="M261" s="769"/>
      <c r="N261" s="769">
        <v>57</v>
      </c>
      <c r="O261" s="769">
        <v>20</v>
      </c>
      <c r="P261" s="769">
        <f t="shared" si="8"/>
        <v>287</v>
      </c>
      <c r="Q261" s="758">
        <f t="shared" si="9"/>
        <v>23.916666666666668</v>
      </c>
      <c r="R261" s="4"/>
    </row>
    <row r="262" spans="1:18">
      <c r="A262" s="761" t="s">
        <v>853</v>
      </c>
      <c r="B262" s="769" t="s">
        <v>910</v>
      </c>
      <c r="C262" s="769">
        <v>196</v>
      </c>
      <c r="D262" s="769">
        <v>285</v>
      </c>
      <c r="E262" s="769">
        <v>138</v>
      </c>
      <c r="F262" s="769">
        <v>35</v>
      </c>
      <c r="G262" s="769">
        <v>243</v>
      </c>
      <c r="H262" s="769">
        <v>158</v>
      </c>
      <c r="I262" s="769">
        <v>166</v>
      </c>
      <c r="J262" s="769">
        <v>250</v>
      </c>
      <c r="K262" s="769">
        <v>174</v>
      </c>
      <c r="L262" s="769">
        <v>225</v>
      </c>
      <c r="M262" s="769">
        <v>80</v>
      </c>
      <c r="N262" s="769">
        <v>195</v>
      </c>
      <c r="O262" s="769">
        <v>230</v>
      </c>
      <c r="P262" s="769">
        <f t="shared" si="8"/>
        <v>2375</v>
      </c>
      <c r="Q262" s="758">
        <f t="shared" si="9"/>
        <v>197.91666666666666</v>
      </c>
      <c r="R262" s="4"/>
    </row>
    <row r="263" spans="1:18">
      <c r="A263" s="761" t="s">
        <v>877</v>
      </c>
      <c r="B263" s="769" t="s">
        <v>902</v>
      </c>
      <c r="C263" s="769"/>
      <c r="D263" s="769"/>
      <c r="E263" s="769"/>
      <c r="F263" s="769"/>
      <c r="G263" s="769"/>
      <c r="H263" s="769"/>
      <c r="I263" s="769"/>
      <c r="J263" s="769">
        <v>53</v>
      </c>
      <c r="K263" s="769"/>
      <c r="L263" s="769"/>
      <c r="M263" s="769"/>
      <c r="N263" s="769"/>
      <c r="O263" s="769"/>
      <c r="P263" s="769">
        <f t="shared" si="8"/>
        <v>53</v>
      </c>
      <c r="Q263" s="758">
        <f t="shared" si="9"/>
        <v>4.416666666666667</v>
      </c>
      <c r="R263" s="4"/>
    </row>
    <row r="264" spans="1:18">
      <c r="A264" s="761" t="s">
        <v>756</v>
      </c>
      <c r="B264" s="769" t="s">
        <v>912</v>
      </c>
      <c r="C264" s="769"/>
      <c r="D264" s="769"/>
      <c r="E264" s="769"/>
      <c r="F264" s="769"/>
      <c r="G264" s="769">
        <v>1985</v>
      </c>
      <c r="H264" s="769">
        <v>3085</v>
      </c>
      <c r="I264" s="769"/>
      <c r="J264" s="769"/>
      <c r="K264" s="769">
        <v>3200</v>
      </c>
      <c r="L264" s="769"/>
      <c r="M264" s="769"/>
      <c r="N264" s="769"/>
      <c r="O264" s="769"/>
      <c r="P264" s="769">
        <f t="shared" si="8"/>
        <v>8270</v>
      </c>
      <c r="Q264" s="758">
        <f t="shared" si="9"/>
        <v>689.16666666666663</v>
      </c>
      <c r="R264" s="4"/>
    </row>
    <row r="265" spans="1:18">
      <c r="A265" s="761" t="s">
        <v>753</v>
      </c>
      <c r="B265" s="769" t="s">
        <v>912</v>
      </c>
      <c r="C265" s="769"/>
      <c r="D265" s="769">
        <v>3200</v>
      </c>
      <c r="E265" s="769"/>
      <c r="F265" s="769"/>
      <c r="G265" s="769"/>
      <c r="H265" s="769"/>
      <c r="I265" s="769"/>
      <c r="J265" s="769"/>
      <c r="K265" s="769">
        <v>3200</v>
      </c>
      <c r="L265" s="769"/>
      <c r="M265" s="769"/>
      <c r="N265" s="769"/>
      <c r="O265" s="769"/>
      <c r="P265" s="769">
        <f t="shared" si="8"/>
        <v>6400</v>
      </c>
      <c r="Q265" s="758">
        <f t="shared" si="9"/>
        <v>533.33333333333337</v>
      </c>
      <c r="R265" s="4"/>
    </row>
    <row r="266" spans="1:18">
      <c r="A266" s="761" t="s">
        <v>750</v>
      </c>
      <c r="B266" s="769" t="s">
        <v>912</v>
      </c>
      <c r="C266" s="769"/>
      <c r="D266" s="769">
        <v>3000</v>
      </c>
      <c r="E266" s="769"/>
      <c r="F266" s="769"/>
      <c r="G266" s="769">
        <v>1800</v>
      </c>
      <c r="H266" s="769"/>
      <c r="I266" s="769"/>
      <c r="J266" s="769"/>
      <c r="K266" s="769">
        <v>2800</v>
      </c>
      <c r="L266" s="769"/>
      <c r="M266" s="769"/>
      <c r="N266" s="769"/>
      <c r="O266" s="769"/>
      <c r="P266" s="769">
        <f t="shared" si="8"/>
        <v>7600</v>
      </c>
      <c r="Q266" s="758">
        <f t="shared" si="9"/>
        <v>633.33333333333337</v>
      </c>
      <c r="R266" s="4"/>
    </row>
    <row r="267" spans="1:18">
      <c r="A267" s="770" t="s">
        <v>750</v>
      </c>
      <c r="B267" s="769" t="s">
        <v>910</v>
      </c>
      <c r="C267" s="769"/>
      <c r="D267" s="769"/>
      <c r="E267" s="769"/>
      <c r="F267" s="769"/>
      <c r="G267" s="769"/>
      <c r="H267" s="769"/>
      <c r="I267" s="769"/>
      <c r="J267" s="769">
        <v>1200</v>
      </c>
      <c r="K267" s="769">
        <v>2000</v>
      </c>
      <c r="L267" s="769"/>
      <c r="M267" s="769"/>
      <c r="N267" s="769">
        <v>1787</v>
      </c>
      <c r="O267" s="769"/>
      <c r="P267" s="769">
        <f t="shared" si="8"/>
        <v>4987</v>
      </c>
      <c r="Q267" s="758">
        <f t="shared" si="9"/>
        <v>415.58333333333331</v>
      </c>
      <c r="R267" s="4"/>
    </row>
    <row r="268" spans="1:18">
      <c r="A268" s="761" t="s">
        <v>522</v>
      </c>
      <c r="B268" s="769"/>
      <c r="C268" s="769">
        <f t="shared" ref="C268:O268" si="10">SUM(C2:C267)</f>
        <v>116876</v>
      </c>
      <c r="D268" s="769">
        <f t="shared" si="10"/>
        <v>165144</v>
      </c>
      <c r="E268" s="769">
        <f t="shared" si="10"/>
        <v>153981</v>
      </c>
      <c r="F268" s="769">
        <f t="shared" si="10"/>
        <v>137240</v>
      </c>
      <c r="G268" s="769">
        <f t="shared" si="10"/>
        <v>144276</v>
      </c>
      <c r="H268" s="769">
        <f t="shared" si="10"/>
        <v>164488</v>
      </c>
      <c r="I268" s="769">
        <f t="shared" si="10"/>
        <v>154790</v>
      </c>
      <c r="J268" s="769">
        <f t="shared" si="10"/>
        <v>135225</v>
      </c>
      <c r="K268" s="769">
        <f t="shared" si="10"/>
        <v>146304</v>
      </c>
      <c r="L268" s="769">
        <f t="shared" si="10"/>
        <v>149209</v>
      </c>
      <c r="M268" s="769">
        <f t="shared" si="10"/>
        <v>125845</v>
      </c>
      <c r="N268" s="769">
        <f t="shared" si="10"/>
        <v>132374</v>
      </c>
      <c r="O268" s="769">
        <f t="shared" si="10"/>
        <v>150198</v>
      </c>
      <c r="P268" s="769">
        <f t="shared" si="8"/>
        <v>1875950</v>
      </c>
      <c r="Q268" s="758">
        <f>SUM(Q2:Q267)</f>
        <v>156329.1666666666</v>
      </c>
      <c r="R26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BB79-0C00-4DB9-8B74-CBC1FFC45028}">
  <dimension ref="A1:AW150"/>
  <sheetViews>
    <sheetView workbookViewId="0">
      <selection activeCell="AR2" sqref="AR2"/>
    </sheetView>
  </sheetViews>
  <sheetFormatPr defaultRowHeight="15"/>
  <cols>
    <col min="1" max="1" width="132" bestFit="1" customWidth="1"/>
    <col min="2" max="2" width="13.375" bestFit="1" customWidth="1"/>
    <col min="3" max="3" width="12" bestFit="1" customWidth="1"/>
    <col min="4" max="4" width="15.125" bestFit="1" customWidth="1"/>
    <col min="5" max="5" width="10.75" bestFit="1" customWidth="1"/>
    <col min="6" max="6" width="11.875" bestFit="1" customWidth="1"/>
    <col min="7" max="7" width="11.375" bestFit="1" customWidth="1"/>
    <col min="8" max="8" width="12.625" bestFit="1" customWidth="1"/>
    <col min="9" max="9" width="12.625" customWidth="1"/>
    <col min="10" max="10" width="12" bestFit="1" customWidth="1"/>
    <col min="11" max="11" width="12.75" bestFit="1" customWidth="1"/>
    <col min="12" max="12" width="9.25" bestFit="1" customWidth="1"/>
    <col min="19" max="19" width="12.25" customWidth="1"/>
    <col min="24" max="24" width="11.625" customWidth="1"/>
    <col min="48" max="48" width="13.125" bestFit="1" customWidth="1"/>
    <col min="49" max="49" width="25.125" bestFit="1" customWidth="1"/>
  </cols>
  <sheetData>
    <row r="1" spans="1:49">
      <c r="A1" s="771"/>
      <c r="B1" s="771">
        <f>SUBTOTAL(9,B3:B148)</f>
        <v>1875950</v>
      </c>
      <c r="C1" s="771">
        <f>SUBTOTAL(9,C3:C148)</f>
        <v>156329.16666666672</v>
      </c>
      <c r="D1" s="772">
        <f>SUM(D3:D148)</f>
        <v>156396</v>
      </c>
      <c r="E1" s="771">
        <f>B1/12</f>
        <v>156329.16666666666</v>
      </c>
      <c r="F1" s="771">
        <f>E1/26</f>
        <v>6012.6602564102559</v>
      </c>
      <c r="G1" s="771">
        <f>SUBTOTAL(9,G3:G148)</f>
        <v>6083</v>
      </c>
      <c r="H1" s="771" t="s">
        <v>706</v>
      </c>
      <c r="I1" s="771"/>
      <c r="J1" s="771">
        <f>SUBTOTAL(9,J3:J148)</f>
        <v>91245</v>
      </c>
      <c r="K1" s="771"/>
      <c r="L1" s="771">
        <f>SUBTOTAL(9,L3:L148)</f>
        <v>256</v>
      </c>
      <c r="M1" s="773" t="s">
        <v>707</v>
      </c>
      <c r="N1" s="773"/>
      <c r="O1" s="773"/>
      <c r="P1" s="773" t="s">
        <v>708</v>
      </c>
      <c r="Q1" s="773"/>
      <c r="R1" s="773"/>
      <c r="S1" s="774"/>
      <c r="T1" s="771"/>
      <c r="U1" s="771"/>
      <c r="V1" s="771"/>
      <c r="W1" s="771"/>
      <c r="X1" s="771"/>
      <c r="Y1" s="771"/>
      <c r="Z1" s="771">
        <f>SUBTOTAL(9,Z3:Z148)</f>
        <v>497</v>
      </c>
      <c r="AA1" s="771"/>
      <c r="AB1" s="771"/>
      <c r="AC1" s="771"/>
      <c r="AD1" s="771"/>
      <c r="AE1" s="771">
        <v>1</v>
      </c>
      <c r="AF1" s="771">
        <v>3</v>
      </c>
      <c r="AG1" s="771">
        <v>7</v>
      </c>
      <c r="AH1" s="771">
        <v>60</v>
      </c>
      <c r="AI1" s="771"/>
      <c r="AJ1" s="246">
        <v>0.5</v>
      </c>
      <c r="AK1" s="246">
        <v>0.2</v>
      </c>
      <c r="AL1" s="246">
        <v>0.2</v>
      </c>
      <c r="AM1" s="246">
        <v>0.1</v>
      </c>
      <c r="AN1" s="4">
        <v>1</v>
      </c>
      <c r="AO1" s="4">
        <v>3</v>
      </c>
      <c r="AP1" s="4">
        <v>7</v>
      </c>
      <c r="AQ1" s="4">
        <v>60</v>
      </c>
      <c r="AR1">
        <f>SUBTOTAL(9,AR3:AR148)</f>
        <v>3217</v>
      </c>
    </row>
    <row r="2" spans="1:49" ht="45">
      <c r="A2" s="750" t="s">
        <v>709</v>
      </c>
      <c r="B2" s="750" t="s">
        <v>522</v>
      </c>
      <c r="C2" s="750" t="s">
        <v>710</v>
      </c>
      <c r="D2" s="750" t="s">
        <v>711</v>
      </c>
      <c r="E2" s="750" t="s">
        <v>713</v>
      </c>
      <c r="F2" s="750" t="s">
        <v>714</v>
      </c>
      <c r="G2" s="750" t="s">
        <v>715</v>
      </c>
      <c r="H2" s="752" t="s">
        <v>716</v>
      </c>
      <c r="I2" s="752" t="s">
        <v>717</v>
      </c>
      <c r="J2" s="752" t="s">
        <v>718</v>
      </c>
      <c r="K2" s="752" t="s">
        <v>719</v>
      </c>
      <c r="L2" s="752" t="s">
        <v>720</v>
      </c>
      <c r="M2" s="752" t="s">
        <v>721</v>
      </c>
      <c r="N2" s="752" t="s">
        <v>722</v>
      </c>
      <c r="O2" s="752" t="s">
        <v>723</v>
      </c>
      <c r="P2" s="753" t="s">
        <v>721</v>
      </c>
      <c r="Q2" s="753" t="s">
        <v>722</v>
      </c>
      <c r="R2" s="753" t="s">
        <v>723</v>
      </c>
      <c r="S2" s="753" t="s">
        <v>724</v>
      </c>
      <c r="T2" s="753" t="s">
        <v>721</v>
      </c>
      <c r="U2" s="753" t="s">
        <v>722</v>
      </c>
      <c r="V2" s="753" t="s">
        <v>723</v>
      </c>
      <c r="W2" s="753" t="s">
        <v>229</v>
      </c>
      <c r="X2" s="753" t="s">
        <v>725</v>
      </c>
      <c r="Y2" s="753" t="s">
        <v>726</v>
      </c>
      <c r="Z2" s="753" t="s">
        <v>720</v>
      </c>
      <c r="AA2" s="753" t="s">
        <v>594</v>
      </c>
      <c r="AB2" s="753" t="s">
        <v>161</v>
      </c>
      <c r="AC2" s="753" t="s">
        <v>655</v>
      </c>
      <c r="AD2" s="753" t="s">
        <v>727</v>
      </c>
      <c r="AE2" s="754">
        <v>0.5</v>
      </c>
      <c r="AF2" s="754">
        <v>0.2</v>
      </c>
      <c r="AG2" s="754">
        <v>0.2</v>
      </c>
      <c r="AH2" s="754">
        <v>0.1</v>
      </c>
      <c r="AI2" s="753" t="s">
        <v>917</v>
      </c>
      <c r="AJ2" s="753" t="s">
        <v>918</v>
      </c>
      <c r="AK2" s="753" t="s">
        <v>918</v>
      </c>
      <c r="AL2" s="753" t="s">
        <v>918</v>
      </c>
      <c r="AM2" s="753" t="s">
        <v>918</v>
      </c>
      <c r="AN2" s="753" t="s">
        <v>175</v>
      </c>
      <c r="AO2" s="753" t="s">
        <v>175</v>
      </c>
      <c r="AP2" s="753" t="s">
        <v>175</v>
      </c>
      <c r="AQ2" s="753" t="s">
        <v>175</v>
      </c>
      <c r="AR2" s="753" t="s">
        <v>919</v>
      </c>
      <c r="AV2" s="756" t="s">
        <v>730</v>
      </c>
      <c r="AW2" s="756"/>
    </row>
    <row r="3" spans="1:49">
      <c r="A3" s="746" t="s">
        <v>731</v>
      </c>
      <c r="B3" s="746">
        <v>250378</v>
      </c>
      <c r="C3" s="747">
        <v>20864.833333333332</v>
      </c>
      <c r="D3" s="758">
        <f>ROUNDUP(C3,0)</f>
        <v>20865</v>
      </c>
      <c r="E3" s="757">
        <f t="shared" ref="E3:E34" si="0">D3/$D$1</f>
        <v>0.1334113404434896</v>
      </c>
      <c r="F3" s="746">
        <v>26</v>
      </c>
      <c r="G3" s="746">
        <f t="shared" ref="G3:G34" si="1">ROUNDUP(D3/F3,0)</f>
        <v>803</v>
      </c>
      <c r="H3" s="746">
        <v>15</v>
      </c>
      <c r="I3" s="747">
        <f>AB3*7.5</f>
        <v>15.178543931562928</v>
      </c>
      <c r="J3" s="746">
        <f>G3*H3</f>
        <v>12045</v>
      </c>
      <c r="K3" s="746">
        <v>600</v>
      </c>
      <c r="L3" s="746">
        <f t="shared" ref="L3:L34" si="2">ROUNDUP(J3/K3,0)</f>
        <v>21</v>
      </c>
      <c r="M3" s="746">
        <v>457</v>
      </c>
      <c r="N3" s="746">
        <v>380</v>
      </c>
      <c r="O3" s="746">
        <v>330</v>
      </c>
      <c r="P3" s="746">
        <v>1200</v>
      </c>
      <c r="Q3" s="746">
        <v>1080</v>
      </c>
      <c r="R3" s="746">
        <v>1200</v>
      </c>
      <c r="S3" s="746">
        <f>V3</f>
        <v>4</v>
      </c>
      <c r="T3" s="746">
        <f>ROUNDDOWN(P3/M3,0)</f>
        <v>2</v>
      </c>
      <c r="U3" s="746">
        <f>ROUNDDOWN(Q3/N3,0)</f>
        <v>2</v>
      </c>
      <c r="V3" s="746">
        <f>ROUND(R3/O3,0)</f>
        <v>4</v>
      </c>
      <c r="W3" s="746">
        <f>T3*U3*V3</f>
        <v>16</v>
      </c>
      <c r="X3" s="758">
        <f>I3*W3</f>
        <v>242.85670290500684</v>
      </c>
      <c r="Y3" s="747">
        <f>CONVERT(R3,"mm","ft")</f>
        <v>3.9370078740157481</v>
      </c>
      <c r="Z3" s="746">
        <f>IFERROR(ROUNDUP(G3/W3*1.05,0),0)</f>
        <v>53</v>
      </c>
      <c r="AA3" s="746">
        <f>M3*N3*O3</f>
        <v>57307800</v>
      </c>
      <c r="AB3" s="746">
        <f>CONVERT(AA3,"mm^3","ft^3")</f>
        <v>2.0238058575417237</v>
      </c>
      <c r="AC3" s="759" t="s">
        <v>594</v>
      </c>
      <c r="AD3" s="746">
        <f>Z3*5</f>
        <v>265</v>
      </c>
      <c r="AE3" s="746">
        <f>(Z3*$AE$2)*$AE$1</f>
        <v>26.5</v>
      </c>
      <c r="AF3" s="746">
        <f>(Z3*$AF$2)*$AF$1</f>
        <v>31.800000000000004</v>
      </c>
      <c r="AG3" s="746">
        <f>(Z3*$AG$2)*$AG$1</f>
        <v>74.200000000000017</v>
      </c>
      <c r="AH3" s="746">
        <f>(Z3*$AH$2)*$AH$1</f>
        <v>318.00000000000006</v>
      </c>
      <c r="AI3" s="746">
        <f>SUM(AE3:AH3)</f>
        <v>450.50000000000011</v>
      </c>
      <c r="AJ3" s="746">
        <f>ROUND(G3*$AJ$1,0)</f>
        <v>402</v>
      </c>
      <c r="AK3" s="746">
        <f>ROUND(G3*$AK$1,0)</f>
        <v>161</v>
      </c>
      <c r="AL3" s="746">
        <f>ROUND(G3*$AL$1,0)</f>
        <v>161</v>
      </c>
      <c r="AM3" s="746">
        <f>ROUND(G3*$AM$1,0)</f>
        <v>80</v>
      </c>
      <c r="AN3" s="746">
        <f>IFERROR(ROUND(AJ3/W3*$AN$1,0),0)</f>
        <v>25</v>
      </c>
      <c r="AO3" s="746">
        <f>IFERROR(ROUND(AK3/W3*$AO$1,0),0)</f>
        <v>30</v>
      </c>
      <c r="AP3" s="746">
        <f>IFERROR(ROUND(AL3/W3*$AP$1,0),0)</f>
        <v>70</v>
      </c>
      <c r="AQ3" s="746">
        <f>IFERROR(ROUND(AM3/W3*$AQ$1,0),0)</f>
        <v>300</v>
      </c>
      <c r="AR3" s="746">
        <f>SUM(AN3:AQ3)</f>
        <v>425</v>
      </c>
      <c r="AV3" s="760" t="s">
        <v>709</v>
      </c>
      <c r="AW3" s="746" t="s">
        <v>920</v>
      </c>
    </row>
    <row r="4" spans="1:49">
      <c r="A4" s="746" t="s">
        <v>734</v>
      </c>
      <c r="B4" s="746">
        <v>205779</v>
      </c>
      <c r="C4" s="747">
        <v>17148.249999999996</v>
      </c>
      <c r="D4" s="746">
        <f t="shared" ref="D4:D34" si="3">ROUNDUP(C4,0)</f>
        <v>17149</v>
      </c>
      <c r="E4" s="757">
        <f t="shared" si="0"/>
        <v>0.10965114197294049</v>
      </c>
      <c r="F4" s="746">
        <v>26</v>
      </c>
      <c r="G4" s="746">
        <f t="shared" si="1"/>
        <v>660</v>
      </c>
      <c r="H4" s="746">
        <v>15</v>
      </c>
      <c r="I4" s="747">
        <f t="shared" ref="I4:I67" si="4">AB4*7.5</f>
        <v>15.234375</v>
      </c>
      <c r="J4" s="746">
        <f t="shared" ref="J4:J34" si="5">G4*H4</f>
        <v>9900</v>
      </c>
      <c r="K4" s="746">
        <v>600</v>
      </c>
      <c r="L4" s="746">
        <f t="shared" si="2"/>
        <v>17</v>
      </c>
      <c r="M4" s="746">
        <v>457.2</v>
      </c>
      <c r="N4" s="746">
        <v>381</v>
      </c>
      <c r="O4" s="746">
        <v>330.2</v>
      </c>
      <c r="P4" s="746">
        <v>1200</v>
      </c>
      <c r="Q4" s="746">
        <v>1080</v>
      </c>
      <c r="R4" s="746">
        <v>1200</v>
      </c>
      <c r="S4" s="746">
        <f t="shared" ref="S4:S67" si="6">V4</f>
        <v>4</v>
      </c>
      <c r="T4" s="746">
        <f t="shared" ref="T4:T66" si="7">ROUNDDOWN(P4/M4,0)</f>
        <v>2</v>
      </c>
      <c r="U4" s="746">
        <f t="shared" ref="U4:U66" si="8">ROUNDDOWN(Q4/N4,0)</f>
        <v>2</v>
      </c>
      <c r="V4" s="746">
        <f t="shared" ref="V4:V67" si="9">ROUND(R4/O4,0)</f>
        <v>4</v>
      </c>
      <c r="W4" s="746">
        <f t="shared" ref="W4:W67" si="10">T4*U4*V4</f>
        <v>16</v>
      </c>
      <c r="X4" s="758">
        <f t="shared" ref="X4:X67" si="11">I4*W4</f>
        <v>243.75</v>
      </c>
      <c r="Y4" s="747">
        <f t="shared" ref="Y4:Y67" si="12">CONVERT(R4,"mm","ft")</f>
        <v>3.9370078740157481</v>
      </c>
      <c r="Z4" s="746">
        <f t="shared" ref="Z4:Z67" si="13">IFERROR(ROUNDUP(G4/W4*1.05,0),0)</f>
        <v>44</v>
      </c>
      <c r="AA4" s="746">
        <f t="shared" ref="AA4:AA67" si="14">M4*N4*O4</f>
        <v>57518594.639999993</v>
      </c>
      <c r="AB4" s="746">
        <f t="shared" ref="AB4:AB67" si="15">CONVERT(AA4,"mm^3","ft^3")</f>
        <v>2.03125</v>
      </c>
      <c r="AC4" s="759" t="s">
        <v>594</v>
      </c>
      <c r="AD4" s="746">
        <f t="shared" ref="AD4:AD17" si="16">Z4*5</f>
        <v>220</v>
      </c>
      <c r="AE4" s="746">
        <f t="shared" ref="AE4:AE67" si="17">(Z4*$AE$2)*$AE$1</f>
        <v>22</v>
      </c>
      <c r="AF4" s="746">
        <f t="shared" ref="AF4:AF67" si="18">(Z4*$AF$2)*$AF$1</f>
        <v>26.400000000000002</v>
      </c>
      <c r="AG4" s="746">
        <f t="shared" ref="AG4:AG67" si="19">(Z4*$AG$2)*$AG$1</f>
        <v>61.600000000000009</v>
      </c>
      <c r="AH4" s="746">
        <f t="shared" ref="AH4:AH67" si="20">(Z4*$AH$2)*$AH$1</f>
        <v>264</v>
      </c>
      <c r="AI4" s="746">
        <f t="shared" ref="AI4:AI67" si="21">SUM(AE4:AH4)</f>
        <v>374</v>
      </c>
      <c r="AJ4" s="746">
        <f t="shared" ref="AJ4:AJ67" si="22">ROUND(G4*$AJ$1,0)</f>
        <v>330</v>
      </c>
      <c r="AK4" s="746">
        <f t="shared" ref="AK4:AK67" si="23">ROUND(G4*$AK$1,0)</f>
        <v>132</v>
      </c>
      <c r="AL4" s="746">
        <f t="shared" ref="AL4:AL67" si="24">ROUND(G4*$AL$1,0)</f>
        <v>132</v>
      </c>
      <c r="AM4" s="746">
        <f t="shared" ref="AM4:AM67" si="25">ROUND(G4*$AM$1,0)</f>
        <v>66</v>
      </c>
      <c r="AN4" s="746">
        <f t="shared" ref="AN4:AN67" si="26">IFERROR(ROUND(AJ4/W4*$AN$1,0),0)</f>
        <v>21</v>
      </c>
      <c r="AO4" s="746">
        <f t="shared" ref="AO4:AO67" si="27">IFERROR(ROUND(AK4/W4*$AO$1,0),0)</f>
        <v>25</v>
      </c>
      <c r="AP4" s="746">
        <f t="shared" ref="AP4:AP67" si="28">IFERROR(ROUND(AL4/W4*$AP$1,0),0)</f>
        <v>58</v>
      </c>
      <c r="AQ4" s="746">
        <f t="shared" ref="AQ4:AQ67" si="29">IFERROR(ROUND(AM4/W4*$AQ$1,0),0)</f>
        <v>248</v>
      </c>
      <c r="AR4" s="746">
        <f t="shared" ref="AR4:AR67" si="30">SUM(AN4:AQ4)</f>
        <v>352</v>
      </c>
      <c r="AV4" s="761" t="s">
        <v>594</v>
      </c>
      <c r="AW4" s="746">
        <v>6489</v>
      </c>
    </row>
    <row r="5" spans="1:49">
      <c r="A5" s="746" t="s">
        <v>735</v>
      </c>
      <c r="B5" s="746">
        <v>77868</v>
      </c>
      <c r="C5" s="747">
        <v>6489</v>
      </c>
      <c r="D5" s="746">
        <f t="shared" si="3"/>
        <v>6489</v>
      </c>
      <c r="E5" s="757">
        <f t="shared" si="0"/>
        <v>4.1490830967543926E-2</v>
      </c>
      <c r="F5" s="746">
        <v>26</v>
      </c>
      <c r="G5" s="746">
        <f t="shared" si="1"/>
        <v>250</v>
      </c>
      <c r="H5" s="746">
        <v>15</v>
      </c>
      <c r="I5" s="747">
        <f t="shared" si="4"/>
        <v>28.282810283905786</v>
      </c>
      <c r="J5" s="746">
        <f t="shared" si="5"/>
        <v>3750</v>
      </c>
      <c r="K5" s="746">
        <v>600</v>
      </c>
      <c r="L5" s="746">
        <f t="shared" si="2"/>
        <v>7</v>
      </c>
      <c r="M5" s="746">
        <v>940</v>
      </c>
      <c r="N5" s="746">
        <v>355</v>
      </c>
      <c r="O5" s="746">
        <v>320</v>
      </c>
      <c r="P5" s="746">
        <v>1200</v>
      </c>
      <c r="Q5" s="746">
        <v>1080</v>
      </c>
      <c r="R5" s="746">
        <v>1200</v>
      </c>
      <c r="S5" s="746">
        <f t="shared" si="6"/>
        <v>4</v>
      </c>
      <c r="T5" s="746">
        <f t="shared" si="7"/>
        <v>1</v>
      </c>
      <c r="U5" s="746">
        <f t="shared" si="8"/>
        <v>3</v>
      </c>
      <c r="V5" s="746">
        <f t="shared" si="9"/>
        <v>4</v>
      </c>
      <c r="W5" s="746">
        <f t="shared" si="10"/>
        <v>12</v>
      </c>
      <c r="X5" s="758">
        <f t="shared" si="11"/>
        <v>339.39372340686941</v>
      </c>
      <c r="Y5" s="747">
        <f t="shared" si="12"/>
        <v>3.9370078740157481</v>
      </c>
      <c r="Z5" s="746">
        <f t="shared" si="13"/>
        <v>22</v>
      </c>
      <c r="AA5" s="746">
        <f t="shared" si="14"/>
        <v>106784000</v>
      </c>
      <c r="AB5" s="746">
        <f t="shared" si="15"/>
        <v>3.771041371187438</v>
      </c>
      <c r="AC5" s="759" t="s">
        <v>594</v>
      </c>
      <c r="AD5" s="746">
        <f t="shared" si="16"/>
        <v>110</v>
      </c>
      <c r="AE5" s="746">
        <f t="shared" si="17"/>
        <v>11</v>
      </c>
      <c r="AF5" s="746">
        <f t="shared" si="18"/>
        <v>13.200000000000001</v>
      </c>
      <c r="AG5" s="746">
        <f t="shared" si="19"/>
        <v>30.800000000000004</v>
      </c>
      <c r="AH5" s="746">
        <f t="shared" si="20"/>
        <v>132</v>
      </c>
      <c r="AI5" s="746">
        <f t="shared" si="21"/>
        <v>187</v>
      </c>
      <c r="AJ5" s="746">
        <f t="shared" si="22"/>
        <v>125</v>
      </c>
      <c r="AK5" s="746">
        <f t="shared" si="23"/>
        <v>50</v>
      </c>
      <c r="AL5" s="746">
        <f t="shared" si="24"/>
        <v>50</v>
      </c>
      <c r="AM5" s="746">
        <f t="shared" si="25"/>
        <v>25</v>
      </c>
      <c r="AN5" s="746">
        <f t="shared" si="26"/>
        <v>10</v>
      </c>
      <c r="AO5" s="746">
        <f t="shared" si="27"/>
        <v>13</v>
      </c>
      <c r="AP5" s="746">
        <f t="shared" si="28"/>
        <v>29</v>
      </c>
      <c r="AQ5" s="746">
        <f t="shared" si="29"/>
        <v>125</v>
      </c>
      <c r="AR5" s="746">
        <f t="shared" si="30"/>
        <v>177</v>
      </c>
      <c r="AV5" s="761" t="s">
        <v>595</v>
      </c>
      <c r="AW5" s="746">
        <v>151</v>
      </c>
    </row>
    <row r="6" spans="1:49">
      <c r="A6" s="746" t="s">
        <v>736</v>
      </c>
      <c r="B6" s="746">
        <v>66718</v>
      </c>
      <c r="C6" s="747">
        <v>5559.8333333333339</v>
      </c>
      <c r="D6" s="746">
        <f t="shared" si="3"/>
        <v>5560</v>
      </c>
      <c r="E6" s="757">
        <f t="shared" si="0"/>
        <v>3.5550781349906649E-2</v>
      </c>
      <c r="F6" s="746">
        <v>26</v>
      </c>
      <c r="G6" s="746">
        <f t="shared" si="1"/>
        <v>214</v>
      </c>
      <c r="H6" s="746">
        <v>15</v>
      </c>
      <c r="I6" s="747">
        <f t="shared" si="4"/>
        <v>28.103298611111114</v>
      </c>
      <c r="J6" s="746">
        <f t="shared" si="5"/>
        <v>3210</v>
      </c>
      <c r="K6" s="746">
        <v>600</v>
      </c>
      <c r="L6" s="746">
        <f t="shared" si="2"/>
        <v>6</v>
      </c>
      <c r="M6" s="746">
        <v>939.8</v>
      </c>
      <c r="N6" s="746">
        <v>355.6</v>
      </c>
      <c r="O6" s="746">
        <v>317.5</v>
      </c>
      <c r="P6" s="746">
        <v>1200</v>
      </c>
      <c r="Q6" s="746">
        <v>1080</v>
      </c>
      <c r="R6" s="746">
        <v>1200</v>
      </c>
      <c r="S6" s="746">
        <f t="shared" si="6"/>
        <v>4</v>
      </c>
      <c r="T6" s="746">
        <f t="shared" si="7"/>
        <v>1</v>
      </c>
      <c r="U6" s="746">
        <f t="shared" si="8"/>
        <v>3</v>
      </c>
      <c r="V6" s="746">
        <f t="shared" si="9"/>
        <v>4</v>
      </c>
      <c r="W6" s="746">
        <f t="shared" si="10"/>
        <v>12</v>
      </c>
      <c r="X6" s="758">
        <f t="shared" si="11"/>
        <v>337.23958333333337</v>
      </c>
      <c r="Y6" s="747">
        <f t="shared" si="12"/>
        <v>3.9370078740157481</v>
      </c>
      <c r="Z6" s="746">
        <f t="shared" si="13"/>
        <v>19</v>
      </c>
      <c r="AA6" s="746">
        <f t="shared" si="14"/>
        <v>106106239.40000001</v>
      </c>
      <c r="AB6" s="746">
        <f t="shared" si="15"/>
        <v>3.7471064814814818</v>
      </c>
      <c r="AC6" s="759" t="s">
        <v>594</v>
      </c>
      <c r="AD6" s="746">
        <f t="shared" si="16"/>
        <v>95</v>
      </c>
      <c r="AE6" s="746">
        <f t="shared" si="17"/>
        <v>9.5</v>
      </c>
      <c r="AF6" s="746">
        <f t="shared" si="18"/>
        <v>11.4</v>
      </c>
      <c r="AG6" s="746">
        <f t="shared" si="19"/>
        <v>26.6</v>
      </c>
      <c r="AH6" s="746">
        <f t="shared" si="20"/>
        <v>114.00000000000001</v>
      </c>
      <c r="AI6" s="746">
        <f t="shared" si="21"/>
        <v>161.5</v>
      </c>
      <c r="AJ6" s="746">
        <f t="shared" si="22"/>
        <v>107</v>
      </c>
      <c r="AK6" s="746">
        <f t="shared" si="23"/>
        <v>43</v>
      </c>
      <c r="AL6" s="746">
        <f t="shared" si="24"/>
        <v>43</v>
      </c>
      <c r="AM6" s="746">
        <f t="shared" si="25"/>
        <v>21</v>
      </c>
      <c r="AN6" s="746">
        <f t="shared" si="26"/>
        <v>9</v>
      </c>
      <c r="AO6" s="746">
        <f t="shared" si="27"/>
        <v>11</v>
      </c>
      <c r="AP6" s="746">
        <f t="shared" si="28"/>
        <v>25</v>
      </c>
      <c r="AQ6" s="746">
        <f t="shared" si="29"/>
        <v>105</v>
      </c>
      <c r="AR6" s="746">
        <f t="shared" si="30"/>
        <v>150</v>
      </c>
      <c r="AV6" s="761" t="s">
        <v>596</v>
      </c>
      <c r="AW6" s="746">
        <v>6</v>
      </c>
    </row>
    <row r="7" spans="1:49">
      <c r="A7" s="746" t="s">
        <v>737</v>
      </c>
      <c r="B7" s="746">
        <v>66682</v>
      </c>
      <c r="C7" s="747">
        <v>5556.8333333333339</v>
      </c>
      <c r="D7" s="746">
        <f t="shared" si="3"/>
        <v>5557</v>
      </c>
      <c r="E7" s="757">
        <f t="shared" si="0"/>
        <v>3.5531599273638713E-2</v>
      </c>
      <c r="F7" s="746">
        <v>26</v>
      </c>
      <c r="G7" s="746">
        <f t="shared" si="1"/>
        <v>214</v>
      </c>
      <c r="H7" s="746">
        <v>15</v>
      </c>
      <c r="I7" s="747">
        <f t="shared" si="4"/>
        <v>8.4126687350596931</v>
      </c>
      <c r="J7" s="746">
        <f t="shared" si="5"/>
        <v>3210</v>
      </c>
      <c r="K7" s="746">
        <v>600</v>
      </c>
      <c r="L7" s="746">
        <f t="shared" si="2"/>
        <v>6</v>
      </c>
      <c r="M7" s="746">
        <v>508</v>
      </c>
      <c r="N7" s="746">
        <v>305</v>
      </c>
      <c r="O7" s="746">
        <v>205</v>
      </c>
      <c r="P7" s="746">
        <v>1200</v>
      </c>
      <c r="Q7" s="746">
        <v>1080</v>
      </c>
      <c r="R7" s="746">
        <v>1200</v>
      </c>
      <c r="S7" s="746">
        <f t="shared" si="6"/>
        <v>6</v>
      </c>
      <c r="T7" s="746">
        <f t="shared" si="7"/>
        <v>2</v>
      </c>
      <c r="U7" s="746">
        <f t="shared" si="8"/>
        <v>3</v>
      </c>
      <c r="V7" s="746">
        <f t="shared" si="9"/>
        <v>6</v>
      </c>
      <c r="W7" s="746">
        <f t="shared" si="10"/>
        <v>36</v>
      </c>
      <c r="X7" s="758">
        <f t="shared" si="11"/>
        <v>302.85607446214897</v>
      </c>
      <c r="Y7" s="747">
        <f t="shared" si="12"/>
        <v>3.9370078740157481</v>
      </c>
      <c r="Z7" s="746">
        <f t="shared" si="13"/>
        <v>7</v>
      </c>
      <c r="AA7" s="746">
        <f t="shared" si="14"/>
        <v>31762700</v>
      </c>
      <c r="AB7" s="746">
        <f t="shared" si="15"/>
        <v>1.1216891646746256</v>
      </c>
      <c r="AC7" s="759" t="s">
        <v>594</v>
      </c>
      <c r="AD7" s="746">
        <f t="shared" si="16"/>
        <v>35</v>
      </c>
      <c r="AE7" s="746">
        <f t="shared" si="17"/>
        <v>3.5</v>
      </c>
      <c r="AF7" s="746">
        <f t="shared" si="18"/>
        <v>4.2</v>
      </c>
      <c r="AG7" s="746">
        <f t="shared" si="19"/>
        <v>9.8000000000000007</v>
      </c>
      <c r="AH7" s="746">
        <f t="shared" si="20"/>
        <v>42.000000000000007</v>
      </c>
      <c r="AI7" s="746">
        <f t="shared" si="21"/>
        <v>59.500000000000007</v>
      </c>
      <c r="AJ7" s="746">
        <f t="shared" si="22"/>
        <v>107</v>
      </c>
      <c r="AK7" s="746">
        <f t="shared" si="23"/>
        <v>43</v>
      </c>
      <c r="AL7" s="746">
        <f t="shared" si="24"/>
        <v>43</v>
      </c>
      <c r="AM7" s="746">
        <f t="shared" si="25"/>
        <v>21</v>
      </c>
      <c r="AN7" s="746">
        <f t="shared" si="26"/>
        <v>3</v>
      </c>
      <c r="AO7" s="746">
        <f t="shared" si="27"/>
        <v>4</v>
      </c>
      <c r="AP7" s="746">
        <f t="shared" si="28"/>
        <v>8</v>
      </c>
      <c r="AQ7" s="746">
        <f t="shared" si="29"/>
        <v>35</v>
      </c>
      <c r="AR7" s="746">
        <f t="shared" si="30"/>
        <v>50</v>
      </c>
      <c r="AV7" s="761" t="s">
        <v>597</v>
      </c>
      <c r="AW7" s="746">
        <v>0</v>
      </c>
    </row>
    <row r="8" spans="1:49">
      <c r="A8" s="746" t="s">
        <v>738</v>
      </c>
      <c r="B8" s="746">
        <v>56294</v>
      </c>
      <c r="C8" s="747">
        <v>4691.166666666667</v>
      </c>
      <c r="D8" s="746">
        <f t="shared" si="3"/>
        <v>4692</v>
      </c>
      <c r="E8" s="757">
        <f t="shared" si="0"/>
        <v>3.0000767283050716E-2</v>
      </c>
      <c r="F8" s="746">
        <v>26</v>
      </c>
      <c r="G8" s="746">
        <f t="shared" si="1"/>
        <v>181</v>
      </c>
      <c r="H8" s="746">
        <v>15</v>
      </c>
      <c r="I8" s="747">
        <f t="shared" si="4"/>
        <v>28.125000000000004</v>
      </c>
      <c r="J8" s="746">
        <f t="shared" si="5"/>
        <v>2715</v>
      </c>
      <c r="K8" s="746">
        <v>600</v>
      </c>
      <c r="L8" s="746">
        <f t="shared" si="2"/>
        <v>5</v>
      </c>
      <c r="M8" s="746">
        <v>914.4</v>
      </c>
      <c r="N8" s="746">
        <v>304.8</v>
      </c>
      <c r="O8" s="746">
        <v>381</v>
      </c>
      <c r="P8" s="746">
        <v>1200</v>
      </c>
      <c r="Q8" s="746">
        <v>1080</v>
      </c>
      <c r="R8" s="746">
        <v>1200</v>
      </c>
      <c r="S8" s="746">
        <f t="shared" si="6"/>
        <v>3</v>
      </c>
      <c r="T8" s="746">
        <f t="shared" si="7"/>
        <v>1</v>
      </c>
      <c r="U8" s="746">
        <f t="shared" si="8"/>
        <v>3</v>
      </c>
      <c r="V8" s="746">
        <f t="shared" si="9"/>
        <v>3</v>
      </c>
      <c r="W8" s="746">
        <f t="shared" si="10"/>
        <v>9</v>
      </c>
      <c r="X8" s="758">
        <f t="shared" si="11"/>
        <v>253.12500000000003</v>
      </c>
      <c r="Y8" s="747">
        <f t="shared" si="12"/>
        <v>3.9370078740157481</v>
      </c>
      <c r="Z8" s="746">
        <f t="shared" si="13"/>
        <v>22</v>
      </c>
      <c r="AA8" s="746">
        <f t="shared" si="14"/>
        <v>106188174.72</v>
      </c>
      <c r="AB8" s="746">
        <f t="shared" si="15"/>
        <v>3.7500000000000004</v>
      </c>
      <c r="AC8" s="759" t="s">
        <v>594</v>
      </c>
      <c r="AD8" s="746">
        <f t="shared" si="16"/>
        <v>110</v>
      </c>
      <c r="AE8" s="746">
        <f t="shared" si="17"/>
        <v>11</v>
      </c>
      <c r="AF8" s="746">
        <f t="shared" si="18"/>
        <v>13.200000000000001</v>
      </c>
      <c r="AG8" s="746">
        <f t="shared" si="19"/>
        <v>30.800000000000004</v>
      </c>
      <c r="AH8" s="746">
        <f t="shared" si="20"/>
        <v>132</v>
      </c>
      <c r="AI8" s="746">
        <f t="shared" si="21"/>
        <v>187</v>
      </c>
      <c r="AJ8" s="746">
        <f t="shared" si="22"/>
        <v>91</v>
      </c>
      <c r="AK8" s="746">
        <f t="shared" si="23"/>
        <v>36</v>
      </c>
      <c r="AL8" s="746">
        <f t="shared" si="24"/>
        <v>36</v>
      </c>
      <c r="AM8" s="746">
        <f t="shared" si="25"/>
        <v>18</v>
      </c>
      <c r="AN8" s="746">
        <f t="shared" si="26"/>
        <v>10</v>
      </c>
      <c r="AO8" s="746">
        <f t="shared" si="27"/>
        <v>12</v>
      </c>
      <c r="AP8" s="746">
        <f t="shared" si="28"/>
        <v>28</v>
      </c>
      <c r="AQ8" s="746">
        <f t="shared" si="29"/>
        <v>120</v>
      </c>
      <c r="AR8" s="746">
        <f t="shared" si="30"/>
        <v>170</v>
      </c>
      <c r="AV8" s="761" t="s">
        <v>522</v>
      </c>
      <c r="AW8" s="746">
        <v>6646</v>
      </c>
    </row>
    <row r="9" spans="1:49">
      <c r="A9" s="746" t="s">
        <v>739</v>
      </c>
      <c r="B9" s="746">
        <v>54661</v>
      </c>
      <c r="C9" s="747">
        <v>4555.083333333333</v>
      </c>
      <c r="D9" s="746">
        <f t="shared" si="3"/>
        <v>4556</v>
      </c>
      <c r="E9" s="757">
        <f t="shared" si="0"/>
        <v>2.9131179825570987E-2</v>
      </c>
      <c r="F9" s="746">
        <v>26</v>
      </c>
      <c r="G9" s="746">
        <f t="shared" si="1"/>
        <v>176</v>
      </c>
      <c r="H9" s="746">
        <v>15</v>
      </c>
      <c r="I9" s="747">
        <f t="shared" si="4"/>
        <v>15.625000000000002</v>
      </c>
      <c r="J9" s="746">
        <f t="shared" si="5"/>
        <v>2640</v>
      </c>
      <c r="K9" s="746">
        <v>600</v>
      </c>
      <c r="L9" s="746">
        <f t="shared" si="2"/>
        <v>5</v>
      </c>
      <c r="M9" s="746">
        <v>609.6</v>
      </c>
      <c r="N9" s="746">
        <v>381</v>
      </c>
      <c r="O9" s="746">
        <v>254</v>
      </c>
      <c r="P9" s="746">
        <v>1200</v>
      </c>
      <c r="Q9" s="746">
        <v>1080</v>
      </c>
      <c r="R9" s="746">
        <v>1200</v>
      </c>
      <c r="S9" s="746">
        <f t="shared" si="6"/>
        <v>5</v>
      </c>
      <c r="T9" s="746">
        <f t="shared" si="7"/>
        <v>1</v>
      </c>
      <c r="U9" s="746">
        <f t="shared" si="8"/>
        <v>2</v>
      </c>
      <c r="V9" s="746">
        <f t="shared" si="9"/>
        <v>5</v>
      </c>
      <c r="W9" s="746">
        <f t="shared" si="10"/>
        <v>10</v>
      </c>
      <c r="X9" s="758">
        <f t="shared" si="11"/>
        <v>156.25000000000003</v>
      </c>
      <c r="Y9" s="747">
        <f t="shared" si="12"/>
        <v>3.9370078740157481</v>
      </c>
      <c r="Z9" s="746">
        <f t="shared" si="13"/>
        <v>19</v>
      </c>
      <c r="AA9" s="746">
        <f t="shared" si="14"/>
        <v>58993430.399999999</v>
      </c>
      <c r="AB9" s="746">
        <f t="shared" si="15"/>
        <v>2.0833333333333335</v>
      </c>
      <c r="AC9" s="759" t="s">
        <v>594</v>
      </c>
      <c r="AD9" s="746">
        <f t="shared" si="16"/>
        <v>95</v>
      </c>
      <c r="AE9" s="746">
        <f t="shared" si="17"/>
        <v>9.5</v>
      </c>
      <c r="AF9" s="746">
        <f t="shared" si="18"/>
        <v>11.4</v>
      </c>
      <c r="AG9" s="746">
        <f t="shared" si="19"/>
        <v>26.6</v>
      </c>
      <c r="AH9" s="746">
        <f t="shared" si="20"/>
        <v>114.00000000000001</v>
      </c>
      <c r="AI9" s="746">
        <f t="shared" si="21"/>
        <v>161.5</v>
      </c>
      <c r="AJ9" s="746">
        <f t="shared" si="22"/>
        <v>88</v>
      </c>
      <c r="AK9" s="746">
        <f t="shared" si="23"/>
        <v>35</v>
      </c>
      <c r="AL9" s="746">
        <f t="shared" si="24"/>
        <v>35</v>
      </c>
      <c r="AM9" s="746">
        <f t="shared" si="25"/>
        <v>18</v>
      </c>
      <c r="AN9" s="746">
        <f t="shared" si="26"/>
        <v>9</v>
      </c>
      <c r="AO9" s="746">
        <f t="shared" si="27"/>
        <v>11</v>
      </c>
      <c r="AP9" s="746">
        <f t="shared" si="28"/>
        <v>25</v>
      </c>
      <c r="AQ9" s="746">
        <f t="shared" si="29"/>
        <v>108</v>
      </c>
      <c r="AR9" s="746">
        <f t="shared" si="30"/>
        <v>153</v>
      </c>
    </row>
    <row r="10" spans="1:49">
      <c r="A10" s="746" t="s">
        <v>740</v>
      </c>
      <c r="B10" s="746">
        <v>52590</v>
      </c>
      <c r="C10" s="747">
        <v>4382.5</v>
      </c>
      <c r="D10" s="746">
        <f t="shared" si="3"/>
        <v>4383</v>
      </c>
      <c r="E10" s="757">
        <f t="shared" si="0"/>
        <v>2.8025013427453387E-2</v>
      </c>
      <c r="F10" s="746">
        <v>26</v>
      </c>
      <c r="G10" s="746">
        <f t="shared" si="1"/>
        <v>169</v>
      </c>
      <c r="H10" s="746">
        <v>15</v>
      </c>
      <c r="I10" s="747">
        <f t="shared" si="4"/>
        <v>4.169955846473373</v>
      </c>
      <c r="J10" s="746">
        <f t="shared" si="5"/>
        <v>2535</v>
      </c>
      <c r="K10" s="746">
        <v>600</v>
      </c>
      <c r="L10" s="746">
        <f t="shared" si="2"/>
        <v>5</v>
      </c>
      <c r="M10" s="746">
        <v>410</v>
      </c>
      <c r="N10" s="746">
        <v>240</v>
      </c>
      <c r="O10" s="746">
        <v>160</v>
      </c>
      <c r="P10" s="746">
        <v>1200</v>
      </c>
      <c r="Q10" s="746">
        <v>1080</v>
      </c>
      <c r="R10" s="746">
        <v>1200</v>
      </c>
      <c r="S10" s="746">
        <f t="shared" si="6"/>
        <v>8</v>
      </c>
      <c r="T10" s="746">
        <f t="shared" si="7"/>
        <v>2</v>
      </c>
      <c r="U10" s="746">
        <f t="shared" si="8"/>
        <v>4</v>
      </c>
      <c r="V10" s="746">
        <f t="shared" si="9"/>
        <v>8</v>
      </c>
      <c r="W10" s="746">
        <f t="shared" si="10"/>
        <v>64</v>
      </c>
      <c r="X10" s="758">
        <f t="shared" si="11"/>
        <v>266.87717417429587</v>
      </c>
      <c r="Y10" s="747">
        <f t="shared" si="12"/>
        <v>3.9370078740157481</v>
      </c>
      <c r="Z10" s="746">
        <f t="shared" si="13"/>
        <v>3</v>
      </c>
      <c r="AA10" s="746">
        <f t="shared" si="14"/>
        <v>15744000</v>
      </c>
      <c r="AB10" s="746">
        <f t="shared" si="15"/>
        <v>0.5559941128631164</v>
      </c>
      <c r="AC10" s="759" t="s">
        <v>594</v>
      </c>
      <c r="AD10" s="746">
        <f t="shared" si="16"/>
        <v>15</v>
      </c>
      <c r="AE10" s="746">
        <f t="shared" si="17"/>
        <v>1.5</v>
      </c>
      <c r="AF10" s="746">
        <f t="shared" si="18"/>
        <v>1.8000000000000003</v>
      </c>
      <c r="AG10" s="746">
        <f t="shared" si="19"/>
        <v>4.2000000000000011</v>
      </c>
      <c r="AH10" s="746">
        <f t="shared" si="20"/>
        <v>18.000000000000004</v>
      </c>
      <c r="AI10" s="746">
        <f t="shared" si="21"/>
        <v>25.500000000000007</v>
      </c>
      <c r="AJ10" s="746">
        <f t="shared" si="22"/>
        <v>85</v>
      </c>
      <c r="AK10" s="746">
        <f t="shared" si="23"/>
        <v>34</v>
      </c>
      <c r="AL10" s="746">
        <f t="shared" si="24"/>
        <v>34</v>
      </c>
      <c r="AM10" s="746">
        <f t="shared" si="25"/>
        <v>17</v>
      </c>
      <c r="AN10" s="746">
        <f t="shared" si="26"/>
        <v>1</v>
      </c>
      <c r="AO10" s="746">
        <f t="shared" si="27"/>
        <v>2</v>
      </c>
      <c r="AP10" s="746">
        <f t="shared" si="28"/>
        <v>4</v>
      </c>
      <c r="AQ10" s="746">
        <f t="shared" si="29"/>
        <v>16</v>
      </c>
      <c r="AR10" s="746">
        <f t="shared" si="30"/>
        <v>23</v>
      </c>
      <c r="AV10" s="762" t="s">
        <v>741</v>
      </c>
      <c r="AW10" s="762"/>
    </row>
    <row r="11" spans="1:49">
      <c r="A11" s="746" t="s">
        <v>742</v>
      </c>
      <c r="B11" s="746">
        <v>49876</v>
      </c>
      <c r="C11" s="747">
        <v>4156.3333333333339</v>
      </c>
      <c r="D11" s="746">
        <f t="shared" si="3"/>
        <v>4157</v>
      </c>
      <c r="E11" s="757">
        <f t="shared" si="0"/>
        <v>2.65799636819356E-2</v>
      </c>
      <c r="F11" s="746">
        <v>26</v>
      </c>
      <c r="G11" s="746">
        <f t="shared" si="1"/>
        <v>160</v>
      </c>
      <c r="H11" s="746">
        <v>15</v>
      </c>
      <c r="I11" s="747">
        <f t="shared" si="4"/>
        <v>16.371527777777779</v>
      </c>
      <c r="J11" s="746">
        <f t="shared" si="5"/>
        <v>2400</v>
      </c>
      <c r="K11" s="746">
        <v>600</v>
      </c>
      <c r="L11" s="746">
        <f t="shared" si="2"/>
        <v>4</v>
      </c>
      <c r="M11" s="746">
        <v>520.70000000000005</v>
      </c>
      <c r="N11" s="746">
        <v>406.4</v>
      </c>
      <c r="O11" s="746">
        <v>292.10000000000002</v>
      </c>
      <c r="P11" s="746">
        <v>1200</v>
      </c>
      <c r="Q11" s="746">
        <v>1080</v>
      </c>
      <c r="R11" s="746">
        <v>1200</v>
      </c>
      <c r="S11" s="746">
        <f t="shared" si="6"/>
        <v>4</v>
      </c>
      <c r="T11" s="746">
        <f t="shared" si="7"/>
        <v>2</v>
      </c>
      <c r="U11" s="746">
        <f t="shared" si="8"/>
        <v>2</v>
      </c>
      <c r="V11" s="746">
        <f t="shared" si="9"/>
        <v>4</v>
      </c>
      <c r="W11" s="746">
        <f t="shared" si="10"/>
        <v>16</v>
      </c>
      <c r="X11" s="758">
        <f t="shared" si="11"/>
        <v>261.94444444444446</v>
      </c>
      <c r="Y11" s="747">
        <f t="shared" si="12"/>
        <v>3.9370078740157481</v>
      </c>
      <c r="Z11" s="746">
        <f t="shared" si="13"/>
        <v>11</v>
      </c>
      <c r="AA11" s="746">
        <f t="shared" si="14"/>
        <v>61812005.408000007</v>
      </c>
      <c r="AB11" s="746">
        <f t="shared" si="15"/>
        <v>2.1828703703703707</v>
      </c>
      <c r="AC11" s="759" t="s">
        <v>594</v>
      </c>
      <c r="AD11" s="746">
        <f t="shared" si="16"/>
        <v>55</v>
      </c>
      <c r="AE11" s="746">
        <f t="shared" si="17"/>
        <v>5.5</v>
      </c>
      <c r="AF11" s="746">
        <f t="shared" si="18"/>
        <v>6.6000000000000005</v>
      </c>
      <c r="AG11" s="746">
        <f t="shared" si="19"/>
        <v>15.400000000000002</v>
      </c>
      <c r="AH11" s="746">
        <f t="shared" si="20"/>
        <v>66</v>
      </c>
      <c r="AI11" s="746">
        <f t="shared" si="21"/>
        <v>93.5</v>
      </c>
      <c r="AJ11" s="746">
        <f t="shared" si="22"/>
        <v>80</v>
      </c>
      <c r="AK11" s="746">
        <f t="shared" si="23"/>
        <v>32</v>
      </c>
      <c r="AL11" s="746">
        <f t="shared" si="24"/>
        <v>32</v>
      </c>
      <c r="AM11" s="746">
        <f t="shared" si="25"/>
        <v>16</v>
      </c>
      <c r="AN11" s="746">
        <f t="shared" si="26"/>
        <v>5</v>
      </c>
      <c r="AO11" s="746">
        <f t="shared" si="27"/>
        <v>6</v>
      </c>
      <c r="AP11" s="746">
        <f t="shared" si="28"/>
        <v>14</v>
      </c>
      <c r="AQ11" s="746">
        <f t="shared" si="29"/>
        <v>60</v>
      </c>
      <c r="AR11" s="746">
        <f t="shared" si="30"/>
        <v>85</v>
      </c>
      <c r="AV11" s="760" t="s">
        <v>709</v>
      </c>
      <c r="AW11" s="746" t="s">
        <v>743</v>
      </c>
    </row>
    <row r="12" spans="1:49">
      <c r="A12" s="746" t="s">
        <v>744</v>
      </c>
      <c r="B12" s="746">
        <v>47379</v>
      </c>
      <c r="C12" s="747">
        <v>3948.25</v>
      </c>
      <c r="D12" s="746">
        <f t="shared" si="3"/>
        <v>3949</v>
      </c>
      <c r="E12" s="757">
        <f t="shared" si="0"/>
        <v>2.5250006394025422E-2</v>
      </c>
      <c r="F12" s="746">
        <v>26</v>
      </c>
      <c r="G12" s="746">
        <f t="shared" si="1"/>
        <v>152</v>
      </c>
      <c r="H12" s="746">
        <v>15</v>
      </c>
      <c r="I12" s="747">
        <f t="shared" si="4"/>
        <v>0.49641385577062497</v>
      </c>
      <c r="J12" s="746">
        <f t="shared" si="5"/>
        <v>2280</v>
      </c>
      <c r="K12" s="746">
        <v>600</v>
      </c>
      <c r="L12" s="746">
        <f t="shared" si="2"/>
        <v>4</v>
      </c>
      <c r="M12" s="746">
        <v>105</v>
      </c>
      <c r="N12" s="746">
        <v>105</v>
      </c>
      <c r="O12" s="746">
        <v>170</v>
      </c>
      <c r="P12" s="746">
        <v>1200</v>
      </c>
      <c r="Q12" s="746">
        <v>1080</v>
      </c>
      <c r="R12" s="746">
        <v>1200</v>
      </c>
      <c r="S12" s="746">
        <f t="shared" si="6"/>
        <v>7</v>
      </c>
      <c r="T12" s="746">
        <f>ROUNDDOWN(P12/M12,0)</f>
        <v>11</v>
      </c>
      <c r="U12" s="746">
        <f>ROUNDDOWN(Q12/N12,0)</f>
        <v>10</v>
      </c>
      <c r="V12" s="746">
        <f t="shared" si="9"/>
        <v>7</v>
      </c>
      <c r="W12" s="746">
        <f>T12*U12*V12</f>
        <v>770</v>
      </c>
      <c r="X12" s="758">
        <f t="shared" si="11"/>
        <v>382.23866894338124</v>
      </c>
      <c r="Y12" s="747">
        <f t="shared" si="12"/>
        <v>3.9370078740157481</v>
      </c>
      <c r="Z12" s="746">
        <f t="shared" si="13"/>
        <v>1</v>
      </c>
      <c r="AA12" s="746">
        <f t="shared" si="14"/>
        <v>1874250</v>
      </c>
      <c r="AB12" s="746">
        <f t="shared" si="15"/>
        <v>6.6188514102749993E-2</v>
      </c>
      <c r="AC12" s="759" t="s">
        <v>594</v>
      </c>
      <c r="AD12" s="746">
        <f t="shared" si="16"/>
        <v>5</v>
      </c>
      <c r="AE12" s="746">
        <f t="shared" si="17"/>
        <v>0.5</v>
      </c>
      <c r="AF12" s="746">
        <f t="shared" si="18"/>
        <v>0.60000000000000009</v>
      </c>
      <c r="AG12" s="746">
        <f t="shared" si="19"/>
        <v>1.4000000000000001</v>
      </c>
      <c r="AH12" s="746">
        <f t="shared" si="20"/>
        <v>6</v>
      </c>
      <c r="AI12" s="746">
        <f t="shared" si="21"/>
        <v>8.5</v>
      </c>
      <c r="AJ12" s="746">
        <f t="shared" si="22"/>
        <v>76</v>
      </c>
      <c r="AK12" s="746">
        <f t="shared" si="23"/>
        <v>30</v>
      </c>
      <c r="AL12" s="746">
        <f t="shared" si="24"/>
        <v>30</v>
      </c>
      <c r="AM12" s="746">
        <f t="shared" si="25"/>
        <v>15</v>
      </c>
      <c r="AN12" s="746">
        <f t="shared" si="26"/>
        <v>0</v>
      </c>
      <c r="AO12" s="746">
        <f t="shared" si="27"/>
        <v>0</v>
      </c>
      <c r="AP12" s="746">
        <f t="shared" si="28"/>
        <v>0</v>
      </c>
      <c r="AQ12" s="746">
        <f t="shared" si="29"/>
        <v>1</v>
      </c>
      <c r="AR12" s="746">
        <f t="shared" si="30"/>
        <v>1</v>
      </c>
      <c r="AV12" s="761" t="s">
        <v>594</v>
      </c>
      <c r="AW12" s="746">
        <v>871</v>
      </c>
    </row>
    <row r="13" spans="1:49">
      <c r="A13" s="746" t="s">
        <v>745</v>
      </c>
      <c r="B13" s="746">
        <v>47263</v>
      </c>
      <c r="C13" s="747">
        <v>3938.583333333333</v>
      </c>
      <c r="D13" s="746">
        <f t="shared" si="3"/>
        <v>3939</v>
      </c>
      <c r="E13" s="757">
        <f t="shared" si="0"/>
        <v>2.5186066139798971E-2</v>
      </c>
      <c r="F13" s="746">
        <v>26</v>
      </c>
      <c r="G13" s="746">
        <f t="shared" si="1"/>
        <v>152</v>
      </c>
      <c r="H13" s="746">
        <v>15</v>
      </c>
      <c r="I13" s="747">
        <f t="shared" si="4"/>
        <v>23.282253476142998</v>
      </c>
      <c r="J13" s="746">
        <f t="shared" si="5"/>
        <v>2280</v>
      </c>
      <c r="K13" s="746">
        <v>600</v>
      </c>
      <c r="L13" s="746">
        <f t="shared" si="2"/>
        <v>4</v>
      </c>
      <c r="M13" s="746">
        <v>670</v>
      </c>
      <c r="N13" s="746">
        <v>410</v>
      </c>
      <c r="O13" s="746">
        <v>320</v>
      </c>
      <c r="P13" s="746">
        <v>1200</v>
      </c>
      <c r="Q13" s="746">
        <v>1080</v>
      </c>
      <c r="R13" s="746">
        <v>1200</v>
      </c>
      <c r="S13" s="746">
        <f t="shared" si="6"/>
        <v>4</v>
      </c>
      <c r="T13" s="746">
        <f t="shared" si="7"/>
        <v>1</v>
      </c>
      <c r="U13" s="746">
        <f t="shared" si="8"/>
        <v>2</v>
      </c>
      <c r="V13" s="746">
        <f t="shared" si="9"/>
        <v>4</v>
      </c>
      <c r="W13" s="746">
        <f t="shared" si="10"/>
        <v>8</v>
      </c>
      <c r="X13" s="758">
        <f t="shared" si="11"/>
        <v>186.25802780914398</v>
      </c>
      <c r="Y13" s="747">
        <f t="shared" si="12"/>
        <v>3.9370078740157481</v>
      </c>
      <c r="Z13" s="746">
        <f t="shared" si="13"/>
        <v>20</v>
      </c>
      <c r="AA13" s="746">
        <f t="shared" si="14"/>
        <v>87904000</v>
      </c>
      <c r="AB13" s="746">
        <f t="shared" si="15"/>
        <v>3.1043004634857332</v>
      </c>
      <c r="AC13" s="759" t="s">
        <v>594</v>
      </c>
      <c r="AD13" s="746">
        <f t="shared" si="16"/>
        <v>100</v>
      </c>
      <c r="AE13" s="746">
        <f t="shared" si="17"/>
        <v>10</v>
      </c>
      <c r="AF13" s="746">
        <f t="shared" si="18"/>
        <v>12</v>
      </c>
      <c r="AG13" s="746">
        <f t="shared" si="19"/>
        <v>28</v>
      </c>
      <c r="AH13" s="746">
        <f t="shared" si="20"/>
        <v>120</v>
      </c>
      <c r="AI13" s="746">
        <f t="shared" si="21"/>
        <v>170</v>
      </c>
      <c r="AJ13" s="746">
        <f t="shared" si="22"/>
        <v>76</v>
      </c>
      <c r="AK13" s="746">
        <f t="shared" si="23"/>
        <v>30</v>
      </c>
      <c r="AL13" s="746">
        <f t="shared" si="24"/>
        <v>30</v>
      </c>
      <c r="AM13" s="746">
        <f t="shared" si="25"/>
        <v>15</v>
      </c>
      <c r="AN13" s="746">
        <f t="shared" si="26"/>
        <v>10</v>
      </c>
      <c r="AO13" s="746">
        <f t="shared" si="27"/>
        <v>11</v>
      </c>
      <c r="AP13" s="746">
        <f t="shared" si="28"/>
        <v>26</v>
      </c>
      <c r="AQ13" s="746">
        <f t="shared" si="29"/>
        <v>113</v>
      </c>
      <c r="AR13" s="746">
        <f t="shared" si="30"/>
        <v>160</v>
      </c>
      <c r="AV13" s="761" t="s">
        <v>595</v>
      </c>
      <c r="AW13" s="746">
        <v>24</v>
      </c>
    </row>
    <row r="14" spans="1:49">
      <c r="A14" s="746" t="s">
        <v>746</v>
      </c>
      <c r="B14" s="746">
        <v>33094</v>
      </c>
      <c r="C14" s="747">
        <v>2757.8333333333335</v>
      </c>
      <c r="D14" s="746">
        <f t="shared" si="3"/>
        <v>2758</v>
      </c>
      <c r="E14" s="757">
        <f t="shared" si="0"/>
        <v>1.7634722115655133E-2</v>
      </c>
      <c r="F14" s="746">
        <v>26</v>
      </c>
      <c r="G14" s="746">
        <f t="shared" si="1"/>
        <v>107</v>
      </c>
      <c r="H14" s="746">
        <v>15</v>
      </c>
      <c r="I14" s="747">
        <f t="shared" si="4"/>
        <v>23.282253476142998</v>
      </c>
      <c r="J14" s="746">
        <f t="shared" si="5"/>
        <v>1605</v>
      </c>
      <c r="K14" s="746">
        <v>600</v>
      </c>
      <c r="L14" s="746">
        <f t="shared" si="2"/>
        <v>3</v>
      </c>
      <c r="M14" s="746">
        <v>670</v>
      </c>
      <c r="N14" s="746">
        <v>410</v>
      </c>
      <c r="O14" s="746">
        <v>320</v>
      </c>
      <c r="P14" s="746">
        <v>1200</v>
      </c>
      <c r="Q14" s="746">
        <v>1080</v>
      </c>
      <c r="R14" s="746">
        <v>1200</v>
      </c>
      <c r="S14" s="746">
        <f t="shared" si="6"/>
        <v>4</v>
      </c>
      <c r="T14" s="746">
        <f t="shared" si="7"/>
        <v>1</v>
      </c>
      <c r="U14" s="746">
        <f t="shared" si="8"/>
        <v>2</v>
      </c>
      <c r="V14" s="746">
        <f t="shared" si="9"/>
        <v>4</v>
      </c>
      <c r="W14" s="746">
        <f t="shared" si="10"/>
        <v>8</v>
      </c>
      <c r="X14" s="758">
        <f t="shared" si="11"/>
        <v>186.25802780914398</v>
      </c>
      <c r="Y14" s="747">
        <f t="shared" si="12"/>
        <v>3.9370078740157481</v>
      </c>
      <c r="Z14" s="746">
        <f t="shared" si="13"/>
        <v>15</v>
      </c>
      <c r="AA14" s="746">
        <f t="shared" si="14"/>
        <v>87904000</v>
      </c>
      <c r="AB14" s="746">
        <f t="shared" si="15"/>
        <v>3.1043004634857332</v>
      </c>
      <c r="AC14" s="759" t="s">
        <v>594</v>
      </c>
      <c r="AD14" s="746">
        <f t="shared" si="16"/>
        <v>75</v>
      </c>
      <c r="AE14" s="746">
        <f t="shared" si="17"/>
        <v>7.5</v>
      </c>
      <c r="AF14" s="746">
        <f t="shared" si="18"/>
        <v>9</v>
      </c>
      <c r="AG14" s="746">
        <f t="shared" si="19"/>
        <v>21</v>
      </c>
      <c r="AH14" s="746">
        <f t="shared" si="20"/>
        <v>90</v>
      </c>
      <c r="AI14" s="746">
        <f t="shared" si="21"/>
        <v>127.5</v>
      </c>
      <c r="AJ14" s="746">
        <f t="shared" si="22"/>
        <v>54</v>
      </c>
      <c r="AK14" s="746">
        <f t="shared" si="23"/>
        <v>21</v>
      </c>
      <c r="AL14" s="746">
        <f t="shared" si="24"/>
        <v>21</v>
      </c>
      <c r="AM14" s="746">
        <f t="shared" si="25"/>
        <v>11</v>
      </c>
      <c r="AN14" s="746">
        <f t="shared" si="26"/>
        <v>7</v>
      </c>
      <c r="AO14" s="746">
        <f t="shared" si="27"/>
        <v>8</v>
      </c>
      <c r="AP14" s="746">
        <f t="shared" si="28"/>
        <v>18</v>
      </c>
      <c r="AQ14" s="746">
        <f t="shared" si="29"/>
        <v>83</v>
      </c>
      <c r="AR14" s="746">
        <f t="shared" si="30"/>
        <v>116</v>
      </c>
      <c r="AV14" s="761" t="s">
        <v>596</v>
      </c>
      <c r="AW14" s="746">
        <v>1</v>
      </c>
    </row>
    <row r="15" spans="1:49">
      <c r="A15" s="759" t="s">
        <v>747</v>
      </c>
      <c r="B15" s="746">
        <v>31379</v>
      </c>
      <c r="C15" s="747">
        <v>2614.9166666666665</v>
      </c>
      <c r="D15" s="746">
        <f t="shared" si="3"/>
        <v>2615</v>
      </c>
      <c r="E15" s="757">
        <f t="shared" si="0"/>
        <v>1.6720376480216886E-2</v>
      </c>
      <c r="F15" s="746">
        <v>26</v>
      </c>
      <c r="G15" s="746">
        <f t="shared" si="1"/>
        <v>101</v>
      </c>
      <c r="H15" s="746">
        <v>15</v>
      </c>
      <c r="I15" s="747">
        <f t="shared" si="4"/>
        <v>8.7806387336309246</v>
      </c>
      <c r="J15" s="746">
        <f t="shared" si="5"/>
        <v>1515</v>
      </c>
      <c r="K15" s="746">
        <v>600</v>
      </c>
      <c r="L15" s="746">
        <f t="shared" si="2"/>
        <v>3</v>
      </c>
      <c r="M15" s="746">
        <v>560</v>
      </c>
      <c r="N15" s="746">
        <v>370</v>
      </c>
      <c r="O15" s="746">
        <v>160</v>
      </c>
      <c r="P15" s="746">
        <v>1200</v>
      </c>
      <c r="Q15" s="746">
        <v>1080</v>
      </c>
      <c r="R15" s="746">
        <v>1200</v>
      </c>
      <c r="S15" s="746">
        <f t="shared" si="6"/>
        <v>8</v>
      </c>
      <c r="T15" s="746">
        <f t="shared" si="7"/>
        <v>2</v>
      </c>
      <c r="U15" s="746">
        <f t="shared" si="8"/>
        <v>2</v>
      </c>
      <c r="V15" s="746">
        <f t="shared" si="9"/>
        <v>8</v>
      </c>
      <c r="W15" s="746">
        <f t="shared" si="10"/>
        <v>32</v>
      </c>
      <c r="X15" s="758">
        <f t="shared" si="11"/>
        <v>280.98043947618959</v>
      </c>
      <c r="Y15" s="747">
        <f t="shared" si="12"/>
        <v>3.9370078740157481</v>
      </c>
      <c r="Z15" s="746">
        <f t="shared" si="13"/>
        <v>4</v>
      </c>
      <c r="AA15" s="746">
        <f t="shared" si="14"/>
        <v>33152000</v>
      </c>
      <c r="AB15" s="746">
        <f t="shared" si="15"/>
        <v>1.1707518311507898</v>
      </c>
      <c r="AC15" s="759" t="s">
        <v>594</v>
      </c>
      <c r="AD15" s="746">
        <f t="shared" si="16"/>
        <v>20</v>
      </c>
      <c r="AE15" s="746">
        <f t="shared" si="17"/>
        <v>2</v>
      </c>
      <c r="AF15" s="746">
        <f t="shared" si="18"/>
        <v>2.4000000000000004</v>
      </c>
      <c r="AG15" s="746">
        <f t="shared" si="19"/>
        <v>5.6000000000000005</v>
      </c>
      <c r="AH15" s="746">
        <f t="shared" si="20"/>
        <v>24</v>
      </c>
      <c r="AI15" s="746">
        <f t="shared" si="21"/>
        <v>34</v>
      </c>
      <c r="AJ15" s="746">
        <f t="shared" si="22"/>
        <v>51</v>
      </c>
      <c r="AK15" s="746">
        <f t="shared" si="23"/>
        <v>20</v>
      </c>
      <c r="AL15" s="746">
        <f t="shared" si="24"/>
        <v>20</v>
      </c>
      <c r="AM15" s="746">
        <f t="shared" si="25"/>
        <v>10</v>
      </c>
      <c r="AN15" s="746">
        <f t="shared" si="26"/>
        <v>2</v>
      </c>
      <c r="AO15" s="746">
        <f t="shared" si="27"/>
        <v>2</v>
      </c>
      <c r="AP15" s="746">
        <f t="shared" si="28"/>
        <v>4</v>
      </c>
      <c r="AQ15" s="746">
        <f t="shared" si="29"/>
        <v>19</v>
      </c>
      <c r="AR15" s="746">
        <f t="shared" si="30"/>
        <v>27</v>
      </c>
      <c r="AV15" s="761" t="s">
        <v>597</v>
      </c>
      <c r="AW15" s="746">
        <v>0</v>
      </c>
    </row>
    <row r="16" spans="1:49">
      <c r="A16" s="746" t="s">
        <v>748</v>
      </c>
      <c r="B16" s="746">
        <v>30076</v>
      </c>
      <c r="C16" s="747">
        <v>2506.3333333333335</v>
      </c>
      <c r="D16" s="746">
        <f t="shared" si="3"/>
        <v>2507</v>
      </c>
      <c r="E16" s="757">
        <f t="shared" si="0"/>
        <v>1.6029821734571216E-2</v>
      </c>
      <c r="F16" s="746">
        <v>26</v>
      </c>
      <c r="G16" s="746">
        <f t="shared" si="1"/>
        <v>97</v>
      </c>
      <c r="H16" s="746">
        <v>15</v>
      </c>
      <c r="I16" s="747">
        <f t="shared" si="4"/>
        <v>20.172039041994751</v>
      </c>
      <c r="J16" s="746">
        <f t="shared" si="5"/>
        <v>1455</v>
      </c>
      <c r="K16" s="746">
        <v>600</v>
      </c>
      <c r="L16" s="746">
        <f t="shared" si="2"/>
        <v>3</v>
      </c>
      <c r="M16" s="746">
        <v>787</v>
      </c>
      <c r="N16" s="746">
        <v>381</v>
      </c>
      <c r="O16" s="746">
        <v>254</v>
      </c>
      <c r="P16" s="746">
        <v>1200</v>
      </c>
      <c r="Q16" s="746">
        <v>1080</v>
      </c>
      <c r="R16" s="746">
        <v>1200</v>
      </c>
      <c r="S16" s="746">
        <f t="shared" si="6"/>
        <v>5</v>
      </c>
      <c r="T16" s="746">
        <f t="shared" si="7"/>
        <v>1</v>
      </c>
      <c r="U16" s="746">
        <f t="shared" si="8"/>
        <v>2</v>
      </c>
      <c r="V16" s="746">
        <f t="shared" si="9"/>
        <v>5</v>
      </c>
      <c r="W16" s="746">
        <f t="shared" si="10"/>
        <v>10</v>
      </c>
      <c r="X16" s="758">
        <f t="shared" si="11"/>
        <v>201.72039041994751</v>
      </c>
      <c r="Y16" s="747">
        <f t="shared" si="12"/>
        <v>3.9370078740157481</v>
      </c>
      <c r="Z16" s="746">
        <f t="shared" si="13"/>
        <v>11</v>
      </c>
      <c r="AA16" s="746">
        <f t="shared" si="14"/>
        <v>76161138</v>
      </c>
      <c r="AB16" s="746">
        <f t="shared" si="15"/>
        <v>2.6896052055993001</v>
      </c>
      <c r="AC16" s="759" t="s">
        <v>594</v>
      </c>
      <c r="AD16" s="746">
        <f t="shared" si="16"/>
        <v>55</v>
      </c>
      <c r="AE16" s="746">
        <f t="shared" si="17"/>
        <v>5.5</v>
      </c>
      <c r="AF16" s="746">
        <f t="shared" si="18"/>
        <v>6.6000000000000005</v>
      </c>
      <c r="AG16" s="746">
        <f t="shared" si="19"/>
        <v>15.400000000000002</v>
      </c>
      <c r="AH16" s="746">
        <f t="shared" si="20"/>
        <v>66</v>
      </c>
      <c r="AI16" s="746">
        <f t="shared" si="21"/>
        <v>93.5</v>
      </c>
      <c r="AJ16" s="746">
        <f t="shared" si="22"/>
        <v>49</v>
      </c>
      <c r="AK16" s="746">
        <f t="shared" si="23"/>
        <v>19</v>
      </c>
      <c r="AL16" s="746">
        <f t="shared" si="24"/>
        <v>19</v>
      </c>
      <c r="AM16" s="746">
        <f t="shared" si="25"/>
        <v>10</v>
      </c>
      <c r="AN16" s="746">
        <f t="shared" si="26"/>
        <v>5</v>
      </c>
      <c r="AO16" s="746">
        <f t="shared" si="27"/>
        <v>6</v>
      </c>
      <c r="AP16" s="746">
        <f t="shared" si="28"/>
        <v>13</v>
      </c>
      <c r="AQ16" s="746">
        <f t="shared" si="29"/>
        <v>60</v>
      </c>
      <c r="AR16" s="746">
        <f t="shared" si="30"/>
        <v>84</v>
      </c>
      <c r="AV16" s="761" t="s">
        <v>522</v>
      </c>
      <c r="AW16" s="746">
        <v>896</v>
      </c>
    </row>
    <row r="17" spans="1:49">
      <c r="A17" s="746" t="s">
        <v>749</v>
      </c>
      <c r="B17" s="746">
        <v>30027</v>
      </c>
      <c r="C17" s="747">
        <v>2502.25</v>
      </c>
      <c r="D17" s="746">
        <f t="shared" si="3"/>
        <v>2503</v>
      </c>
      <c r="E17" s="757">
        <f t="shared" si="0"/>
        <v>1.6004245632880637E-2</v>
      </c>
      <c r="F17" s="746">
        <v>26</v>
      </c>
      <c r="G17" s="746">
        <f t="shared" si="1"/>
        <v>97</v>
      </c>
      <c r="H17" s="746">
        <v>15</v>
      </c>
      <c r="I17" s="747">
        <f t="shared" si="4"/>
        <v>4.169955846473373</v>
      </c>
      <c r="J17" s="746">
        <f t="shared" si="5"/>
        <v>1455</v>
      </c>
      <c r="K17" s="746">
        <v>600</v>
      </c>
      <c r="L17" s="746">
        <f t="shared" si="2"/>
        <v>3</v>
      </c>
      <c r="M17" s="746">
        <v>410</v>
      </c>
      <c r="N17" s="746">
        <v>240</v>
      </c>
      <c r="O17" s="746">
        <v>160</v>
      </c>
      <c r="P17" s="746">
        <v>1200</v>
      </c>
      <c r="Q17" s="746">
        <v>1080</v>
      </c>
      <c r="R17" s="746">
        <v>1200</v>
      </c>
      <c r="S17" s="746">
        <f t="shared" si="6"/>
        <v>8</v>
      </c>
      <c r="T17" s="746">
        <f t="shared" si="7"/>
        <v>2</v>
      </c>
      <c r="U17" s="746">
        <f t="shared" si="8"/>
        <v>4</v>
      </c>
      <c r="V17" s="746">
        <f t="shared" si="9"/>
        <v>8</v>
      </c>
      <c r="W17" s="746">
        <f t="shared" si="10"/>
        <v>64</v>
      </c>
      <c r="X17" s="758">
        <f t="shared" si="11"/>
        <v>266.87717417429587</v>
      </c>
      <c r="Y17" s="747">
        <f t="shared" si="12"/>
        <v>3.9370078740157481</v>
      </c>
      <c r="Z17" s="746">
        <f t="shared" si="13"/>
        <v>2</v>
      </c>
      <c r="AA17" s="746">
        <f t="shared" si="14"/>
        <v>15744000</v>
      </c>
      <c r="AB17" s="746">
        <f t="shared" si="15"/>
        <v>0.5559941128631164</v>
      </c>
      <c r="AC17" s="759" t="s">
        <v>594</v>
      </c>
      <c r="AD17" s="746">
        <f t="shared" si="16"/>
        <v>10</v>
      </c>
      <c r="AE17" s="746">
        <f t="shared" si="17"/>
        <v>1</v>
      </c>
      <c r="AF17" s="746">
        <f t="shared" si="18"/>
        <v>1.2000000000000002</v>
      </c>
      <c r="AG17" s="746">
        <f t="shared" si="19"/>
        <v>2.8000000000000003</v>
      </c>
      <c r="AH17" s="746">
        <f t="shared" si="20"/>
        <v>12</v>
      </c>
      <c r="AI17" s="746">
        <f t="shared" si="21"/>
        <v>17</v>
      </c>
      <c r="AJ17" s="746">
        <f t="shared" si="22"/>
        <v>49</v>
      </c>
      <c r="AK17" s="746">
        <f t="shared" si="23"/>
        <v>19</v>
      </c>
      <c r="AL17" s="746">
        <f t="shared" si="24"/>
        <v>19</v>
      </c>
      <c r="AM17" s="746">
        <f t="shared" si="25"/>
        <v>10</v>
      </c>
      <c r="AN17" s="746">
        <f t="shared" si="26"/>
        <v>1</v>
      </c>
      <c r="AO17" s="746">
        <f t="shared" si="27"/>
        <v>1</v>
      </c>
      <c r="AP17" s="746">
        <f t="shared" si="28"/>
        <v>2</v>
      </c>
      <c r="AQ17" s="746">
        <f t="shared" si="29"/>
        <v>9</v>
      </c>
      <c r="AR17" s="746">
        <f t="shared" si="30"/>
        <v>13</v>
      </c>
      <c r="AW17" s="245"/>
    </row>
    <row r="18" spans="1:49">
      <c r="A18" s="763" t="s">
        <v>750</v>
      </c>
      <c r="B18" s="746">
        <v>28782</v>
      </c>
      <c r="C18" s="747">
        <v>2398.5</v>
      </c>
      <c r="D18" s="746">
        <f t="shared" si="3"/>
        <v>2399</v>
      </c>
      <c r="E18" s="757">
        <f t="shared" si="0"/>
        <v>1.5339266988925548E-2</v>
      </c>
      <c r="F18" s="746">
        <v>26</v>
      </c>
      <c r="G18" s="746">
        <f t="shared" si="1"/>
        <v>93</v>
      </c>
      <c r="H18" s="746">
        <v>15</v>
      </c>
      <c r="I18" s="747">
        <f t="shared" si="4"/>
        <v>0</v>
      </c>
      <c r="J18" s="746">
        <f t="shared" si="5"/>
        <v>1395</v>
      </c>
      <c r="K18" s="746">
        <v>600</v>
      </c>
      <c r="L18" s="746">
        <f t="shared" si="2"/>
        <v>3</v>
      </c>
      <c r="M18" s="746">
        <v>2032</v>
      </c>
      <c r="N18" s="746">
        <v>1955.8</v>
      </c>
      <c r="O18" s="746">
        <v>3048</v>
      </c>
      <c r="P18" s="746">
        <v>2050</v>
      </c>
      <c r="Q18" s="746">
        <v>2000</v>
      </c>
      <c r="R18" s="746">
        <v>1200</v>
      </c>
      <c r="S18" s="746">
        <f t="shared" si="6"/>
        <v>0</v>
      </c>
      <c r="T18" s="746">
        <f>ROUNDDOWN(P18/M18,0)</f>
        <v>1</v>
      </c>
      <c r="U18" s="746">
        <f t="shared" si="8"/>
        <v>1</v>
      </c>
      <c r="V18" s="746">
        <f t="shared" si="9"/>
        <v>0</v>
      </c>
      <c r="W18" s="746">
        <f>T18*U18*V18</f>
        <v>0</v>
      </c>
      <c r="X18" s="758">
        <f t="shared" si="11"/>
        <v>0</v>
      </c>
      <c r="Y18" s="747">
        <f>CONVERT(R18,"mm","ft")</f>
        <v>3.9370078740157481</v>
      </c>
      <c r="Z18" s="746">
        <f t="shared" si="13"/>
        <v>0</v>
      </c>
      <c r="AA18" s="746">
        <f t="shared" si="14"/>
        <v>12113317708.800001</v>
      </c>
      <c r="AB18" s="746">
        <f>CONVERT(AA18,"mm^3","ft^3")*0</f>
        <v>0</v>
      </c>
      <c r="AC18" s="759" t="s">
        <v>597</v>
      </c>
      <c r="AD18" s="746">
        <f t="shared" ref="AD18" si="31">Z18*10</f>
        <v>0</v>
      </c>
      <c r="AE18" s="746">
        <f t="shared" si="17"/>
        <v>0</v>
      </c>
      <c r="AF18" s="746">
        <f t="shared" si="18"/>
        <v>0</v>
      </c>
      <c r="AG18" s="746">
        <f t="shared" si="19"/>
        <v>0</v>
      </c>
      <c r="AH18" s="746">
        <f t="shared" si="20"/>
        <v>0</v>
      </c>
      <c r="AI18" s="746">
        <f t="shared" si="21"/>
        <v>0</v>
      </c>
      <c r="AJ18" s="746">
        <f t="shared" si="22"/>
        <v>47</v>
      </c>
      <c r="AK18" s="746">
        <f t="shared" si="23"/>
        <v>19</v>
      </c>
      <c r="AL18" s="746">
        <f t="shared" si="24"/>
        <v>19</v>
      </c>
      <c r="AM18" s="746">
        <f t="shared" si="25"/>
        <v>9</v>
      </c>
      <c r="AN18" s="746">
        <f t="shared" si="26"/>
        <v>0</v>
      </c>
      <c r="AO18" s="746">
        <f t="shared" si="27"/>
        <v>0</v>
      </c>
      <c r="AP18" s="746">
        <f t="shared" si="28"/>
        <v>0</v>
      </c>
      <c r="AQ18" s="746">
        <f t="shared" si="29"/>
        <v>0</v>
      </c>
      <c r="AR18" s="746">
        <f t="shared" si="30"/>
        <v>0</v>
      </c>
    </row>
    <row r="19" spans="1:49">
      <c r="A19" s="746" t="s">
        <v>751</v>
      </c>
      <c r="B19" s="746">
        <v>28215</v>
      </c>
      <c r="C19" s="747">
        <v>2351.25</v>
      </c>
      <c r="D19" s="746">
        <f t="shared" si="3"/>
        <v>2352</v>
      </c>
      <c r="E19" s="757">
        <f t="shared" si="0"/>
        <v>1.503874779406123E-2</v>
      </c>
      <c r="F19" s="746">
        <v>26</v>
      </c>
      <c r="G19" s="746">
        <f t="shared" si="1"/>
        <v>91</v>
      </c>
      <c r="H19" s="746">
        <v>15</v>
      </c>
      <c r="I19" s="747">
        <f t="shared" si="4"/>
        <v>8.3333333333333321</v>
      </c>
      <c r="J19" s="746">
        <f t="shared" si="5"/>
        <v>1365</v>
      </c>
      <c r="K19" s="746">
        <v>600</v>
      </c>
      <c r="L19" s="746">
        <f t="shared" si="2"/>
        <v>3</v>
      </c>
      <c r="M19" s="746">
        <v>508</v>
      </c>
      <c r="N19" s="746">
        <v>304.8</v>
      </c>
      <c r="O19" s="746">
        <v>203.2</v>
      </c>
      <c r="P19" s="746">
        <v>1200</v>
      </c>
      <c r="Q19" s="746">
        <v>1080</v>
      </c>
      <c r="R19" s="746">
        <v>1200</v>
      </c>
      <c r="S19" s="746">
        <f t="shared" si="6"/>
        <v>6</v>
      </c>
      <c r="T19" s="746">
        <f t="shared" si="7"/>
        <v>2</v>
      </c>
      <c r="U19" s="746">
        <f t="shared" si="8"/>
        <v>3</v>
      </c>
      <c r="V19" s="746">
        <f t="shared" si="9"/>
        <v>6</v>
      </c>
      <c r="W19" s="746">
        <f t="shared" si="10"/>
        <v>36</v>
      </c>
      <c r="X19" s="758">
        <f t="shared" si="11"/>
        <v>299.99999999999994</v>
      </c>
      <c r="Y19" s="747">
        <f t="shared" si="12"/>
        <v>3.9370078740157481</v>
      </c>
      <c r="Z19" s="746">
        <f t="shared" si="13"/>
        <v>3</v>
      </c>
      <c r="AA19" s="746">
        <f t="shared" si="14"/>
        <v>31463162.879999995</v>
      </c>
      <c r="AB19" s="746">
        <f t="shared" si="15"/>
        <v>1.1111111111111109</v>
      </c>
      <c r="AC19" s="759" t="s">
        <v>594</v>
      </c>
      <c r="AD19" s="746">
        <f t="shared" ref="AD19:AD74" si="32">Z19*5</f>
        <v>15</v>
      </c>
      <c r="AE19" s="746">
        <f t="shared" si="17"/>
        <v>1.5</v>
      </c>
      <c r="AF19" s="746">
        <f t="shared" si="18"/>
        <v>1.8000000000000003</v>
      </c>
      <c r="AG19" s="746">
        <f t="shared" si="19"/>
        <v>4.2000000000000011</v>
      </c>
      <c r="AH19" s="746">
        <f t="shared" si="20"/>
        <v>18.000000000000004</v>
      </c>
      <c r="AI19" s="746">
        <f t="shared" si="21"/>
        <v>25.500000000000007</v>
      </c>
      <c r="AJ19" s="746">
        <f t="shared" si="22"/>
        <v>46</v>
      </c>
      <c r="AK19" s="746">
        <f t="shared" si="23"/>
        <v>18</v>
      </c>
      <c r="AL19" s="746">
        <f t="shared" si="24"/>
        <v>18</v>
      </c>
      <c r="AM19" s="746">
        <f t="shared" si="25"/>
        <v>9</v>
      </c>
      <c r="AN19" s="746">
        <f t="shared" si="26"/>
        <v>1</v>
      </c>
      <c r="AO19" s="746">
        <f t="shared" si="27"/>
        <v>2</v>
      </c>
      <c r="AP19" s="746">
        <f t="shared" si="28"/>
        <v>4</v>
      </c>
      <c r="AQ19" s="746">
        <f t="shared" si="29"/>
        <v>15</v>
      </c>
      <c r="AR19" s="746">
        <f t="shared" si="30"/>
        <v>22</v>
      </c>
      <c r="AW19" s="116"/>
    </row>
    <row r="20" spans="1:49">
      <c r="A20" s="746" t="s">
        <v>752</v>
      </c>
      <c r="B20" s="746">
        <v>27546</v>
      </c>
      <c r="C20" s="747">
        <v>2295.5</v>
      </c>
      <c r="D20" s="746">
        <f t="shared" si="3"/>
        <v>2296</v>
      </c>
      <c r="E20" s="757">
        <f t="shared" si="0"/>
        <v>1.4680682370393106E-2</v>
      </c>
      <c r="F20" s="746">
        <v>26</v>
      </c>
      <c r="G20" s="746">
        <f t="shared" si="1"/>
        <v>89</v>
      </c>
      <c r="H20" s="746">
        <v>15</v>
      </c>
      <c r="I20" s="747">
        <f t="shared" si="4"/>
        <v>8.7287326388888875</v>
      </c>
      <c r="J20" s="746">
        <f t="shared" si="5"/>
        <v>1335</v>
      </c>
      <c r="K20" s="746">
        <v>600</v>
      </c>
      <c r="L20" s="746">
        <f t="shared" si="2"/>
        <v>3</v>
      </c>
      <c r="M20" s="746">
        <v>561.33999999999992</v>
      </c>
      <c r="N20" s="746">
        <v>330.2</v>
      </c>
      <c r="O20" s="746">
        <v>177.8</v>
      </c>
      <c r="P20" s="746">
        <v>1200</v>
      </c>
      <c r="Q20" s="746">
        <v>1080</v>
      </c>
      <c r="R20" s="746">
        <v>1200</v>
      </c>
      <c r="S20" s="746">
        <f t="shared" si="6"/>
        <v>7</v>
      </c>
      <c r="T20" s="746">
        <f t="shared" si="7"/>
        <v>2</v>
      </c>
      <c r="U20" s="746">
        <f t="shared" si="8"/>
        <v>3</v>
      </c>
      <c r="V20" s="746">
        <f t="shared" si="9"/>
        <v>7</v>
      </c>
      <c r="W20" s="746">
        <f t="shared" si="10"/>
        <v>42</v>
      </c>
      <c r="X20" s="758">
        <f t="shared" si="11"/>
        <v>366.60677083333326</v>
      </c>
      <c r="Y20" s="747">
        <f t="shared" si="12"/>
        <v>3.9370078740157481</v>
      </c>
      <c r="Z20" s="746">
        <f t="shared" si="13"/>
        <v>3</v>
      </c>
      <c r="AA20" s="746">
        <f t="shared" si="14"/>
        <v>32956024.410399996</v>
      </c>
      <c r="AB20" s="746">
        <f t="shared" si="15"/>
        <v>1.1638310185185183</v>
      </c>
      <c r="AC20" s="759" t="s">
        <v>594</v>
      </c>
      <c r="AD20" s="746">
        <f t="shared" si="32"/>
        <v>15</v>
      </c>
      <c r="AE20" s="746">
        <f t="shared" si="17"/>
        <v>1.5</v>
      </c>
      <c r="AF20" s="746">
        <f t="shared" si="18"/>
        <v>1.8000000000000003</v>
      </c>
      <c r="AG20" s="746">
        <f t="shared" si="19"/>
        <v>4.2000000000000011</v>
      </c>
      <c r="AH20" s="746">
        <f t="shared" si="20"/>
        <v>18.000000000000004</v>
      </c>
      <c r="AI20" s="746">
        <f t="shared" si="21"/>
        <v>25.500000000000007</v>
      </c>
      <c r="AJ20" s="746">
        <f t="shared" si="22"/>
        <v>45</v>
      </c>
      <c r="AK20" s="746">
        <f t="shared" si="23"/>
        <v>18</v>
      </c>
      <c r="AL20" s="746">
        <f t="shared" si="24"/>
        <v>18</v>
      </c>
      <c r="AM20" s="746">
        <f t="shared" si="25"/>
        <v>9</v>
      </c>
      <c r="AN20" s="746">
        <f t="shared" si="26"/>
        <v>1</v>
      </c>
      <c r="AO20" s="746">
        <f t="shared" si="27"/>
        <v>1</v>
      </c>
      <c r="AP20" s="746">
        <f t="shared" si="28"/>
        <v>3</v>
      </c>
      <c r="AQ20" s="746">
        <f t="shared" si="29"/>
        <v>13</v>
      </c>
      <c r="AR20" s="746">
        <f t="shared" si="30"/>
        <v>18</v>
      </c>
    </row>
    <row r="21" spans="1:49">
      <c r="A21" s="746" t="s">
        <v>753</v>
      </c>
      <c r="B21" s="746">
        <v>25187</v>
      </c>
      <c r="C21" s="747">
        <v>2098.9166666666665</v>
      </c>
      <c r="D21" s="746">
        <f t="shared" si="3"/>
        <v>2099</v>
      </c>
      <c r="E21" s="757">
        <f t="shared" si="0"/>
        <v>1.3421059362132023E-2</v>
      </c>
      <c r="F21" s="746">
        <v>26</v>
      </c>
      <c r="G21" s="746">
        <f t="shared" si="1"/>
        <v>81</v>
      </c>
      <c r="H21" s="746">
        <v>15</v>
      </c>
      <c r="I21" s="747">
        <f t="shared" si="4"/>
        <v>0.43934976868203957</v>
      </c>
      <c r="J21" s="746">
        <f t="shared" si="5"/>
        <v>1215</v>
      </c>
      <c r="K21" s="746">
        <v>600</v>
      </c>
      <c r="L21" s="746">
        <f t="shared" si="2"/>
        <v>3</v>
      </c>
      <c r="M21" s="746">
        <v>220</v>
      </c>
      <c r="N21" s="746">
        <v>130</v>
      </c>
      <c r="O21" s="746">
        <v>58</v>
      </c>
      <c r="P21" s="746">
        <v>1200</v>
      </c>
      <c r="Q21" s="746">
        <v>1080</v>
      </c>
      <c r="R21" s="746">
        <v>1200</v>
      </c>
      <c r="S21" s="746">
        <f t="shared" si="6"/>
        <v>21</v>
      </c>
      <c r="T21" s="746">
        <f>ROUNDDOWN(P21/M21,0)-1</f>
        <v>4</v>
      </c>
      <c r="U21" s="746">
        <f>ROUNDDOWN(Q21/N21,0)-5</f>
        <v>3</v>
      </c>
      <c r="V21" s="746">
        <f t="shared" si="9"/>
        <v>21</v>
      </c>
      <c r="W21" s="746">
        <f t="shared" si="10"/>
        <v>252</v>
      </c>
      <c r="X21" s="758">
        <f t="shared" si="11"/>
        <v>110.71614170787397</v>
      </c>
      <c r="Y21" s="747">
        <f t="shared" si="12"/>
        <v>3.9370078740157481</v>
      </c>
      <c r="Z21" s="746">
        <f t="shared" si="13"/>
        <v>1</v>
      </c>
      <c r="AA21" s="746">
        <f t="shared" si="14"/>
        <v>1658800</v>
      </c>
      <c r="AB21" s="746">
        <f t="shared" si="15"/>
        <v>5.8579969157605272E-2</v>
      </c>
      <c r="AC21" s="759" t="s">
        <v>594</v>
      </c>
      <c r="AD21" s="746">
        <f t="shared" si="32"/>
        <v>5</v>
      </c>
      <c r="AE21" s="746">
        <f t="shared" si="17"/>
        <v>0.5</v>
      </c>
      <c r="AF21" s="746">
        <f t="shared" si="18"/>
        <v>0.60000000000000009</v>
      </c>
      <c r="AG21" s="746">
        <f t="shared" si="19"/>
        <v>1.4000000000000001</v>
      </c>
      <c r="AH21" s="746">
        <f t="shared" si="20"/>
        <v>6</v>
      </c>
      <c r="AI21" s="746">
        <f t="shared" si="21"/>
        <v>8.5</v>
      </c>
      <c r="AJ21" s="746">
        <f t="shared" si="22"/>
        <v>41</v>
      </c>
      <c r="AK21" s="746">
        <f t="shared" si="23"/>
        <v>16</v>
      </c>
      <c r="AL21" s="746">
        <f t="shared" si="24"/>
        <v>16</v>
      </c>
      <c r="AM21" s="746">
        <f t="shared" si="25"/>
        <v>8</v>
      </c>
      <c r="AN21" s="746">
        <f t="shared" si="26"/>
        <v>0</v>
      </c>
      <c r="AO21" s="746">
        <f t="shared" si="27"/>
        <v>0</v>
      </c>
      <c r="AP21" s="746">
        <f t="shared" si="28"/>
        <v>0</v>
      </c>
      <c r="AQ21" s="746">
        <f t="shared" si="29"/>
        <v>2</v>
      </c>
      <c r="AR21" s="746">
        <f t="shared" si="30"/>
        <v>2</v>
      </c>
    </row>
    <row r="22" spans="1:49">
      <c r="A22" s="746" t="s">
        <v>754</v>
      </c>
      <c r="B22" s="746">
        <v>23536</v>
      </c>
      <c r="C22" s="747">
        <v>1961.3333333333333</v>
      </c>
      <c r="D22" s="746">
        <f t="shared" si="3"/>
        <v>1962</v>
      </c>
      <c r="E22" s="757">
        <f t="shared" si="0"/>
        <v>1.2545077879229647E-2</v>
      </c>
      <c r="F22" s="746">
        <v>26</v>
      </c>
      <c r="G22" s="746">
        <f t="shared" si="1"/>
        <v>76</v>
      </c>
      <c r="H22" s="746">
        <v>15</v>
      </c>
      <c r="I22" s="747">
        <f t="shared" si="4"/>
        <v>13.406153780811499</v>
      </c>
      <c r="J22" s="746">
        <f t="shared" si="5"/>
        <v>1140</v>
      </c>
      <c r="K22" s="746">
        <v>600</v>
      </c>
      <c r="L22" s="746">
        <f t="shared" si="2"/>
        <v>2</v>
      </c>
      <c r="M22" s="746">
        <v>760</v>
      </c>
      <c r="N22" s="746">
        <v>370</v>
      </c>
      <c r="O22" s="746">
        <v>180</v>
      </c>
      <c r="P22" s="746">
        <v>1200</v>
      </c>
      <c r="Q22" s="746">
        <v>1080</v>
      </c>
      <c r="R22" s="746">
        <v>1200</v>
      </c>
      <c r="S22" s="746">
        <f t="shared" si="6"/>
        <v>7</v>
      </c>
      <c r="T22" s="746">
        <f t="shared" si="7"/>
        <v>1</v>
      </c>
      <c r="U22" s="746">
        <f t="shared" si="8"/>
        <v>2</v>
      </c>
      <c r="V22" s="746">
        <f t="shared" si="9"/>
        <v>7</v>
      </c>
      <c r="W22" s="746">
        <f t="shared" si="10"/>
        <v>14</v>
      </c>
      <c r="X22" s="758">
        <f t="shared" si="11"/>
        <v>187.68615293136099</v>
      </c>
      <c r="Y22" s="747">
        <f t="shared" si="12"/>
        <v>3.9370078740157481</v>
      </c>
      <c r="Z22" s="746">
        <f t="shared" si="13"/>
        <v>6</v>
      </c>
      <c r="AA22" s="746">
        <f t="shared" si="14"/>
        <v>50616000</v>
      </c>
      <c r="AB22" s="746">
        <f t="shared" si="15"/>
        <v>1.7874871707748665</v>
      </c>
      <c r="AC22" s="759" t="s">
        <v>594</v>
      </c>
      <c r="AD22" s="746">
        <f t="shared" si="32"/>
        <v>30</v>
      </c>
      <c r="AE22" s="746">
        <f t="shared" si="17"/>
        <v>3</v>
      </c>
      <c r="AF22" s="746">
        <f t="shared" si="18"/>
        <v>3.6000000000000005</v>
      </c>
      <c r="AG22" s="746">
        <f t="shared" si="19"/>
        <v>8.4000000000000021</v>
      </c>
      <c r="AH22" s="746">
        <f t="shared" si="20"/>
        <v>36.000000000000007</v>
      </c>
      <c r="AI22" s="746">
        <f t="shared" si="21"/>
        <v>51.000000000000014</v>
      </c>
      <c r="AJ22" s="746">
        <f t="shared" si="22"/>
        <v>38</v>
      </c>
      <c r="AK22" s="746">
        <f t="shared" si="23"/>
        <v>15</v>
      </c>
      <c r="AL22" s="746">
        <f t="shared" si="24"/>
        <v>15</v>
      </c>
      <c r="AM22" s="746">
        <f t="shared" si="25"/>
        <v>8</v>
      </c>
      <c r="AN22" s="746">
        <f t="shared" si="26"/>
        <v>3</v>
      </c>
      <c r="AO22" s="746">
        <f t="shared" si="27"/>
        <v>3</v>
      </c>
      <c r="AP22" s="746">
        <f t="shared" si="28"/>
        <v>8</v>
      </c>
      <c r="AQ22" s="746">
        <f t="shared" si="29"/>
        <v>34</v>
      </c>
      <c r="AR22" s="746">
        <f t="shared" si="30"/>
        <v>48</v>
      </c>
    </row>
    <row r="23" spans="1:49">
      <c r="A23" s="746" t="s">
        <v>755</v>
      </c>
      <c r="B23" s="746">
        <v>22847</v>
      </c>
      <c r="C23" s="747">
        <v>1903.9166666666665</v>
      </c>
      <c r="D23" s="746">
        <f t="shared" si="3"/>
        <v>1904</v>
      </c>
      <c r="E23" s="757">
        <f t="shared" si="0"/>
        <v>1.2174224404716234E-2</v>
      </c>
      <c r="F23" s="746">
        <v>26</v>
      </c>
      <c r="G23" s="746">
        <f t="shared" si="1"/>
        <v>74</v>
      </c>
      <c r="H23" s="746">
        <v>15</v>
      </c>
      <c r="I23" s="747">
        <f t="shared" si="4"/>
        <v>20.182291666666668</v>
      </c>
      <c r="J23" s="746">
        <f t="shared" si="5"/>
        <v>1110</v>
      </c>
      <c r="K23" s="746">
        <v>600</v>
      </c>
      <c r="L23" s="746">
        <f t="shared" si="2"/>
        <v>2</v>
      </c>
      <c r="M23" s="746">
        <v>787.4</v>
      </c>
      <c r="N23" s="746">
        <v>381</v>
      </c>
      <c r="O23" s="746">
        <v>254</v>
      </c>
      <c r="P23" s="746">
        <v>1200</v>
      </c>
      <c r="Q23" s="746">
        <v>1080</v>
      </c>
      <c r="R23" s="746">
        <v>1200</v>
      </c>
      <c r="S23" s="746">
        <f t="shared" si="6"/>
        <v>5</v>
      </c>
      <c r="T23" s="746">
        <f t="shared" si="7"/>
        <v>1</v>
      </c>
      <c r="U23" s="746">
        <f t="shared" si="8"/>
        <v>2</v>
      </c>
      <c r="V23" s="746">
        <f t="shared" si="9"/>
        <v>5</v>
      </c>
      <c r="W23" s="746">
        <f t="shared" si="10"/>
        <v>10</v>
      </c>
      <c r="X23" s="758">
        <f t="shared" si="11"/>
        <v>201.82291666666669</v>
      </c>
      <c r="Y23" s="747">
        <f t="shared" si="12"/>
        <v>3.9370078740157481</v>
      </c>
      <c r="Z23" s="746">
        <f t="shared" si="13"/>
        <v>8</v>
      </c>
      <c r="AA23" s="746">
        <f t="shared" si="14"/>
        <v>76199847.599999994</v>
      </c>
      <c r="AB23" s="746">
        <f t="shared" si="15"/>
        <v>2.6909722222222223</v>
      </c>
      <c r="AC23" s="759" t="s">
        <v>594</v>
      </c>
      <c r="AD23" s="746">
        <f t="shared" si="32"/>
        <v>40</v>
      </c>
      <c r="AE23" s="746">
        <f t="shared" si="17"/>
        <v>4</v>
      </c>
      <c r="AF23" s="746">
        <f t="shared" si="18"/>
        <v>4.8000000000000007</v>
      </c>
      <c r="AG23" s="746">
        <f t="shared" si="19"/>
        <v>11.200000000000001</v>
      </c>
      <c r="AH23" s="746">
        <f t="shared" si="20"/>
        <v>48</v>
      </c>
      <c r="AI23" s="746">
        <f t="shared" si="21"/>
        <v>68</v>
      </c>
      <c r="AJ23" s="746">
        <f t="shared" si="22"/>
        <v>37</v>
      </c>
      <c r="AK23" s="746">
        <f t="shared" si="23"/>
        <v>15</v>
      </c>
      <c r="AL23" s="746">
        <f t="shared" si="24"/>
        <v>15</v>
      </c>
      <c r="AM23" s="746">
        <f t="shared" si="25"/>
        <v>7</v>
      </c>
      <c r="AN23" s="746">
        <f t="shared" si="26"/>
        <v>4</v>
      </c>
      <c r="AO23" s="746">
        <f t="shared" si="27"/>
        <v>5</v>
      </c>
      <c r="AP23" s="746">
        <f t="shared" si="28"/>
        <v>11</v>
      </c>
      <c r="AQ23" s="746">
        <f t="shared" si="29"/>
        <v>42</v>
      </c>
      <c r="AR23" s="746">
        <f t="shared" si="30"/>
        <v>62</v>
      </c>
    </row>
    <row r="24" spans="1:49">
      <c r="A24" s="746" t="s">
        <v>756</v>
      </c>
      <c r="B24" s="746">
        <v>22277</v>
      </c>
      <c r="C24" s="747">
        <v>1856.4166666666667</v>
      </c>
      <c r="D24" s="746">
        <f t="shared" si="3"/>
        <v>1857</v>
      </c>
      <c r="E24" s="757">
        <f t="shared" si="0"/>
        <v>1.1873705209851914E-2</v>
      </c>
      <c r="F24" s="746">
        <v>26</v>
      </c>
      <c r="G24" s="746">
        <f t="shared" si="1"/>
        <v>72</v>
      </c>
      <c r="H24" s="746">
        <v>15</v>
      </c>
      <c r="I24" s="747">
        <f t="shared" si="4"/>
        <v>0.34087482052916862</v>
      </c>
      <c r="J24" s="746">
        <f t="shared" si="5"/>
        <v>1080</v>
      </c>
      <c r="K24" s="746">
        <v>600</v>
      </c>
      <c r="L24" s="746">
        <f t="shared" si="2"/>
        <v>2</v>
      </c>
      <c r="M24" s="746">
        <v>110</v>
      </c>
      <c r="N24" s="746">
        <v>90</v>
      </c>
      <c r="O24" s="746">
        <v>130</v>
      </c>
      <c r="P24" s="746">
        <v>1200</v>
      </c>
      <c r="Q24" s="746">
        <v>1080</v>
      </c>
      <c r="R24" s="746">
        <v>1200</v>
      </c>
      <c r="S24" s="746">
        <f t="shared" si="6"/>
        <v>9</v>
      </c>
      <c r="T24" s="746">
        <f>ROUNDDOWN(P24/M24,0)-7</f>
        <v>3</v>
      </c>
      <c r="U24" s="746">
        <f>ROUNDDOWN(Q24/N24,0)-7</f>
        <v>5</v>
      </c>
      <c r="V24" s="746">
        <f t="shared" si="9"/>
        <v>9</v>
      </c>
      <c r="W24" s="746">
        <f t="shared" si="10"/>
        <v>135</v>
      </c>
      <c r="X24" s="758">
        <f t="shared" si="11"/>
        <v>46.018100771437766</v>
      </c>
      <c r="Y24" s="747">
        <f t="shared" si="12"/>
        <v>3.9370078740157481</v>
      </c>
      <c r="Z24" s="746">
        <f t="shared" si="13"/>
        <v>1</v>
      </c>
      <c r="AA24" s="746">
        <f t="shared" si="14"/>
        <v>1287000</v>
      </c>
      <c r="AB24" s="746">
        <f t="shared" si="15"/>
        <v>4.5449976070555814E-2</v>
      </c>
      <c r="AC24" s="759" t="s">
        <v>594</v>
      </c>
      <c r="AD24" s="746">
        <f t="shared" si="32"/>
        <v>5</v>
      </c>
      <c r="AE24" s="746">
        <f t="shared" si="17"/>
        <v>0.5</v>
      </c>
      <c r="AF24" s="746">
        <f t="shared" si="18"/>
        <v>0.60000000000000009</v>
      </c>
      <c r="AG24" s="746">
        <f t="shared" si="19"/>
        <v>1.4000000000000001</v>
      </c>
      <c r="AH24" s="746">
        <f t="shared" si="20"/>
        <v>6</v>
      </c>
      <c r="AI24" s="746">
        <f t="shared" si="21"/>
        <v>8.5</v>
      </c>
      <c r="AJ24" s="746">
        <f t="shared" si="22"/>
        <v>36</v>
      </c>
      <c r="AK24" s="746">
        <f t="shared" si="23"/>
        <v>14</v>
      </c>
      <c r="AL24" s="746">
        <f t="shared" si="24"/>
        <v>14</v>
      </c>
      <c r="AM24" s="746">
        <f t="shared" si="25"/>
        <v>7</v>
      </c>
      <c r="AN24" s="746">
        <f t="shared" si="26"/>
        <v>0</v>
      </c>
      <c r="AO24" s="746">
        <f t="shared" si="27"/>
        <v>0</v>
      </c>
      <c r="AP24" s="746">
        <f t="shared" si="28"/>
        <v>1</v>
      </c>
      <c r="AQ24" s="746">
        <f t="shared" si="29"/>
        <v>3</v>
      </c>
      <c r="AR24" s="746">
        <f t="shared" si="30"/>
        <v>4</v>
      </c>
    </row>
    <row r="25" spans="1:49">
      <c r="A25" s="746" t="s">
        <v>757</v>
      </c>
      <c r="B25" s="746">
        <v>22201</v>
      </c>
      <c r="C25" s="747">
        <v>1850.0833333333333</v>
      </c>
      <c r="D25" s="746">
        <f t="shared" si="3"/>
        <v>1851</v>
      </c>
      <c r="E25" s="757">
        <f t="shared" si="0"/>
        <v>1.1835341057316043E-2</v>
      </c>
      <c r="F25" s="746">
        <v>26</v>
      </c>
      <c r="G25" s="746">
        <f t="shared" si="1"/>
        <v>72</v>
      </c>
      <c r="H25" s="746">
        <v>15</v>
      </c>
      <c r="I25" s="747">
        <f t="shared" si="4"/>
        <v>30.46875</v>
      </c>
      <c r="J25" s="746">
        <f t="shared" si="5"/>
        <v>1080</v>
      </c>
      <c r="K25" s="746">
        <v>600</v>
      </c>
      <c r="L25" s="746">
        <f t="shared" si="2"/>
        <v>2</v>
      </c>
      <c r="M25" s="746">
        <v>1143</v>
      </c>
      <c r="N25" s="746">
        <v>330.2</v>
      </c>
      <c r="O25" s="746">
        <v>304.8</v>
      </c>
      <c r="P25" s="746">
        <v>1200</v>
      </c>
      <c r="Q25" s="746">
        <v>1080</v>
      </c>
      <c r="R25" s="746">
        <v>1200</v>
      </c>
      <c r="S25" s="746">
        <f t="shared" si="6"/>
        <v>4</v>
      </c>
      <c r="T25" s="746">
        <f t="shared" si="7"/>
        <v>1</v>
      </c>
      <c r="U25" s="746">
        <f t="shared" si="8"/>
        <v>3</v>
      </c>
      <c r="V25" s="746">
        <f t="shared" si="9"/>
        <v>4</v>
      </c>
      <c r="W25" s="746">
        <f t="shared" si="10"/>
        <v>12</v>
      </c>
      <c r="X25" s="758">
        <f t="shared" si="11"/>
        <v>365.625</v>
      </c>
      <c r="Y25" s="747">
        <f t="shared" si="12"/>
        <v>3.9370078740157481</v>
      </c>
      <c r="Z25" s="746">
        <f t="shared" si="13"/>
        <v>7</v>
      </c>
      <c r="AA25" s="746">
        <f t="shared" si="14"/>
        <v>115037189.28</v>
      </c>
      <c r="AB25" s="746">
        <f t="shared" si="15"/>
        <v>4.0625</v>
      </c>
      <c r="AC25" s="759" t="s">
        <v>594</v>
      </c>
      <c r="AD25" s="746">
        <f t="shared" si="32"/>
        <v>35</v>
      </c>
      <c r="AE25" s="746">
        <f t="shared" si="17"/>
        <v>3.5</v>
      </c>
      <c r="AF25" s="746">
        <f t="shared" si="18"/>
        <v>4.2</v>
      </c>
      <c r="AG25" s="746">
        <f t="shared" si="19"/>
        <v>9.8000000000000007</v>
      </c>
      <c r="AH25" s="746">
        <f t="shared" si="20"/>
        <v>42.000000000000007</v>
      </c>
      <c r="AI25" s="746">
        <f t="shared" si="21"/>
        <v>59.500000000000007</v>
      </c>
      <c r="AJ25" s="746">
        <f t="shared" si="22"/>
        <v>36</v>
      </c>
      <c r="AK25" s="746">
        <f t="shared" si="23"/>
        <v>14</v>
      </c>
      <c r="AL25" s="746">
        <f t="shared" si="24"/>
        <v>14</v>
      </c>
      <c r="AM25" s="746">
        <f t="shared" si="25"/>
        <v>7</v>
      </c>
      <c r="AN25" s="746">
        <f t="shared" si="26"/>
        <v>3</v>
      </c>
      <c r="AO25" s="746">
        <f t="shared" si="27"/>
        <v>4</v>
      </c>
      <c r="AP25" s="746">
        <f t="shared" si="28"/>
        <v>8</v>
      </c>
      <c r="AQ25" s="746">
        <f t="shared" si="29"/>
        <v>35</v>
      </c>
      <c r="AR25" s="746">
        <f t="shared" si="30"/>
        <v>50</v>
      </c>
    </row>
    <row r="26" spans="1:49">
      <c r="A26" s="746" t="s">
        <v>758</v>
      </c>
      <c r="B26" s="746">
        <v>22096</v>
      </c>
      <c r="C26" s="747">
        <v>1841.3333333333333</v>
      </c>
      <c r="D26" s="746">
        <f t="shared" si="3"/>
        <v>1842</v>
      </c>
      <c r="E26" s="757">
        <f t="shared" si="0"/>
        <v>1.1777794828512237E-2</v>
      </c>
      <c r="F26" s="746">
        <v>26</v>
      </c>
      <c r="G26" s="746">
        <f t="shared" si="1"/>
        <v>71</v>
      </c>
      <c r="H26" s="746">
        <v>15</v>
      </c>
      <c r="I26" s="747">
        <f t="shared" si="4"/>
        <v>18.118675338127144</v>
      </c>
      <c r="J26" s="746">
        <f t="shared" si="5"/>
        <v>1065</v>
      </c>
      <c r="K26" s="746">
        <v>600</v>
      </c>
      <c r="L26" s="746">
        <f t="shared" si="2"/>
        <v>2</v>
      </c>
      <c r="M26" s="746">
        <v>940</v>
      </c>
      <c r="N26" s="746">
        <v>355</v>
      </c>
      <c r="O26" s="746">
        <v>205</v>
      </c>
      <c r="P26" s="746">
        <v>1200</v>
      </c>
      <c r="Q26" s="746">
        <v>1080</v>
      </c>
      <c r="R26" s="746">
        <v>1200</v>
      </c>
      <c r="S26" s="746">
        <f t="shared" si="6"/>
        <v>6</v>
      </c>
      <c r="T26" s="746">
        <f t="shared" si="7"/>
        <v>1</v>
      </c>
      <c r="U26" s="746">
        <f t="shared" si="8"/>
        <v>3</v>
      </c>
      <c r="V26" s="746">
        <f t="shared" si="9"/>
        <v>6</v>
      </c>
      <c r="W26" s="746">
        <f t="shared" si="10"/>
        <v>18</v>
      </c>
      <c r="X26" s="758">
        <f t="shared" si="11"/>
        <v>326.13615608628857</v>
      </c>
      <c r="Y26" s="747">
        <f t="shared" si="12"/>
        <v>3.9370078740157481</v>
      </c>
      <c r="Z26" s="746">
        <f t="shared" si="13"/>
        <v>5</v>
      </c>
      <c r="AA26" s="746">
        <f t="shared" si="14"/>
        <v>68408500</v>
      </c>
      <c r="AB26" s="746">
        <f t="shared" si="15"/>
        <v>2.4158233784169525</v>
      </c>
      <c r="AC26" s="759" t="s">
        <v>594</v>
      </c>
      <c r="AD26" s="746">
        <f t="shared" si="32"/>
        <v>25</v>
      </c>
      <c r="AE26" s="746">
        <f t="shared" si="17"/>
        <v>2.5</v>
      </c>
      <c r="AF26" s="746">
        <f t="shared" si="18"/>
        <v>3</v>
      </c>
      <c r="AG26" s="746">
        <f t="shared" si="19"/>
        <v>7</v>
      </c>
      <c r="AH26" s="746">
        <f t="shared" si="20"/>
        <v>30</v>
      </c>
      <c r="AI26" s="746">
        <f t="shared" si="21"/>
        <v>42.5</v>
      </c>
      <c r="AJ26" s="746">
        <f t="shared" si="22"/>
        <v>36</v>
      </c>
      <c r="AK26" s="746">
        <f t="shared" si="23"/>
        <v>14</v>
      </c>
      <c r="AL26" s="746">
        <f t="shared" si="24"/>
        <v>14</v>
      </c>
      <c r="AM26" s="746">
        <f t="shared" si="25"/>
        <v>7</v>
      </c>
      <c r="AN26" s="746">
        <f t="shared" si="26"/>
        <v>2</v>
      </c>
      <c r="AO26" s="746">
        <f t="shared" si="27"/>
        <v>2</v>
      </c>
      <c r="AP26" s="746">
        <f t="shared" si="28"/>
        <v>5</v>
      </c>
      <c r="AQ26" s="746">
        <f t="shared" si="29"/>
        <v>23</v>
      </c>
      <c r="AR26" s="746">
        <f t="shared" si="30"/>
        <v>32</v>
      </c>
    </row>
    <row r="27" spans="1:49">
      <c r="A27" s="746" t="s">
        <v>759</v>
      </c>
      <c r="B27" s="746">
        <v>21670</v>
      </c>
      <c r="C27" s="747">
        <v>1805.8333333333333</v>
      </c>
      <c r="D27" s="746">
        <f t="shared" si="3"/>
        <v>1806</v>
      </c>
      <c r="E27" s="757">
        <f t="shared" si="0"/>
        <v>1.1547609913297015E-2</v>
      </c>
      <c r="F27" s="746">
        <v>26</v>
      </c>
      <c r="G27" s="746">
        <f t="shared" si="1"/>
        <v>70</v>
      </c>
      <c r="H27" s="746">
        <v>15</v>
      </c>
      <c r="I27" s="747">
        <f t="shared" si="4"/>
        <v>5.1041666666666679</v>
      </c>
      <c r="J27" s="746">
        <f t="shared" si="5"/>
        <v>1050</v>
      </c>
      <c r="K27" s="746">
        <v>600</v>
      </c>
      <c r="L27" s="746">
        <f t="shared" si="2"/>
        <v>2</v>
      </c>
      <c r="M27" s="746">
        <v>355.6</v>
      </c>
      <c r="N27" s="746">
        <v>355.6</v>
      </c>
      <c r="O27" s="746">
        <v>152.4</v>
      </c>
      <c r="P27" s="746">
        <v>1200</v>
      </c>
      <c r="Q27" s="746">
        <v>1080</v>
      </c>
      <c r="R27" s="746">
        <v>1200</v>
      </c>
      <c r="S27" s="746">
        <f t="shared" si="6"/>
        <v>8</v>
      </c>
      <c r="T27" s="746">
        <f t="shared" si="7"/>
        <v>3</v>
      </c>
      <c r="U27" s="746">
        <f t="shared" si="8"/>
        <v>3</v>
      </c>
      <c r="V27" s="746">
        <f t="shared" si="9"/>
        <v>8</v>
      </c>
      <c r="W27" s="746">
        <f t="shared" si="10"/>
        <v>72</v>
      </c>
      <c r="X27" s="758">
        <f t="shared" si="11"/>
        <v>367.50000000000011</v>
      </c>
      <c r="Y27" s="747">
        <f t="shared" si="12"/>
        <v>3.9370078740157481</v>
      </c>
      <c r="Z27" s="746">
        <f t="shared" si="13"/>
        <v>2</v>
      </c>
      <c r="AA27" s="746">
        <f t="shared" si="14"/>
        <v>19271187.264000002</v>
      </c>
      <c r="AB27" s="746">
        <f t="shared" si="15"/>
        <v>0.68055555555555569</v>
      </c>
      <c r="AC27" s="759" t="s">
        <v>594</v>
      </c>
      <c r="AD27" s="746">
        <f t="shared" si="32"/>
        <v>10</v>
      </c>
      <c r="AE27" s="746">
        <f t="shared" si="17"/>
        <v>1</v>
      </c>
      <c r="AF27" s="746">
        <f t="shared" si="18"/>
        <v>1.2000000000000002</v>
      </c>
      <c r="AG27" s="746">
        <f t="shared" si="19"/>
        <v>2.8000000000000003</v>
      </c>
      <c r="AH27" s="746">
        <f t="shared" si="20"/>
        <v>12</v>
      </c>
      <c r="AI27" s="746">
        <f t="shared" si="21"/>
        <v>17</v>
      </c>
      <c r="AJ27" s="746">
        <f t="shared" si="22"/>
        <v>35</v>
      </c>
      <c r="AK27" s="746">
        <f t="shared" si="23"/>
        <v>14</v>
      </c>
      <c r="AL27" s="746">
        <f t="shared" si="24"/>
        <v>14</v>
      </c>
      <c r="AM27" s="746">
        <f t="shared" si="25"/>
        <v>7</v>
      </c>
      <c r="AN27" s="746">
        <f t="shared" si="26"/>
        <v>0</v>
      </c>
      <c r="AO27" s="746">
        <f t="shared" si="27"/>
        <v>1</v>
      </c>
      <c r="AP27" s="746">
        <f t="shared" si="28"/>
        <v>1</v>
      </c>
      <c r="AQ27" s="746">
        <f t="shared" si="29"/>
        <v>6</v>
      </c>
      <c r="AR27" s="746">
        <f t="shared" si="30"/>
        <v>8</v>
      </c>
    </row>
    <row r="28" spans="1:49">
      <c r="A28" s="746" t="s">
        <v>760</v>
      </c>
      <c r="B28" s="746">
        <v>21512</v>
      </c>
      <c r="C28" s="747">
        <v>1792.6666666666667</v>
      </c>
      <c r="D28" s="746">
        <f t="shared" si="3"/>
        <v>1793</v>
      </c>
      <c r="E28" s="757">
        <f t="shared" si="0"/>
        <v>1.146448758280263E-2</v>
      </c>
      <c r="F28" s="746">
        <v>26</v>
      </c>
      <c r="G28" s="746">
        <f t="shared" si="1"/>
        <v>69</v>
      </c>
      <c r="H28" s="746">
        <v>15</v>
      </c>
      <c r="I28" s="747">
        <f t="shared" si="4"/>
        <v>13.406153780811499</v>
      </c>
      <c r="J28" s="746">
        <f t="shared" si="5"/>
        <v>1035</v>
      </c>
      <c r="K28" s="746">
        <v>600</v>
      </c>
      <c r="L28" s="746">
        <f t="shared" si="2"/>
        <v>2</v>
      </c>
      <c r="M28" s="746">
        <v>760</v>
      </c>
      <c r="N28" s="746">
        <v>370</v>
      </c>
      <c r="O28" s="746">
        <v>180</v>
      </c>
      <c r="P28" s="746">
        <v>1200</v>
      </c>
      <c r="Q28" s="746">
        <v>1080</v>
      </c>
      <c r="R28" s="746">
        <v>1200</v>
      </c>
      <c r="S28" s="746">
        <f t="shared" si="6"/>
        <v>7</v>
      </c>
      <c r="T28" s="746">
        <f t="shared" si="7"/>
        <v>1</v>
      </c>
      <c r="U28" s="746">
        <f t="shared" si="8"/>
        <v>2</v>
      </c>
      <c r="V28" s="746">
        <f t="shared" si="9"/>
        <v>7</v>
      </c>
      <c r="W28" s="746">
        <f t="shared" si="10"/>
        <v>14</v>
      </c>
      <c r="X28" s="758">
        <f t="shared" si="11"/>
        <v>187.68615293136099</v>
      </c>
      <c r="Y28" s="747">
        <f t="shared" si="12"/>
        <v>3.9370078740157481</v>
      </c>
      <c r="Z28" s="746">
        <f t="shared" si="13"/>
        <v>6</v>
      </c>
      <c r="AA28" s="746">
        <f t="shared" si="14"/>
        <v>50616000</v>
      </c>
      <c r="AB28" s="746">
        <f t="shared" si="15"/>
        <v>1.7874871707748665</v>
      </c>
      <c r="AC28" s="759" t="s">
        <v>594</v>
      </c>
      <c r="AD28" s="746">
        <f t="shared" si="32"/>
        <v>30</v>
      </c>
      <c r="AE28" s="746">
        <f t="shared" si="17"/>
        <v>3</v>
      </c>
      <c r="AF28" s="746">
        <f t="shared" si="18"/>
        <v>3.6000000000000005</v>
      </c>
      <c r="AG28" s="746">
        <f t="shared" si="19"/>
        <v>8.4000000000000021</v>
      </c>
      <c r="AH28" s="746">
        <f t="shared" si="20"/>
        <v>36.000000000000007</v>
      </c>
      <c r="AI28" s="746">
        <f t="shared" si="21"/>
        <v>51.000000000000014</v>
      </c>
      <c r="AJ28" s="746">
        <f t="shared" si="22"/>
        <v>35</v>
      </c>
      <c r="AK28" s="746">
        <f t="shared" si="23"/>
        <v>14</v>
      </c>
      <c r="AL28" s="746">
        <f t="shared" si="24"/>
        <v>14</v>
      </c>
      <c r="AM28" s="746">
        <f t="shared" si="25"/>
        <v>7</v>
      </c>
      <c r="AN28" s="746">
        <f t="shared" si="26"/>
        <v>3</v>
      </c>
      <c r="AO28" s="746">
        <f t="shared" si="27"/>
        <v>3</v>
      </c>
      <c r="AP28" s="746">
        <f t="shared" si="28"/>
        <v>7</v>
      </c>
      <c r="AQ28" s="746">
        <f t="shared" si="29"/>
        <v>30</v>
      </c>
      <c r="AR28" s="746">
        <f t="shared" si="30"/>
        <v>43</v>
      </c>
    </row>
    <row r="29" spans="1:49">
      <c r="A29" s="746" t="s">
        <v>761</v>
      </c>
      <c r="B29" s="746">
        <v>20816</v>
      </c>
      <c r="C29" s="747">
        <v>1734.6666666666667</v>
      </c>
      <c r="D29" s="746">
        <f t="shared" si="3"/>
        <v>1735</v>
      </c>
      <c r="E29" s="757">
        <f t="shared" si="0"/>
        <v>1.1093634108289214E-2</v>
      </c>
      <c r="F29" s="746">
        <v>26</v>
      </c>
      <c r="G29" s="746">
        <f t="shared" si="1"/>
        <v>67</v>
      </c>
      <c r="H29" s="746">
        <v>15</v>
      </c>
      <c r="I29" s="747">
        <f t="shared" si="4"/>
        <v>0.69062245107211129</v>
      </c>
      <c r="J29" s="746">
        <f t="shared" si="5"/>
        <v>1005</v>
      </c>
      <c r="K29" s="746">
        <v>600</v>
      </c>
      <c r="L29" s="746">
        <f t="shared" si="2"/>
        <v>2</v>
      </c>
      <c r="M29" s="746">
        <v>745</v>
      </c>
      <c r="N29" s="746">
        <v>500</v>
      </c>
      <c r="O29" s="746">
        <v>7</v>
      </c>
      <c r="P29" s="746">
        <v>1200</v>
      </c>
      <c r="Q29" s="746">
        <v>1080</v>
      </c>
      <c r="R29" s="746">
        <v>1200</v>
      </c>
      <c r="S29" s="746">
        <f t="shared" si="6"/>
        <v>171</v>
      </c>
      <c r="T29" s="746">
        <f t="shared" si="7"/>
        <v>1</v>
      </c>
      <c r="U29" s="746">
        <f t="shared" si="8"/>
        <v>2</v>
      </c>
      <c r="V29" s="746">
        <f t="shared" si="9"/>
        <v>171</v>
      </c>
      <c r="W29" s="746">
        <f t="shared" si="10"/>
        <v>342</v>
      </c>
      <c r="X29" s="758">
        <f t="shared" si="11"/>
        <v>236.19287826666206</v>
      </c>
      <c r="Y29" s="747">
        <f t="shared" si="12"/>
        <v>3.9370078740157481</v>
      </c>
      <c r="Z29" s="746">
        <f t="shared" si="13"/>
        <v>1</v>
      </c>
      <c r="AA29" s="746">
        <f t="shared" si="14"/>
        <v>2607500</v>
      </c>
      <c r="AB29" s="746">
        <f t="shared" si="15"/>
        <v>9.2082993476281502E-2</v>
      </c>
      <c r="AC29" s="759" t="s">
        <v>594</v>
      </c>
      <c r="AD29" s="746">
        <f t="shared" si="32"/>
        <v>5</v>
      </c>
      <c r="AE29" s="746">
        <f t="shared" si="17"/>
        <v>0.5</v>
      </c>
      <c r="AF29" s="746">
        <f t="shared" si="18"/>
        <v>0.60000000000000009</v>
      </c>
      <c r="AG29" s="746">
        <f t="shared" si="19"/>
        <v>1.4000000000000001</v>
      </c>
      <c r="AH29" s="746">
        <f t="shared" si="20"/>
        <v>6</v>
      </c>
      <c r="AI29" s="746">
        <f t="shared" si="21"/>
        <v>8.5</v>
      </c>
      <c r="AJ29" s="746">
        <f t="shared" si="22"/>
        <v>34</v>
      </c>
      <c r="AK29" s="746">
        <f t="shared" si="23"/>
        <v>13</v>
      </c>
      <c r="AL29" s="746">
        <f t="shared" si="24"/>
        <v>13</v>
      </c>
      <c r="AM29" s="746">
        <f t="shared" si="25"/>
        <v>7</v>
      </c>
      <c r="AN29" s="746">
        <f t="shared" si="26"/>
        <v>0</v>
      </c>
      <c r="AO29" s="746">
        <f t="shared" si="27"/>
        <v>0</v>
      </c>
      <c r="AP29" s="746">
        <f t="shared" si="28"/>
        <v>0</v>
      </c>
      <c r="AQ29" s="746">
        <f t="shared" si="29"/>
        <v>1</v>
      </c>
      <c r="AR29" s="746">
        <f t="shared" si="30"/>
        <v>1</v>
      </c>
    </row>
    <row r="30" spans="1:49">
      <c r="A30" s="746" t="s">
        <v>762</v>
      </c>
      <c r="B30" s="746">
        <v>20478</v>
      </c>
      <c r="C30" s="747">
        <v>1706.5</v>
      </c>
      <c r="D30" s="746">
        <f t="shared" si="3"/>
        <v>1707</v>
      </c>
      <c r="E30" s="757">
        <f t="shared" si="0"/>
        <v>1.0914601396455153E-2</v>
      </c>
      <c r="F30" s="746">
        <v>26</v>
      </c>
      <c r="G30" s="746">
        <f t="shared" si="1"/>
        <v>66</v>
      </c>
      <c r="H30" s="746">
        <v>15</v>
      </c>
      <c r="I30" s="747">
        <f t="shared" si="4"/>
        <v>15.625000000000002</v>
      </c>
      <c r="J30" s="746">
        <f t="shared" si="5"/>
        <v>990</v>
      </c>
      <c r="K30" s="746">
        <v>600</v>
      </c>
      <c r="L30" s="746">
        <f t="shared" si="2"/>
        <v>2</v>
      </c>
      <c r="M30" s="746">
        <v>609.6</v>
      </c>
      <c r="N30" s="746">
        <v>381</v>
      </c>
      <c r="O30" s="746">
        <v>254</v>
      </c>
      <c r="P30" s="746">
        <v>1200</v>
      </c>
      <c r="Q30" s="746">
        <v>1080</v>
      </c>
      <c r="R30" s="746">
        <v>1200</v>
      </c>
      <c r="S30" s="746">
        <f t="shared" si="6"/>
        <v>5</v>
      </c>
      <c r="T30" s="746">
        <f t="shared" si="7"/>
        <v>1</v>
      </c>
      <c r="U30" s="746">
        <f t="shared" si="8"/>
        <v>2</v>
      </c>
      <c r="V30" s="746">
        <f t="shared" si="9"/>
        <v>5</v>
      </c>
      <c r="W30" s="746">
        <f t="shared" si="10"/>
        <v>10</v>
      </c>
      <c r="X30" s="758">
        <f t="shared" si="11"/>
        <v>156.25000000000003</v>
      </c>
      <c r="Y30" s="747">
        <f t="shared" si="12"/>
        <v>3.9370078740157481</v>
      </c>
      <c r="Z30" s="746">
        <f t="shared" si="13"/>
        <v>7</v>
      </c>
      <c r="AA30" s="746">
        <f t="shared" si="14"/>
        <v>58993430.399999999</v>
      </c>
      <c r="AB30" s="746">
        <f t="shared" si="15"/>
        <v>2.0833333333333335</v>
      </c>
      <c r="AC30" s="759" t="s">
        <v>594</v>
      </c>
      <c r="AD30" s="746">
        <f t="shared" si="32"/>
        <v>35</v>
      </c>
      <c r="AE30" s="746">
        <f t="shared" si="17"/>
        <v>3.5</v>
      </c>
      <c r="AF30" s="746">
        <f t="shared" si="18"/>
        <v>4.2</v>
      </c>
      <c r="AG30" s="746">
        <f t="shared" si="19"/>
        <v>9.8000000000000007</v>
      </c>
      <c r="AH30" s="746">
        <f t="shared" si="20"/>
        <v>42.000000000000007</v>
      </c>
      <c r="AI30" s="746">
        <f t="shared" si="21"/>
        <v>59.500000000000007</v>
      </c>
      <c r="AJ30" s="746">
        <f t="shared" si="22"/>
        <v>33</v>
      </c>
      <c r="AK30" s="746">
        <f t="shared" si="23"/>
        <v>13</v>
      </c>
      <c r="AL30" s="746">
        <f t="shared" si="24"/>
        <v>13</v>
      </c>
      <c r="AM30" s="746">
        <f t="shared" si="25"/>
        <v>7</v>
      </c>
      <c r="AN30" s="746">
        <f t="shared" si="26"/>
        <v>3</v>
      </c>
      <c r="AO30" s="746">
        <f t="shared" si="27"/>
        <v>4</v>
      </c>
      <c r="AP30" s="746">
        <f t="shared" si="28"/>
        <v>9</v>
      </c>
      <c r="AQ30" s="746">
        <f t="shared" si="29"/>
        <v>42</v>
      </c>
      <c r="AR30" s="746">
        <f t="shared" si="30"/>
        <v>58</v>
      </c>
    </row>
    <row r="31" spans="1:49">
      <c r="A31" s="746" t="s">
        <v>763</v>
      </c>
      <c r="B31" s="746">
        <v>20354</v>
      </c>
      <c r="C31" s="747">
        <v>1696.1666666666667</v>
      </c>
      <c r="D31" s="746">
        <f t="shared" si="3"/>
        <v>1697</v>
      </c>
      <c r="E31" s="757">
        <f t="shared" si="0"/>
        <v>1.0850661142228702E-2</v>
      </c>
      <c r="F31" s="746">
        <v>26</v>
      </c>
      <c r="G31" s="746">
        <f t="shared" si="1"/>
        <v>66</v>
      </c>
      <c r="H31" s="746">
        <v>15</v>
      </c>
      <c r="I31" s="747">
        <f t="shared" si="4"/>
        <v>5.2887244882101312</v>
      </c>
      <c r="J31" s="746">
        <f t="shared" si="5"/>
        <v>990</v>
      </c>
      <c r="K31" s="746">
        <v>600</v>
      </c>
      <c r="L31" s="746">
        <f t="shared" si="2"/>
        <v>2</v>
      </c>
      <c r="M31" s="746">
        <v>520</v>
      </c>
      <c r="N31" s="746">
        <v>240</v>
      </c>
      <c r="O31" s="746">
        <v>160</v>
      </c>
      <c r="P31" s="746">
        <v>1200</v>
      </c>
      <c r="Q31" s="746">
        <v>1080</v>
      </c>
      <c r="R31" s="746">
        <v>1200</v>
      </c>
      <c r="S31" s="746">
        <f t="shared" si="6"/>
        <v>8</v>
      </c>
      <c r="T31" s="746">
        <f t="shared" si="7"/>
        <v>2</v>
      </c>
      <c r="U31" s="746">
        <f t="shared" si="8"/>
        <v>4</v>
      </c>
      <c r="V31" s="746">
        <f t="shared" si="9"/>
        <v>8</v>
      </c>
      <c r="W31" s="746">
        <f t="shared" si="10"/>
        <v>64</v>
      </c>
      <c r="X31" s="758">
        <f t="shared" si="11"/>
        <v>338.4783672454484</v>
      </c>
      <c r="Y31" s="747">
        <f t="shared" si="12"/>
        <v>3.9370078740157481</v>
      </c>
      <c r="Z31" s="746">
        <f t="shared" si="13"/>
        <v>2</v>
      </c>
      <c r="AA31" s="746">
        <f t="shared" si="14"/>
        <v>19968000</v>
      </c>
      <c r="AB31" s="746">
        <f t="shared" si="15"/>
        <v>0.70516326509468419</v>
      </c>
      <c r="AC31" s="759" t="s">
        <v>594</v>
      </c>
      <c r="AD31" s="746">
        <f t="shared" si="32"/>
        <v>10</v>
      </c>
      <c r="AE31" s="746">
        <f t="shared" si="17"/>
        <v>1</v>
      </c>
      <c r="AF31" s="746">
        <f t="shared" si="18"/>
        <v>1.2000000000000002</v>
      </c>
      <c r="AG31" s="746">
        <f t="shared" si="19"/>
        <v>2.8000000000000003</v>
      </c>
      <c r="AH31" s="746">
        <f t="shared" si="20"/>
        <v>12</v>
      </c>
      <c r="AI31" s="746">
        <f t="shared" si="21"/>
        <v>17</v>
      </c>
      <c r="AJ31" s="746">
        <f t="shared" si="22"/>
        <v>33</v>
      </c>
      <c r="AK31" s="746">
        <f t="shared" si="23"/>
        <v>13</v>
      </c>
      <c r="AL31" s="746">
        <f t="shared" si="24"/>
        <v>13</v>
      </c>
      <c r="AM31" s="746">
        <f t="shared" si="25"/>
        <v>7</v>
      </c>
      <c r="AN31" s="746">
        <f t="shared" si="26"/>
        <v>1</v>
      </c>
      <c r="AO31" s="746">
        <f t="shared" si="27"/>
        <v>1</v>
      </c>
      <c r="AP31" s="746">
        <f t="shared" si="28"/>
        <v>1</v>
      </c>
      <c r="AQ31" s="746">
        <f t="shared" si="29"/>
        <v>7</v>
      </c>
      <c r="AR31" s="746">
        <f t="shared" si="30"/>
        <v>10</v>
      </c>
    </row>
    <row r="32" spans="1:49">
      <c r="A32" s="746" t="s">
        <v>764</v>
      </c>
      <c r="B32" s="746">
        <v>19640</v>
      </c>
      <c r="C32" s="747">
        <v>1636.6666666666667</v>
      </c>
      <c r="D32" s="746">
        <f t="shared" si="3"/>
        <v>1637</v>
      </c>
      <c r="E32" s="757">
        <f t="shared" si="0"/>
        <v>1.0467019616869997E-2</v>
      </c>
      <c r="F32" s="746">
        <v>26</v>
      </c>
      <c r="G32" s="746">
        <f t="shared" si="1"/>
        <v>63</v>
      </c>
      <c r="H32" s="746">
        <v>15</v>
      </c>
      <c r="I32" s="747">
        <f t="shared" si="4"/>
        <v>10.522622956335152</v>
      </c>
      <c r="J32" s="746">
        <f t="shared" si="5"/>
        <v>945</v>
      </c>
      <c r="K32" s="746">
        <v>600</v>
      </c>
      <c r="L32" s="746">
        <f t="shared" si="2"/>
        <v>2</v>
      </c>
      <c r="M32" s="746">
        <v>510</v>
      </c>
      <c r="N32" s="746">
        <v>380</v>
      </c>
      <c r="O32" s="746">
        <v>205</v>
      </c>
      <c r="P32" s="746">
        <v>1200</v>
      </c>
      <c r="Q32" s="746">
        <v>1080</v>
      </c>
      <c r="R32" s="746">
        <v>1200</v>
      </c>
      <c r="S32" s="746">
        <f t="shared" si="6"/>
        <v>6</v>
      </c>
      <c r="T32" s="746">
        <f t="shared" si="7"/>
        <v>2</v>
      </c>
      <c r="U32" s="746">
        <f t="shared" si="8"/>
        <v>2</v>
      </c>
      <c r="V32" s="746">
        <f t="shared" si="9"/>
        <v>6</v>
      </c>
      <c r="W32" s="746">
        <f t="shared" si="10"/>
        <v>24</v>
      </c>
      <c r="X32" s="758">
        <f t="shared" si="11"/>
        <v>252.54295095204364</v>
      </c>
      <c r="Y32" s="747">
        <f t="shared" si="12"/>
        <v>3.9370078740157481</v>
      </c>
      <c r="Z32" s="746">
        <f t="shared" si="13"/>
        <v>3</v>
      </c>
      <c r="AA32" s="746">
        <f t="shared" si="14"/>
        <v>39729000</v>
      </c>
      <c r="AB32" s="746">
        <f t="shared" si="15"/>
        <v>1.4030163941780203</v>
      </c>
      <c r="AC32" s="759" t="s">
        <v>594</v>
      </c>
      <c r="AD32" s="746">
        <f t="shared" si="32"/>
        <v>15</v>
      </c>
      <c r="AE32" s="746">
        <f t="shared" si="17"/>
        <v>1.5</v>
      </c>
      <c r="AF32" s="746">
        <f t="shared" si="18"/>
        <v>1.8000000000000003</v>
      </c>
      <c r="AG32" s="746">
        <f t="shared" si="19"/>
        <v>4.2000000000000011</v>
      </c>
      <c r="AH32" s="746">
        <f t="shared" si="20"/>
        <v>18.000000000000004</v>
      </c>
      <c r="AI32" s="746">
        <f t="shared" si="21"/>
        <v>25.500000000000007</v>
      </c>
      <c r="AJ32" s="746">
        <f t="shared" si="22"/>
        <v>32</v>
      </c>
      <c r="AK32" s="746">
        <f t="shared" si="23"/>
        <v>13</v>
      </c>
      <c r="AL32" s="746">
        <f t="shared" si="24"/>
        <v>13</v>
      </c>
      <c r="AM32" s="746">
        <f t="shared" si="25"/>
        <v>6</v>
      </c>
      <c r="AN32" s="746">
        <f t="shared" si="26"/>
        <v>1</v>
      </c>
      <c r="AO32" s="746">
        <f t="shared" si="27"/>
        <v>2</v>
      </c>
      <c r="AP32" s="746">
        <f t="shared" si="28"/>
        <v>4</v>
      </c>
      <c r="AQ32" s="746">
        <f t="shared" si="29"/>
        <v>15</v>
      </c>
      <c r="AR32" s="746">
        <f t="shared" si="30"/>
        <v>22</v>
      </c>
    </row>
    <row r="33" spans="1:44">
      <c r="A33" s="746" t="s">
        <v>765</v>
      </c>
      <c r="B33" s="746">
        <v>19538</v>
      </c>
      <c r="C33" s="747">
        <v>1628.1666666666665</v>
      </c>
      <c r="D33" s="746">
        <f t="shared" si="3"/>
        <v>1629</v>
      </c>
      <c r="E33" s="757">
        <f t="shared" si="0"/>
        <v>1.0415867413488836E-2</v>
      </c>
      <c r="F33" s="746">
        <v>26</v>
      </c>
      <c r="G33" s="746">
        <f t="shared" si="1"/>
        <v>63</v>
      </c>
      <c r="H33" s="746">
        <v>15</v>
      </c>
      <c r="I33" s="747">
        <f t="shared" si="4"/>
        <v>0.69062245107211129</v>
      </c>
      <c r="J33" s="746">
        <f t="shared" si="5"/>
        <v>945</v>
      </c>
      <c r="K33" s="746">
        <v>600</v>
      </c>
      <c r="L33" s="746">
        <f t="shared" si="2"/>
        <v>2</v>
      </c>
      <c r="M33" s="746">
        <v>745</v>
      </c>
      <c r="N33" s="746">
        <v>500</v>
      </c>
      <c r="O33" s="746">
        <v>7</v>
      </c>
      <c r="P33" s="746">
        <v>1200</v>
      </c>
      <c r="Q33" s="746">
        <v>1080</v>
      </c>
      <c r="R33" s="746">
        <v>1200</v>
      </c>
      <c r="S33" s="746">
        <f t="shared" si="6"/>
        <v>171</v>
      </c>
      <c r="T33" s="746">
        <f t="shared" si="7"/>
        <v>1</v>
      </c>
      <c r="U33" s="746">
        <f t="shared" si="8"/>
        <v>2</v>
      </c>
      <c r="V33" s="746">
        <f t="shared" si="9"/>
        <v>171</v>
      </c>
      <c r="W33" s="746">
        <f t="shared" si="10"/>
        <v>342</v>
      </c>
      <c r="X33" s="758">
        <f t="shared" si="11"/>
        <v>236.19287826666206</v>
      </c>
      <c r="Y33" s="747">
        <f t="shared" si="12"/>
        <v>3.9370078740157481</v>
      </c>
      <c r="Z33" s="746">
        <f t="shared" si="13"/>
        <v>1</v>
      </c>
      <c r="AA33" s="746">
        <f t="shared" si="14"/>
        <v>2607500</v>
      </c>
      <c r="AB33" s="746">
        <f t="shared" si="15"/>
        <v>9.2082993476281502E-2</v>
      </c>
      <c r="AC33" s="759" t="s">
        <v>594</v>
      </c>
      <c r="AD33" s="746">
        <f t="shared" si="32"/>
        <v>5</v>
      </c>
      <c r="AE33" s="746">
        <f t="shared" si="17"/>
        <v>0.5</v>
      </c>
      <c r="AF33" s="746">
        <f t="shared" si="18"/>
        <v>0.60000000000000009</v>
      </c>
      <c r="AG33" s="746">
        <f t="shared" si="19"/>
        <v>1.4000000000000001</v>
      </c>
      <c r="AH33" s="746">
        <f t="shared" si="20"/>
        <v>6</v>
      </c>
      <c r="AI33" s="746">
        <f t="shared" si="21"/>
        <v>8.5</v>
      </c>
      <c r="AJ33" s="746">
        <f t="shared" si="22"/>
        <v>32</v>
      </c>
      <c r="AK33" s="746">
        <f t="shared" si="23"/>
        <v>13</v>
      </c>
      <c r="AL33" s="746">
        <f t="shared" si="24"/>
        <v>13</v>
      </c>
      <c r="AM33" s="746">
        <f t="shared" si="25"/>
        <v>6</v>
      </c>
      <c r="AN33" s="746">
        <f t="shared" si="26"/>
        <v>0</v>
      </c>
      <c r="AO33" s="746">
        <f t="shared" si="27"/>
        <v>0</v>
      </c>
      <c r="AP33" s="746">
        <f t="shared" si="28"/>
        <v>0</v>
      </c>
      <c r="AQ33" s="746">
        <f t="shared" si="29"/>
        <v>1</v>
      </c>
      <c r="AR33" s="746">
        <f t="shared" si="30"/>
        <v>1</v>
      </c>
    </row>
    <row r="34" spans="1:44">
      <c r="A34" s="746" t="s">
        <v>766</v>
      </c>
      <c r="B34" s="746">
        <v>19241</v>
      </c>
      <c r="C34" s="747">
        <v>1603.4166666666667</v>
      </c>
      <c r="D34" s="746">
        <f t="shared" si="3"/>
        <v>1604</v>
      </c>
      <c r="E34" s="757">
        <f t="shared" si="0"/>
        <v>1.0256016777922709E-2</v>
      </c>
      <c r="F34" s="746">
        <v>26</v>
      </c>
      <c r="G34" s="746">
        <f t="shared" si="1"/>
        <v>62</v>
      </c>
      <c r="H34" s="746">
        <v>15</v>
      </c>
      <c r="I34" s="747">
        <f t="shared" si="4"/>
        <v>20.383625631643216</v>
      </c>
      <c r="J34" s="746">
        <f t="shared" si="5"/>
        <v>930</v>
      </c>
      <c r="K34" s="746">
        <v>600</v>
      </c>
      <c r="L34" s="746">
        <f t="shared" si="2"/>
        <v>2</v>
      </c>
      <c r="M34" s="746">
        <v>650</v>
      </c>
      <c r="N34" s="746">
        <v>370</v>
      </c>
      <c r="O34" s="746">
        <v>320</v>
      </c>
      <c r="P34" s="746">
        <v>1200</v>
      </c>
      <c r="Q34" s="746">
        <v>1080</v>
      </c>
      <c r="R34" s="746">
        <v>1200</v>
      </c>
      <c r="S34" s="746">
        <f t="shared" si="6"/>
        <v>4</v>
      </c>
      <c r="T34" s="746">
        <f t="shared" si="7"/>
        <v>1</v>
      </c>
      <c r="U34" s="746">
        <f t="shared" si="8"/>
        <v>2</v>
      </c>
      <c r="V34" s="746">
        <f t="shared" si="9"/>
        <v>4</v>
      </c>
      <c r="W34" s="746">
        <f t="shared" si="10"/>
        <v>8</v>
      </c>
      <c r="X34" s="758">
        <f t="shared" si="11"/>
        <v>163.06900505314573</v>
      </c>
      <c r="Y34" s="747">
        <f t="shared" si="12"/>
        <v>3.9370078740157481</v>
      </c>
      <c r="Z34" s="746">
        <f t="shared" si="13"/>
        <v>9</v>
      </c>
      <c r="AA34" s="746">
        <f t="shared" si="14"/>
        <v>76960000</v>
      </c>
      <c r="AB34" s="746">
        <f t="shared" si="15"/>
        <v>2.717816750885762</v>
      </c>
      <c r="AC34" s="759" t="s">
        <v>594</v>
      </c>
      <c r="AD34" s="746">
        <f t="shared" si="32"/>
        <v>45</v>
      </c>
      <c r="AE34" s="746">
        <f t="shared" si="17"/>
        <v>4.5</v>
      </c>
      <c r="AF34" s="746">
        <f t="shared" si="18"/>
        <v>5.4</v>
      </c>
      <c r="AG34" s="746">
        <f t="shared" si="19"/>
        <v>12.6</v>
      </c>
      <c r="AH34" s="746">
        <f t="shared" si="20"/>
        <v>54</v>
      </c>
      <c r="AI34" s="746">
        <f t="shared" si="21"/>
        <v>76.5</v>
      </c>
      <c r="AJ34" s="746">
        <f t="shared" si="22"/>
        <v>31</v>
      </c>
      <c r="AK34" s="746">
        <f t="shared" si="23"/>
        <v>12</v>
      </c>
      <c r="AL34" s="746">
        <f t="shared" si="24"/>
        <v>12</v>
      </c>
      <c r="AM34" s="746">
        <f t="shared" si="25"/>
        <v>6</v>
      </c>
      <c r="AN34" s="746">
        <f t="shared" si="26"/>
        <v>4</v>
      </c>
      <c r="AO34" s="746">
        <f t="shared" si="27"/>
        <v>5</v>
      </c>
      <c r="AP34" s="746">
        <f t="shared" si="28"/>
        <v>11</v>
      </c>
      <c r="AQ34" s="746">
        <f t="shared" si="29"/>
        <v>45</v>
      </c>
      <c r="AR34" s="746">
        <f t="shared" si="30"/>
        <v>65</v>
      </c>
    </row>
    <row r="35" spans="1:44">
      <c r="A35" s="746" t="s">
        <v>767</v>
      </c>
      <c r="B35" s="746">
        <v>19224</v>
      </c>
      <c r="C35" s="747">
        <v>1602.0000000000002</v>
      </c>
      <c r="D35" s="746">
        <f t="shared" ref="D35:D66" si="33">ROUNDUP(C35,0)</f>
        <v>1602</v>
      </c>
      <c r="E35" s="757">
        <f t="shared" ref="E35:E66" si="34">D35/$D$1</f>
        <v>1.0243228727077419E-2</v>
      </c>
      <c r="F35" s="746">
        <v>26</v>
      </c>
      <c r="G35" s="746">
        <f t="shared" ref="G35:G66" si="35">ROUNDUP(D35/F35,0)</f>
        <v>62</v>
      </c>
      <c r="H35" s="746">
        <v>15</v>
      </c>
      <c r="I35" s="747">
        <f t="shared" si="4"/>
        <v>7.0312500000000009</v>
      </c>
      <c r="J35" s="746">
        <f t="shared" ref="J35:J66" si="36">G35*H35</f>
        <v>930</v>
      </c>
      <c r="K35" s="746">
        <v>600</v>
      </c>
      <c r="L35" s="746">
        <f t="shared" ref="L35:L66" si="37">ROUNDUP(J35/K35,0)</f>
        <v>2</v>
      </c>
      <c r="M35" s="746">
        <v>914.4</v>
      </c>
      <c r="N35" s="746">
        <v>228.6</v>
      </c>
      <c r="O35" s="746">
        <v>127</v>
      </c>
      <c r="P35" s="746">
        <v>1200</v>
      </c>
      <c r="Q35" s="746">
        <v>1080</v>
      </c>
      <c r="R35" s="746">
        <v>1200</v>
      </c>
      <c r="S35" s="746">
        <f t="shared" si="6"/>
        <v>9</v>
      </c>
      <c r="T35" s="746">
        <f t="shared" si="7"/>
        <v>1</v>
      </c>
      <c r="U35" s="746">
        <f t="shared" si="8"/>
        <v>4</v>
      </c>
      <c r="V35" s="746">
        <f t="shared" si="9"/>
        <v>9</v>
      </c>
      <c r="W35" s="746">
        <f t="shared" si="10"/>
        <v>36</v>
      </c>
      <c r="X35" s="758">
        <f t="shared" si="11"/>
        <v>253.12500000000003</v>
      </c>
      <c r="Y35" s="747">
        <f t="shared" si="12"/>
        <v>3.9370078740157481</v>
      </c>
      <c r="Z35" s="746">
        <f t="shared" si="13"/>
        <v>2</v>
      </c>
      <c r="AA35" s="746">
        <f t="shared" si="14"/>
        <v>26547043.68</v>
      </c>
      <c r="AB35" s="746">
        <f t="shared" si="15"/>
        <v>0.93750000000000011</v>
      </c>
      <c r="AC35" s="759" t="s">
        <v>594</v>
      </c>
      <c r="AD35" s="746">
        <f t="shared" si="32"/>
        <v>10</v>
      </c>
      <c r="AE35" s="746">
        <f t="shared" si="17"/>
        <v>1</v>
      </c>
      <c r="AF35" s="746">
        <f t="shared" si="18"/>
        <v>1.2000000000000002</v>
      </c>
      <c r="AG35" s="746">
        <f t="shared" si="19"/>
        <v>2.8000000000000003</v>
      </c>
      <c r="AH35" s="746">
        <f t="shared" si="20"/>
        <v>12</v>
      </c>
      <c r="AI35" s="746">
        <f t="shared" si="21"/>
        <v>17</v>
      </c>
      <c r="AJ35" s="746">
        <f t="shared" si="22"/>
        <v>31</v>
      </c>
      <c r="AK35" s="746">
        <f t="shared" si="23"/>
        <v>12</v>
      </c>
      <c r="AL35" s="746">
        <f t="shared" si="24"/>
        <v>12</v>
      </c>
      <c r="AM35" s="746">
        <f t="shared" si="25"/>
        <v>6</v>
      </c>
      <c r="AN35" s="746">
        <f t="shared" si="26"/>
        <v>1</v>
      </c>
      <c r="AO35" s="746">
        <f t="shared" si="27"/>
        <v>1</v>
      </c>
      <c r="AP35" s="746">
        <f t="shared" si="28"/>
        <v>2</v>
      </c>
      <c r="AQ35" s="746">
        <f t="shared" si="29"/>
        <v>10</v>
      </c>
      <c r="AR35" s="746">
        <f t="shared" si="30"/>
        <v>14</v>
      </c>
    </row>
    <row r="36" spans="1:44">
      <c r="A36" s="746" t="s">
        <v>768</v>
      </c>
      <c r="B36" s="746">
        <v>18862</v>
      </c>
      <c r="C36" s="747">
        <v>1571.8333333333333</v>
      </c>
      <c r="D36" s="746">
        <f t="shared" si="33"/>
        <v>1572</v>
      </c>
      <c r="E36" s="757">
        <f t="shared" si="34"/>
        <v>1.0051407964398067E-2</v>
      </c>
      <c r="F36" s="746">
        <v>26</v>
      </c>
      <c r="G36" s="746">
        <f t="shared" si="35"/>
        <v>61</v>
      </c>
      <c r="H36" s="746">
        <v>15</v>
      </c>
      <c r="I36" s="747">
        <f t="shared" si="4"/>
        <v>17.23524305555555</v>
      </c>
      <c r="J36" s="746">
        <f t="shared" si="36"/>
        <v>915</v>
      </c>
      <c r="K36" s="746">
        <v>600</v>
      </c>
      <c r="L36" s="746">
        <f t="shared" si="37"/>
        <v>2</v>
      </c>
      <c r="M36" s="746">
        <v>558.79999999999995</v>
      </c>
      <c r="N36" s="746">
        <v>482.59999999999997</v>
      </c>
      <c r="O36" s="746">
        <v>241.29999999999998</v>
      </c>
      <c r="P36" s="746">
        <v>1200</v>
      </c>
      <c r="Q36" s="746">
        <v>1080</v>
      </c>
      <c r="R36" s="746">
        <v>1200</v>
      </c>
      <c r="S36" s="746">
        <f t="shared" si="6"/>
        <v>5</v>
      </c>
      <c r="T36" s="746">
        <f t="shared" si="7"/>
        <v>2</v>
      </c>
      <c r="U36" s="746">
        <f t="shared" si="8"/>
        <v>2</v>
      </c>
      <c r="V36" s="746">
        <f t="shared" si="9"/>
        <v>5</v>
      </c>
      <c r="W36" s="746">
        <f t="shared" si="10"/>
        <v>20</v>
      </c>
      <c r="X36" s="758">
        <f t="shared" si="11"/>
        <v>344.70486111111097</v>
      </c>
      <c r="Y36" s="747">
        <f t="shared" si="12"/>
        <v>3.9370078740157481</v>
      </c>
      <c r="Z36" s="746">
        <f t="shared" si="13"/>
        <v>4</v>
      </c>
      <c r="AA36" s="746">
        <f t="shared" si="14"/>
        <v>65073031.143999979</v>
      </c>
      <c r="AB36" s="746">
        <f t="shared" si="15"/>
        <v>2.2980324074074066</v>
      </c>
      <c r="AC36" s="759" t="s">
        <v>594</v>
      </c>
      <c r="AD36" s="746">
        <f t="shared" si="32"/>
        <v>20</v>
      </c>
      <c r="AE36" s="746">
        <f t="shared" si="17"/>
        <v>2</v>
      </c>
      <c r="AF36" s="746">
        <f t="shared" si="18"/>
        <v>2.4000000000000004</v>
      </c>
      <c r="AG36" s="746">
        <f t="shared" si="19"/>
        <v>5.6000000000000005</v>
      </c>
      <c r="AH36" s="746">
        <f t="shared" si="20"/>
        <v>24</v>
      </c>
      <c r="AI36" s="746">
        <f t="shared" si="21"/>
        <v>34</v>
      </c>
      <c r="AJ36" s="746">
        <f t="shared" si="22"/>
        <v>31</v>
      </c>
      <c r="AK36" s="746">
        <f t="shared" si="23"/>
        <v>12</v>
      </c>
      <c r="AL36" s="746">
        <f t="shared" si="24"/>
        <v>12</v>
      </c>
      <c r="AM36" s="746">
        <f t="shared" si="25"/>
        <v>6</v>
      </c>
      <c r="AN36" s="746">
        <f t="shared" si="26"/>
        <v>2</v>
      </c>
      <c r="AO36" s="746">
        <f t="shared" si="27"/>
        <v>2</v>
      </c>
      <c r="AP36" s="746">
        <f t="shared" si="28"/>
        <v>4</v>
      </c>
      <c r="AQ36" s="746">
        <f t="shared" si="29"/>
        <v>18</v>
      </c>
      <c r="AR36" s="746">
        <f t="shared" si="30"/>
        <v>26</v>
      </c>
    </row>
    <row r="37" spans="1:44">
      <c r="A37" s="746" t="s">
        <v>769</v>
      </c>
      <c r="B37" s="746">
        <v>15764</v>
      </c>
      <c r="C37" s="747">
        <v>1313.6666666666665</v>
      </c>
      <c r="D37" s="746">
        <f t="shared" si="33"/>
        <v>1314</v>
      </c>
      <c r="E37" s="757">
        <f t="shared" si="34"/>
        <v>8.4017494053556362E-3</v>
      </c>
      <c r="F37" s="746">
        <v>26</v>
      </c>
      <c r="G37" s="746">
        <f t="shared" si="35"/>
        <v>51</v>
      </c>
      <c r="H37" s="746">
        <v>15</v>
      </c>
      <c r="I37" s="747">
        <f t="shared" si="4"/>
        <v>11.325073537340863</v>
      </c>
      <c r="J37" s="746">
        <f t="shared" si="36"/>
        <v>765</v>
      </c>
      <c r="K37" s="746">
        <v>600</v>
      </c>
      <c r="L37" s="746">
        <f t="shared" si="37"/>
        <v>2</v>
      </c>
      <c r="M37" s="746">
        <v>413</v>
      </c>
      <c r="N37" s="746">
        <v>362</v>
      </c>
      <c r="O37" s="746">
        <v>286</v>
      </c>
      <c r="P37" s="746">
        <v>1200</v>
      </c>
      <c r="Q37" s="746">
        <v>1080</v>
      </c>
      <c r="R37" s="746">
        <v>1200</v>
      </c>
      <c r="S37" s="746">
        <f t="shared" si="6"/>
        <v>4</v>
      </c>
      <c r="T37" s="746">
        <f t="shared" si="7"/>
        <v>2</v>
      </c>
      <c r="U37" s="746">
        <f t="shared" si="8"/>
        <v>2</v>
      </c>
      <c r="V37" s="746">
        <f t="shared" si="9"/>
        <v>4</v>
      </c>
      <c r="W37" s="746">
        <f t="shared" si="10"/>
        <v>16</v>
      </c>
      <c r="X37" s="758">
        <f t="shared" si="11"/>
        <v>181.20117659745381</v>
      </c>
      <c r="Y37" s="747">
        <f t="shared" si="12"/>
        <v>3.9370078740157481</v>
      </c>
      <c r="Z37" s="746">
        <f t="shared" si="13"/>
        <v>4</v>
      </c>
      <c r="AA37" s="746">
        <f t="shared" si="14"/>
        <v>42758716</v>
      </c>
      <c r="AB37" s="746">
        <f t="shared" si="15"/>
        <v>1.5100098049787818</v>
      </c>
      <c r="AC37" s="759" t="s">
        <v>594</v>
      </c>
      <c r="AD37" s="746">
        <f t="shared" si="32"/>
        <v>20</v>
      </c>
      <c r="AE37" s="746">
        <f t="shared" si="17"/>
        <v>2</v>
      </c>
      <c r="AF37" s="746">
        <f t="shared" si="18"/>
        <v>2.4000000000000004</v>
      </c>
      <c r="AG37" s="746">
        <f t="shared" si="19"/>
        <v>5.6000000000000005</v>
      </c>
      <c r="AH37" s="746">
        <f t="shared" si="20"/>
        <v>24</v>
      </c>
      <c r="AI37" s="746">
        <f t="shared" si="21"/>
        <v>34</v>
      </c>
      <c r="AJ37" s="746">
        <f t="shared" si="22"/>
        <v>26</v>
      </c>
      <c r="AK37" s="746">
        <f t="shared" si="23"/>
        <v>10</v>
      </c>
      <c r="AL37" s="746">
        <f t="shared" si="24"/>
        <v>10</v>
      </c>
      <c r="AM37" s="746">
        <f t="shared" si="25"/>
        <v>5</v>
      </c>
      <c r="AN37" s="746">
        <f t="shared" si="26"/>
        <v>2</v>
      </c>
      <c r="AO37" s="746">
        <f t="shared" si="27"/>
        <v>2</v>
      </c>
      <c r="AP37" s="746">
        <f t="shared" si="28"/>
        <v>4</v>
      </c>
      <c r="AQ37" s="746">
        <f t="shared" si="29"/>
        <v>19</v>
      </c>
      <c r="AR37" s="746">
        <f t="shared" si="30"/>
        <v>27</v>
      </c>
    </row>
    <row r="38" spans="1:44">
      <c r="A38" s="746" t="s">
        <v>770</v>
      </c>
      <c r="B38" s="746">
        <v>14462</v>
      </c>
      <c r="C38" s="747">
        <v>1205.1666666666667</v>
      </c>
      <c r="D38" s="746">
        <f t="shared" si="33"/>
        <v>1206</v>
      </c>
      <c r="E38" s="757">
        <f t="shared" si="34"/>
        <v>7.7111946597099674E-3</v>
      </c>
      <c r="F38" s="746">
        <v>26</v>
      </c>
      <c r="G38" s="746">
        <f t="shared" si="35"/>
        <v>47</v>
      </c>
      <c r="H38" s="746">
        <v>15</v>
      </c>
      <c r="I38" s="747">
        <f t="shared" si="4"/>
        <v>18.749999999999996</v>
      </c>
      <c r="J38" s="746">
        <f t="shared" si="36"/>
        <v>705</v>
      </c>
      <c r="K38" s="746">
        <v>600</v>
      </c>
      <c r="L38" s="746">
        <f t="shared" si="37"/>
        <v>2</v>
      </c>
      <c r="M38" s="746">
        <v>762</v>
      </c>
      <c r="N38" s="746">
        <v>457.2</v>
      </c>
      <c r="O38" s="746">
        <v>203.2</v>
      </c>
      <c r="P38" s="746">
        <v>1200</v>
      </c>
      <c r="Q38" s="746">
        <v>1080</v>
      </c>
      <c r="R38" s="746">
        <v>1200</v>
      </c>
      <c r="S38" s="746">
        <f t="shared" si="6"/>
        <v>6</v>
      </c>
      <c r="T38" s="746">
        <f t="shared" si="7"/>
        <v>1</v>
      </c>
      <c r="U38" s="746">
        <f t="shared" si="8"/>
        <v>2</v>
      </c>
      <c r="V38" s="746">
        <f t="shared" si="9"/>
        <v>6</v>
      </c>
      <c r="W38" s="746">
        <f t="shared" si="10"/>
        <v>12</v>
      </c>
      <c r="X38" s="758">
        <f t="shared" si="11"/>
        <v>224.99999999999994</v>
      </c>
      <c r="Y38" s="747">
        <f t="shared" si="12"/>
        <v>3.9370078740157481</v>
      </c>
      <c r="Z38" s="746">
        <f t="shared" si="13"/>
        <v>5</v>
      </c>
      <c r="AA38" s="746">
        <f t="shared" si="14"/>
        <v>70792116.479999989</v>
      </c>
      <c r="AB38" s="746">
        <f t="shared" si="15"/>
        <v>2.4999999999999996</v>
      </c>
      <c r="AC38" s="759" t="s">
        <v>594</v>
      </c>
      <c r="AD38" s="746">
        <f t="shared" si="32"/>
        <v>25</v>
      </c>
      <c r="AE38" s="746">
        <f t="shared" si="17"/>
        <v>2.5</v>
      </c>
      <c r="AF38" s="746">
        <f t="shared" si="18"/>
        <v>3</v>
      </c>
      <c r="AG38" s="746">
        <f t="shared" si="19"/>
        <v>7</v>
      </c>
      <c r="AH38" s="746">
        <f t="shared" si="20"/>
        <v>30</v>
      </c>
      <c r="AI38" s="746">
        <f t="shared" si="21"/>
        <v>42.5</v>
      </c>
      <c r="AJ38" s="746">
        <f t="shared" si="22"/>
        <v>24</v>
      </c>
      <c r="AK38" s="746">
        <f t="shared" si="23"/>
        <v>9</v>
      </c>
      <c r="AL38" s="746">
        <f t="shared" si="24"/>
        <v>9</v>
      </c>
      <c r="AM38" s="746">
        <f t="shared" si="25"/>
        <v>5</v>
      </c>
      <c r="AN38" s="746">
        <f t="shared" si="26"/>
        <v>2</v>
      </c>
      <c r="AO38" s="746">
        <f t="shared" si="27"/>
        <v>2</v>
      </c>
      <c r="AP38" s="746">
        <f t="shared" si="28"/>
        <v>5</v>
      </c>
      <c r="AQ38" s="746">
        <f t="shared" si="29"/>
        <v>25</v>
      </c>
      <c r="AR38" s="746">
        <f t="shared" si="30"/>
        <v>34</v>
      </c>
    </row>
    <row r="39" spans="1:44">
      <c r="A39" s="746" t="s">
        <v>771</v>
      </c>
      <c r="B39" s="746">
        <v>14048</v>
      </c>
      <c r="C39" s="747">
        <v>1170.6666666666667</v>
      </c>
      <c r="D39" s="746">
        <f t="shared" si="33"/>
        <v>1171</v>
      </c>
      <c r="E39" s="757">
        <f t="shared" si="34"/>
        <v>7.4874037699173895E-3</v>
      </c>
      <c r="F39" s="746">
        <v>26</v>
      </c>
      <c r="G39" s="746">
        <f t="shared" si="35"/>
        <v>46</v>
      </c>
      <c r="H39" s="746">
        <v>15</v>
      </c>
      <c r="I39" s="747">
        <f t="shared" si="4"/>
        <v>14.019097222222221</v>
      </c>
      <c r="J39" s="746">
        <f t="shared" si="36"/>
        <v>690</v>
      </c>
      <c r="K39" s="746">
        <v>600</v>
      </c>
      <c r="L39" s="746">
        <f t="shared" si="37"/>
        <v>2</v>
      </c>
      <c r="M39" s="746">
        <v>508</v>
      </c>
      <c r="N39" s="746">
        <v>431.8</v>
      </c>
      <c r="O39" s="746">
        <v>241.29999999999998</v>
      </c>
      <c r="P39" s="746">
        <v>1200</v>
      </c>
      <c r="Q39" s="746">
        <v>1080</v>
      </c>
      <c r="R39" s="746">
        <v>1200</v>
      </c>
      <c r="S39" s="746">
        <f t="shared" si="6"/>
        <v>5</v>
      </c>
      <c r="T39" s="746">
        <f t="shared" si="7"/>
        <v>2</v>
      </c>
      <c r="U39" s="746">
        <f t="shared" si="8"/>
        <v>2</v>
      </c>
      <c r="V39" s="746">
        <f t="shared" si="9"/>
        <v>5</v>
      </c>
      <c r="W39" s="746">
        <f t="shared" si="10"/>
        <v>20</v>
      </c>
      <c r="X39" s="758">
        <f t="shared" si="11"/>
        <v>280.38194444444446</v>
      </c>
      <c r="Y39" s="747">
        <f t="shared" si="12"/>
        <v>3.9370078740157481</v>
      </c>
      <c r="Z39" s="746">
        <f t="shared" si="13"/>
        <v>3</v>
      </c>
      <c r="AA39" s="746">
        <f t="shared" si="14"/>
        <v>52930216.719999991</v>
      </c>
      <c r="AB39" s="746">
        <f t="shared" si="15"/>
        <v>1.8692129629629628</v>
      </c>
      <c r="AC39" s="759" t="s">
        <v>594</v>
      </c>
      <c r="AD39" s="746">
        <f t="shared" si="32"/>
        <v>15</v>
      </c>
      <c r="AE39" s="746">
        <f t="shared" si="17"/>
        <v>1.5</v>
      </c>
      <c r="AF39" s="746">
        <f t="shared" si="18"/>
        <v>1.8000000000000003</v>
      </c>
      <c r="AG39" s="746">
        <f t="shared" si="19"/>
        <v>4.2000000000000011</v>
      </c>
      <c r="AH39" s="746">
        <f t="shared" si="20"/>
        <v>18.000000000000004</v>
      </c>
      <c r="AI39" s="746">
        <f t="shared" si="21"/>
        <v>25.500000000000007</v>
      </c>
      <c r="AJ39" s="746">
        <f t="shared" si="22"/>
        <v>23</v>
      </c>
      <c r="AK39" s="746">
        <f t="shared" si="23"/>
        <v>9</v>
      </c>
      <c r="AL39" s="746">
        <f t="shared" si="24"/>
        <v>9</v>
      </c>
      <c r="AM39" s="746">
        <f t="shared" si="25"/>
        <v>5</v>
      </c>
      <c r="AN39" s="746">
        <f t="shared" si="26"/>
        <v>1</v>
      </c>
      <c r="AO39" s="746">
        <f t="shared" si="27"/>
        <v>1</v>
      </c>
      <c r="AP39" s="746">
        <f t="shared" si="28"/>
        <v>3</v>
      </c>
      <c r="AQ39" s="746">
        <f t="shared" si="29"/>
        <v>15</v>
      </c>
      <c r="AR39" s="746">
        <f t="shared" si="30"/>
        <v>20</v>
      </c>
    </row>
    <row r="40" spans="1:44">
      <c r="A40" s="746" t="s">
        <v>772</v>
      </c>
      <c r="B40" s="746">
        <v>13580</v>
      </c>
      <c r="C40" s="747">
        <v>1131.6666666666667</v>
      </c>
      <c r="D40" s="746">
        <f t="shared" si="33"/>
        <v>1132</v>
      </c>
      <c r="E40" s="757">
        <f t="shared" si="34"/>
        <v>7.2380367784342309E-3</v>
      </c>
      <c r="F40" s="746">
        <v>26</v>
      </c>
      <c r="G40" s="746">
        <f t="shared" si="35"/>
        <v>44</v>
      </c>
      <c r="H40" s="746">
        <v>15</v>
      </c>
      <c r="I40" s="747">
        <f t="shared" si="4"/>
        <v>10.416666666666666</v>
      </c>
      <c r="J40" s="746">
        <f t="shared" si="36"/>
        <v>660</v>
      </c>
      <c r="K40" s="746">
        <v>600</v>
      </c>
      <c r="L40" s="746">
        <f t="shared" si="37"/>
        <v>2</v>
      </c>
      <c r="M40" s="746">
        <v>508</v>
      </c>
      <c r="N40" s="746">
        <v>381</v>
      </c>
      <c r="O40" s="746">
        <v>203.2</v>
      </c>
      <c r="P40" s="746">
        <v>1200</v>
      </c>
      <c r="Q40" s="746">
        <v>1080</v>
      </c>
      <c r="R40" s="746">
        <v>1200</v>
      </c>
      <c r="S40" s="746">
        <f t="shared" si="6"/>
        <v>6</v>
      </c>
      <c r="T40" s="746">
        <f t="shared" si="7"/>
        <v>2</v>
      </c>
      <c r="U40" s="746">
        <f t="shared" si="8"/>
        <v>2</v>
      </c>
      <c r="V40" s="746">
        <f t="shared" si="9"/>
        <v>6</v>
      </c>
      <c r="W40" s="746">
        <f t="shared" si="10"/>
        <v>24</v>
      </c>
      <c r="X40" s="758">
        <f t="shared" si="11"/>
        <v>250</v>
      </c>
      <c r="Y40" s="747">
        <f t="shared" si="12"/>
        <v>3.9370078740157481</v>
      </c>
      <c r="Z40" s="746">
        <f t="shared" si="13"/>
        <v>2</v>
      </c>
      <c r="AA40" s="746">
        <f t="shared" si="14"/>
        <v>39328953.600000001</v>
      </c>
      <c r="AB40" s="746">
        <f t="shared" si="15"/>
        <v>1.3888888888888888</v>
      </c>
      <c r="AC40" s="759" t="s">
        <v>594</v>
      </c>
      <c r="AD40" s="746">
        <f t="shared" si="32"/>
        <v>10</v>
      </c>
      <c r="AE40" s="746">
        <f t="shared" si="17"/>
        <v>1</v>
      </c>
      <c r="AF40" s="746">
        <f t="shared" si="18"/>
        <v>1.2000000000000002</v>
      </c>
      <c r="AG40" s="746">
        <f t="shared" si="19"/>
        <v>2.8000000000000003</v>
      </c>
      <c r="AH40" s="746">
        <f t="shared" si="20"/>
        <v>12</v>
      </c>
      <c r="AI40" s="746">
        <f t="shared" si="21"/>
        <v>17</v>
      </c>
      <c r="AJ40" s="746">
        <f t="shared" si="22"/>
        <v>22</v>
      </c>
      <c r="AK40" s="746">
        <f t="shared" si="23"/>
        <v>9</v>
      </c>
      <c r="AL40" s="746">
        <f t="shared" si="24"/>
        <v>9</v>
      </c>
      <c r="AM40" s="746">
        <f t="shared" si="25"/>
        <v>4</v>
      </c>
      <c r="AN40" s="746">
        <f t="shared" si="26"/>
        <v>1</v>
      </c>
      <c r="AO40" s="746">
        <f t="shared" si="27"/>
        <v>1</v>
      </c>
      <c r="AP40" s="746">
        <f t="shared" si="28"/>
        <v>3</v>
      </c>
      <c r="AQ40" s="746">
        <f t="shared" si="29"/>
        <v>10</v>
      </c>
      <c r="AR40" s="746">
        <f t="shared" si="30"/>
        <v>15</v>
      </c>
    </row>
    <row r="41" spans="1:44">
      <c r="A41" s="746" t="s">
        <v>773</v>
      </c>
      <c r="B41" s="746">
        <v>13302</v>
      </c>
      <c r="C41" s="747">
        <v>1108.5</v>
      </c>
      <c r="D41" s="746">
        <f t="shared" si="33"/>
        <v>1109</v>
      </c>
      <c r="E41" s="757">
        <f t="shared" si="34"/>
        <v>7.0909741937133942E-3</v>
      </c>
      <c r="F41" s="746">
        <v>26</v>
      </c>
      <c r="G41" s="746">
        <f t="shared" si="35"/>
        <v>43</v>
      </c>
      <c r="H41" s="746">
        <v>15</v>
      </c>
      <c r="I41" s="747">
        <f t="shared" si="4"/>
        <v>45.029510819903095</v>
      </c>
      <c r="J41" s="746">
        <f t="shared" si="36"/>
        <v>645</v>
      </c>
      <c r="K41" s="746">
        <v>600</v>
      </c>
      <c r="L41" s="746">
        <f t="shared" si="37"/>
        <v>2</v>
      </c>
      <c r="M41" s="746">
        <v>725</v>
      </c>
      <c r="N41" s="746">
        <v>700</v>
      </c>
      <c r="O41" s="746">
        <v>335</v>
      </c>
      <c r="P41" s="746">
        <v>1200</v>
      </c>
      <c r="Q41" s="746">
        <v>1080</v>
      </c>
      <c r="R41" s="746">
        <v>1200</v>
      </c>
      <c r="S41" s="746">
        <f t="shared" si="6"/>
        <v>4</v>
      </c>
      <c r="T41" s="746">
        <f t="shared" si="7"/>
        <v>1</v>
      </c>
      <c r="U41" s="746">
        <f t="shared" si="8"/>
        <v>1</v>
      </c>
      <c r="V41" s="746">
        <f t="shared" si="9"/>
        <v>4</v>
      </c>
      <c r="W41" s="746">
        <f t="shared" si="10"/>
        <v>4</v>
      </c>
      <c r="X41" s="758">
        <f t="shared" si="11"/>
        <v>180.11804327961238</v>
      </c>
      <c r="Y41" s="747">
        <f t="shared" si="12"/>
        <v>3.9370078740157481</v>
      </c>
      <c r="Z41" s="746">
        <f t="shared" si="13"/>
        <v>12</v>
      </c>
      <c r="AA41" s="746">
        <f t="shared" si="14"/>
        <v>170012500</v>
      </c>
      <c r="AB41" s="746">
        <f t="shared" si="15"/>
        <v>6.0039347759870791</v>
      </c>
      <c r="AC41" s="759" t="s">
        <v>594</v>
      </c>
      <c r="AD41" s="746">
        <f t="shared" si="32"/>
        <v>60</v>
      </c>
      <c r="AE41" s="746">
        <f t="shared" si="17"/>
        <v>6</v>
      </c>
      <c r="AF41" s="746">
        <f t="shared" si="18"/>
        <v>7.2000000000000011</v>
      </c>
      <c r="AG41" s="746">
        <f t="shared" si="19"/>
        <v>16.800000000000004</v>
      </c>
      <c r="AH41" s="746">
        <f t="shared" si="20"/>
        <v>72.000000000000014</v>
      </c>
      <c r="AI41" s="746">
        <f t="shared" si="21"/>
        <v>102.00000000000003</v>
      </c>
      <c r="AJ41" s="746">
        <f t="shared" si="22"/>
        <v>22</v>
      </c>
      <c r="AK41" s="746">
        <f t="shared" si="23"/>
        <v>9</v>
      </c>
      <c r="AL41" s="746">
        <f t="shared" si="24"/>
        <v>9</v>
      </c>
      <c r="AM41" s="746">
        <f t="shared" si="25"/>
        <v>4</v>
      </c>
      <c r="AN41" s="746">
        <f t="shared" si="26"/>
        <v>6</v>
      </c>
      <c r="AO41" s="746">
        <f t="shared" si="27"/>
        <v>7</v>
      </c>
      <c r="AP41" s="746">
        <f t="shared" si="28"/>
        <v>16</v>
      </c>
      <c r="AQ41" s="746">
        <f t="shared" si="29"/>
        <v>60</v>
      </c>
      <c r="AR41" s="746">
        <f t="shared" si="30"/>
        <v>89</v>
      </c>
    </row>
    <row r="42" spans="1:44">
      <c r="A42" s="746" t="s">
        <v>774</v>
      </c>
      <c r="B42" s="746">
        <v>12587</v>
      </c>
      <c r="C42" s="747">
        <v>1048.9166666666667</v>
      </c>
      <c r="D42" s="746">
        <f t="shared" si="33"/>
        <v>1049</v>
      </c>
      <c r="E42" s="757">
        <f t="shared" si="34"/>
        <v>6.7073326683546892E-3</v>
      </c>
      <c r="F42" s="746">
        <v>26</v>
      </c>
      <c r="G42" s="746">
        <f t="shared" si="35"/>
        <v>41</v>
      </c>
      <c r="H42" s="746">
        <v>15</v>
      </c>
      <c r="I42" s="747">
        <f t="shared" si="4"/>
        <v>18.513925916740721</v>
      </c>
      <c r="J42" s="746">
        <f t="shared" si="36"/>
        <v>615</v>
      </c>
      <c r="K42" s="746">
        <v>600</v>
      </c>
      <c r="L42" s="746">
        <f t="shared" si="37"/>
        <v>2</v>
      </c>
      <c r="M42" s="746">
        <v>508</v>
      </c>
      <c r="N42" s="746">
        <v>430</v>
      </c>
      <c r="O42" s="746">
        <v>320</v>
      </c>
      <c r="P42" s="746">
        <v>1200</v>
      </c>
      <c r="Q42" s="746">
        <v>1080</v>
      </c>
      <c r="R42" s="746">
        <v>1200</v>
      </c>
      <c r="S42" s="746">
        <f t="shared" si="6"/>
        <v>4</v>
      </c>
      <c r="T42" s="746">
        <f t="shared" si="7"/>
        <v>2</v>
      </c>
      <c r="U42" s="746">
        <f t="shared" si="8"/>
        <v>2</v>
      </c>
      <c r="V42" s="746">
        <f t="shared" si="9"/>
        <v>4</v>
      </c>
      <c r="W42" s="746">
        <f t="shared" si="10"/>
        <v>16</v>
      </c>
      <c r="X42" s="758">
        <f t="shared" si="11"/>
        <v>296.22281466785154</v>
      </c>
      <c r="Y42" s="747">
        <f t="shared" si="12"/>
        <v>3.9370078740157481</v>
      </c>
      <c r="Z42" s="746">
        <f t="shared" si="13"/>
        <v>3</v>
      </c>
      <c r="AA42" s="746">
        <f t="shared" si="14"/>
        <v>69900800</v>
      </c>
      <c r="AB42" s="746">
        <f t="shared" si="15"/>
        <v>2.4685234555654296</v>
      </c>
      <c r="AC42" s="759" t="s">
        <v>594</v>
      </c>
      <c r="AD42" s="746">
        <f t="shared" si="32"/>
        <v>15</v>
      </c>
      <c r="AE42" s="746">
        <f t="shared" si="17"/>
        <v>1.5</v>
      </c>
      <c r="AF42" s="746">
        <f t="shared" si="18"/>
        <v>1.8000000000000003</v>
      </c>
      <c r="AG42" s="746">
        <f t="shared" si="19"/>
        <v>4.2000000000000011</v>
      </c>
      <c r="AH42" s="746">
        <f t="shared" si="20"/>
        <v>18.000000000000004</v>
      </c>
      <c r="AI42" s="746">
        <f t="shared" si="21"/>
        <v>25.500000000000007</v>
      </c>
      <c r="AJ42" s="746">
        <f t="shared" si="22"/>
        <v>21</v>
      </c>
      <c r="AK42" s="746">
        <f t="shared" si="23"/>
        <v>8</v>
      </c>
      <c r="AL42" s="746">
        <f t="shared" si="24"/>
        <v>8</v>
      </c>
      <c r="AM42" s="746">
        <f t="shared" si="25"/>
        <v>4</v>
      </c>
      <c r="AN42" s="746">
        <f t="shared" si="26"/>
        <v>1</v>
      </c>
      <c r="AO42" s="746">
        <f t="shared" si="27"/>
        <v>2</v>
      </c>
      <c r="AP42" s="746">
        <f t="shared" si="28"/>
        <v>4</v>
      </c>
      <c r="AQ42" s="746">
        <f t="shared" si="29"/>
        <v>15</v>
      </c>
      <c r="AR42" s="746">
        <f t="shared" si="30"/>
        <v>22</v>
      </c>
    </row>
    <row r="43" spans="1:44">
      <c r="A43" s="746" t="s">
        <v>775</v>
      </c>
      <c r="B43" s="746">
        <v>11693</v>
      </c>
      <c r="C43" s="747">
        <v>974.41666666666663</v>
      </c>
      <c r="D43" s="746">
        <f t="shared" si="33"/>
        <v>975</v>
      </c>
      <c r="E43" s="757">
        <f t="shared" si="34"/>
        <v>6.2341747870789535E-3</v>
      </c>
      <c r="F43" s="746">
        <v>26</v>
      </c>
      <c r="G43" s="746">
        <f t="shared" si="35"/>
        <v>38</v>
      </c>
      <c r="H43" s="746">
        <v>15</v>
      </c>
      <c r="I43" s="747">
        <f t="shared" si="4"/>
        <v>5.2887244882101312</v>
      </c>
      <c r="J43" s="746">
        <f t="shared" si="36"/>
        <v>570</v>
      </c>
      <c r="K43" s="746">
        <v>600</v>
      </c>
      <c r="L43" s="746">
        <f t="shared" si="37"/>
        <v>1</v>
      </c>
      <c r="M43" s="746">
        <v>520</v>
      </c>
      <c r="N43" s="746">
        <v>240</v>
      </c>
      <c r="O43" s="746">
        <v>160</v>
      </c>
      <c r="P43" s="746">
        <v>1200</v>
      </c>
      <c r="Q43" s="746">
        <v>1080</v>
      </c>
      <c r="R43" s="746">
        <v>1200</v>
      </c>
      <c r="S43" s="746">
        <f t="shared" si="6"/>
        <v>8</v>
      </c>
      <c r="T43" s="746">
        <f t="shared" si="7"/>
        <v>2</v>
      </c>
      <c r="U43" s="746">
        <f t="shared" si="8"/>
        <v>4</v>
      </c>
      <c r="V43" s="746">
        <f t="shared" si="9"/>
        <v>8</v>
      </c>
      <c r="W43" s="746">
        <f t="shared" si="10"/>
        <v>64</v>
      </c>
      <c r="X43" s="758">
        <f t="shared" si="11"/>
        <v>338.4783672454484</v>
      </c>
      <c r="Y43" s="747">
        <f t="shared" si="12"/>
        <v>3.9370078740157481</v>
      </c>
      <c r="Z43" s="746">
        <f t="shared" si="13"/>
        <v>1</v>
      </c>
      <c r="AA43" s="746">
        <f t="shared" si="14"/>
        <v>19968000</v>
      </c>
      <c r="AB43" s="746">
        <f t="shared" si="15"/>
        <v>0.70516326509468419</v>
      </c>
      <c r="AC43" s="759" t="s">
        <v>594</v>
      </c>
      <c r="AD43" s="746">
        <f t="shared" si="32"/>
        <v>5</v>
      </c>
      <c r="AE43" s="746">
        <f t="shared" si="17"/>
        <v>0.5</v>
      </c>
      <c r="AF43" s="746">
        <f t="shared" si="18"/>
        <v>0.60000000000000009</v>
      </c>
      <c r="AG43" s="746">
        <f t="shared" si="19"/>
        <v>1.4000000000000001</v>
      </c>
      <c r="AH43" s="746">
        <f t="shared" si="20"/>
        <v>6</v>
      </c>
      <c r="AI43" s="746">
        <f t="shared" si="21"/>
        <v>8.5</v>
      </c>
      <c r="AJ43" s="746">
        <f t="shared" si="22"/>
        <v>19</v>
      </c>
      <c r="AK43" s="746">
        <f t="shared" si="23"/>
        <v>8</v>
      </c>
      <c r="AL43" s="746">
        <f t="shared" si="24"/>
        <v>8</v>
      </c>
      <c r="AM43" s="746">
        <f t="shared" si="25"/>
        <v>4</v>
      </c>
      <c r="AN43" s="746">
        <f t="shared" si="26"/>
        <v>0</v>
      </c>
      <c r="AO43" s="746">
        <f t="shared" si="27"/>
        <v>0</v>
      </c>
      <c r="AP43" s="746">
        <f t="shared" si="28"/>
        <v>1</v>
      </c>
      <c r="AQ43" s="746">
        <f t="shared" si="29"/>
        <v>4</v>
      </c>
      <c r="AR43" s="746">
        <f t="shared" si="30"/>
        <v>5</v>
      </c>
    </row>
    <row r="44" spans="1:44">
      <c r="A44" s="746" t="s">
        <v>776</v>
      </c>
      <c r="B44" s="746">
        <v>11404</v>
      </c>
      <c r="C44" s="747">
        <v>950.33333333333337</v>
      </c>
      <c r="D44" s="746">
        <f t="shared" si="33"/>
        <v>951</v>
      </c>
      <c r="E44" s="757">
        <f t="shared" si="34"/>
        <v>6.0807181769354712E-3</v>
      </c>
      <c r="F44" s="746">
        <v>26</v>
      </c>
      <c r="G44" s="746">
        <f t="shared" si="35"/>
        <v>37</v>
      </c>
      <c r="H44" s="746">
        <v>15</v>
      </c>
      <c r="I44" s="747">
        <f t="shared" si="4"/>
        <v>20.383625631643216</v>
      </c>
      <c r="J44" s="746">
        <f t="shared" si="36"/>
        <v>555</v>
      </c>
      <c r="K44" s="746">
        <v>600</v>
      </c>
      <c r="L44" s="746">
        <f t="shared" si="37"/>
        <v>1</v>
      </c>
      <c r="M44" s="746">
        <v>650</v>
      </c>
      <c r="N44" s="746">
        <v>370</v>
      </c>
      <c r="O44" s="746">
        <v>320</v>
      </c>
      <c r="P44" s="746">
        <v>1200</v>
      </c>
      <c r="Q44" s="746">
        <v>1080</v>
      </c>
      <c r="R44" s="746">
        <v>1200</v>
      </c>
      <c r="S44" s="746">
        <f t="shared" si="6"/>
        <v>4</v>
      </c>
      <c r="T44" s="746">
        <f t="shared" si="7"/>
        <v>1</v>
      </c>
      <c r="U44" s="746">
        <f t="shared" si="8"/>
        <v>2</v>
      </c>
      <c r="V44" s="746">
        <f t="shared" si="9"/>
        <v>4</v>
      </c>
      <c r="W44" s="746">
        <f t="shared" si="10"/>
        <v>8</v>
      </c>
      <c r="X44" s="758">
        <f t="shared" si="11"/>
        <v>163.06900505314573</v>
      </c>
      <c r="Y44" s="747">
        <f t="shared" si="12"/>
        <v>3.9370078740157481</v>
      </c>
      <c r="Z44" s="746">
        <f t="shared" si="13"/>
        <v>5</v>
      </c>
      <c r="AA44" s="746">
        <f t="shared" si="14"/>
        <v>76960000</v>
      </c>
      <c r="AB44" s="746">
        <f t="shared" si="15"/>
        <v>2.717816750885762</v>
      </c>
      <c r="AC44" s="759" t="s">
        <v>594</v>
      </c>
      <c r="AD44" s="746">
        <f t="shared" si="32"/>
        <v>25</v>
      </c>
      <c r="AE44" s="746">
        <f t="shared" si="17"/>
        <v>2.5</v>
      </c>
      <c r="AF44" s="746">
        <f t="shared" si="18"/>
        <v>3</v>
      </c>
      <c r="AG44" s="746">
        <f t="shared" si="19"/>
        <v>7</v>
      </c>
      <c r="AH44" s="746">
        <f t="shared" si="20"/>
        <v>30</v>
      </c>
      <c r="AI44" s="746">
        <f t="shared" si="21"/>
        <v>42.5</v>
      </c>
      <c r="AJ44" s="746">
        <f t="shared" si="22"/>
        <v>19</v>
      </c>
      <c r="AK44" s="746">
        <f t="shared" si="23"/>
        <v>7</v>
      </c>
      <c r="AL44" s="746">
        <f t="shared" si="24"/>
        <v>7</v>
      </c>
      <c r="AM44" s="746">
        <f t="shared" si="25"/>
        <v>4</v>
      </c>
      <c r="AN44" s="746">
        <f t="shared" si="26"/>
        <v>2</v>
      </c>
      <c r="AO44" s="746">
        <f t="shared" si="27"/>
        <v>3</v>
      </c>
      <c r="AP44" s="746">
        <f t="shared" si="28"/>
        <v>6</v>
      </c>
      <c r="AQ44" s="746">
        <f t="shared" si="29"/>
        <v>30</v>
      </c>
      <c r="AR44" s="746">
        <f t="shared" si="30"/>
        <v>41</v>
      </c>
    </row>
    <row r="45" spans="1:44">
      <c r="A45" s="746" t="s">
        <v>777</v>
      </c>
      <c r="B45" s="746">
        <v>11157</v>
      </c>
      <c r="C45" s="747">
        <v>929.75</v>
      </c>
      <c r="D45" s="746">
        <f t="shared" si="33"/>
        <v>930</v>
      </c>
      <c r="E45" s="757">
        <f t="shared" si="34"/>
        <v>5.9464436430599248E-3</v>
      </c>
      <c r="F45" s="746">
        <v>26</v>
      </c>
      <c r="G45" s="746">
        <f t="shared" si="35"/>
        <v>36</v>
      </c>
      <c r="H45" s="746">
        <v>15</v>
      </c>
      <c r="I45" s="747">
        <f t="shared" si="4"/>
        <v>10.464539158244984</v>
      </c>
      <c r="J45" s="746">
        <f t="shared" si="36"/>
        <v>540</v>
      </c>
      <c r="K45" s="746">
        <v>600</v>
      </c>
      <c r="L45" s="746">
        <f t="shared" si="37"/>
        <v>1</v>
      </c>
      <c r="M45" s="746">
        <v>508</v>
      </c>
      <c r="N45" s="746">
        <v>305</v>
      </c>
      <c r="O45" s="746">
        <v>255</v>
      </c>
      <c r="P45" s="746">
        <v>1200</v>
      </c>
      <c r="Q45" s="746">
        <v>1080</v>
      </c>
      <c r="R45" s="746">
        <v>1200</v>
      </c>
      <c r="S45" s="746">
        <f t="shared" si="6"/>
        <v>5</v>
      </c>
      <c r="T45" s="746">
        <f t="shared" si="7"/>
        <v>2</v>
      </c>
      <c r="U45" s="746">
        <f t="shared" si="8"/>
        <v>3</v>
      </c>
      <c r="V45" s="746">
        <f t="shared" si="9"/>
        <v>5</v>
      </c>
      <c r="W45" s="746">
        <f t="shared" si="10"/>
        <v>30</v>
      </c>
      <c r="X45" s="758">
        <f t="shared" si="11"/>
        <v>313.93617474734953</v>
      </c>
      <c r="Y45" s="747">
        <f t="shared" si="12"/>
        <v>3.9370078740157481</v>
      </c>
      <c r="Z45" s="746">
        <f t="shared" si="13"/>
        <v>2</v>
      </c>
      <c r="AA45" s="746">
        <f t="shared" si="14"/>
        <v>39509700</v>
      </c>
      <c r="AB45" s="746">
        <f t="shared" si="15"/>
        <v>1.3952718877659978</v>
      </c>
      <c r="AC45" s="759" t="s">
        <v>594</v>
      </c>
      <c r="AD45" s="746">
        <f t="shared" si="32"/>
        <v>10</v>
      </c>
      <c r="AE45" s="746">
        <f t="shared" si="17"/>
        <v>1</v>
      </c>
      <c r="AF45" s="746">
        <f t="shared" si="18"/>
        <v>1.2000000000000002</v>
      </c>
      <c r="AG45" s="746">
        <f t="shared" si="19"/>
        <v>2.8000000000000003</v>
      </c>
      <c r="AH45" s="746">
        <f t="shared" si="20"/>
        <v>12</v>
      </c>
      <c r="AI45" s="746">
        <f t="shared" si="21"/>
        <v>17</v>
      </c>
      <c r="AJ45" s="746">
        <f t="shared" si="22"/>
        <v>18</v>
      </c>
      <c r="AK45" s="746">
        <f t="shared" si="23"/>
        <v>7</v>
      </c>
      <c r="AL45" s="746">
        <f t="shared" si="24"/>
        <v>7</v>
      </c>
      <c r="AM45" s="746">
        <f t="shared" si="25"/>
        <v>4</v>
      </c>
      <c r="AN45" s="746">
        <f t="shared" si="26"/>
        <v>1</v>
      </c>
      <c r="AO45" s="746">
        <f t="shared" si="27"/>
        <v>1</v>
      </c>
      <c r="AP45" s="746">
        <f t="shared" si="28"/>
        <v>2</v>
      </c>
      <c r="AQ45" s="746">
        <f t="shared" si="29"/>
        <v>8</v>
      </c>
      <c r="AR45" s="746">
        <f t="shared" si="30"/>
        <v>12</v>
      </c>
    </row>
    <row r="46" spans="1:44">
      <c r="A46" s="746" t="s">
        <v>778</v>
      </c>
      <c r="B46" s="746">
        <v>10272</v>
      </c>
      <c r="C46" s="747">
        <v>856</v>
      </c>
      <c r="D46" s="746">
        <f t="shared" si="33"/>
        <v>856</v>
      </c>
      <c r="E46" s="757">
        <f t="shared" si="34"/>
        <v>5.4732857617841892E-3</v>
      </c>
      <c r="F46" s="746">
        <v>26</v>
      </c>
      <c r="G46" s="746">
        <f t="shared" si="35"/>
        <v>33</v>
      </c>
      <c r="H46" s="746">
        <v>15</v>
      </c>
      <c r="I46" s="747">
        <f t="shared" si="4"/>
        <v>6.3566400098679461</v>
      </c>
      <c r="J46" s="746">
        <f t="shared" si="36"/>
        <v>495</v>
      </c>
      <c r="K46" s="746">
        <v>600</v>
      </c>
      <c r="L46" s="746">
        <f t="shared" si="37"/>
        <v>1</v>
      </c>
      <c r="M46" s="746">
        <v>400</v>
      </c>
      <c r="N46" s="746">
        <v>400</v>
      </c>
      <c r="O46" s="746">
        <v>150</v>
      </c>
      <c r="P46" s="746">
        <v>1200</v>
      </c>
      <c r="Q46" s="746">
        <v>1080</v>
      </c>
      <c r="R46" s="746">
        <v>1200</v>
      </c>
      <c r="S46" s="746">
        <f t="shared" si="6"/>
        <v>8</v>
      </c>
      <c r="T46" s="746">
        <f t="shared" si="7"/>
        <v>3</v>
      </c>
      <c r="U46" s="746">
        <f t="shared" si="8"/>
        <v>2</v>
      </c>
      <c r="V46" s="746">
        <f t="shared" si="9"/>
        <v>8</v>
      </c>
      <c r="W46" s="746">
        <f t="shared" si="10"/>
        <v>48</v>
      </c>
      <c r="X46" s="758">
        <f t="shared" si="11"/>
        <v>305.11872047366143</v>
      </c>
      <c r="Y46" s="747">
        <f t="shared" si="12"/>
        <v>3.9370078740157481</v>
      </c>
      <c r="Z46" s="746">
        <f t="shared" si="13"/>
        <v>1</v>
      </c>
      <c r="AA46" s="746">
        <f t="shared" si="14"/>
        <v>24000000</v>
      </c>
      <c r="AB46" s="746">
        <f t="shared" si="15"/>
        <v>0.84755200131572617</v>
      </c>
      <c r="AC46" s="759" t="s">
        <v>594</v>
      </c>
      <c r="AD46" s="746">
        <f t="shared" si="32"/>
        <v>5</v>
      </c>
      <c r="AE46" s="746">
        <f t="shared" si="17"/>
        <v>0.5</v>
      </c>
      <c r="AF46" s="746">
        <f t="shared" si="18"/>
        <v>0.60000000000000009</v>
      </c>
      <c r="AG46" s="746">
        <f t="shared" si="19"/>
        <v>1.4000000000000001</v>
      </c>
      <c r="AH46" s="746">
        <f t="shared" si="20"/>
        <v>6</v>
      </c>
      <c r="AI46" s="746">
        <f t="shared" si="21"/>
        <v>8.5</v>
      </c>
      <c r="AJ46" s="746">
        <f t="shared" si="22"/>
        <v>17</v>
      </c>
      <c r="AK46" s="746">
        <f t="shared" si="23"/>
        <v>7</v>
      </c>
      <c r="AL46" s="746">
        <f t="shared" si="24"/>
        <v>7</v>
      </c>
      <c r="AM46" s="746">
        <f t="shared" si="25"/>
        <v>3</v>
      </c>
      <c r="AN46" s="746">
        <f t="shared" si="26"/>
        <v>0</v>
      </c>
      <c r="AO46" s="746">
        <f t="shared" si="27"/>
        <v>0</v>
      </c>
      <c r="AP46" s="746">
        <f t="shared" si="28"/>
        <v>1</v>
      </c>
      <c r="AQ46" s="746">
        <f t="shared" si="29"/>
        <v>4</v>
      </c>
      <c r="AR46" s="746">
        <f t="shared" si="30"/>
        <v>5</v>
      </c>
    </row>
    <row r="47" spans="1:44">
      <c r="A47" s="746" t="s">
        <v>779</v>
      </c>
      <c r="B47" s="746">
        <v>9452</v>
      </c>
      <c r="C47" s="747">
        <v>787.66666666666652</v>
      </c>
      <c r="D47" s="746">
        <f t="shared" si="33"/>
        <v>788</v>
      </c>
      <c r="E47" s="757">
        <f t="shared" si="34"/>
        <v>5.0384920330443237E-3</v>
      </c>
      <c r="F47" s="746">
        <v>26</v>
      </c>
      <c r="G47" s="746">
        <f t="shared" si="35"/>
        <v>31</v>
      </c>
      <c r="H47" s="746">
        <v>15</v>
      </c>
      <c r="I47" s="747">
        <f t="shared" si="4"/>
        <v>32.565066770553493</v>
      </c>
      <c r="J47" s="746">
        <f t="shared" si="36"/>
        <v>465</v>
      </c>
      <c r="K47" s="746">
        <v>600</v>
      </c>
      <c r="L47" s="746">
        <f t="shared" si="37"/>
        <v>1</v>
      </c>
      <c r="M47" s="746">
        <v>1090</v>
      </c>
      <c r="N47" s="746">
        <v>470</v>
      </c>
      <c r="O47" s="746">
        <v>240</v>
      </c>
      <c r="P47" s="746">
        <v>1200</v>
      </c>
      <c r="Q47" s="746">
        <v>1080</v>
      </c>
      <c r="R47" s="746">
        <v>1200</v>
      </c>
      <c r="S47" s="746">
        <f t="shared" si="6"/>
        <v>5</v>
      </c>
      <c r="T47" s="746">
        <f t="shared" si="7"/>
        <v>1</v>
      </c>
      <c r="U47" s="746">
        <f t="shared" si="8"/>
        <v>2</v>
      </c>
      <c r="V47" s="746">
        <f t="shared" si="9"/>
        <v>5</v>
      </c>
      <c r="W47" s="746">
        <f t="shared" si="10"/>
        <v>10</v>
      </c>
      <c r="X47" s="758">
        <f t="shared" si="11"/>
        <v>325.65066770553494</v>
      </c>
      <c r="Y47" s="747">
        <f t="shared" si="12"/>
        <v>3.9370078740157481</v>
      </c>
      <c r="Z47" s="746">
        <f t="shared" si="13"/>
        <v>4</v>
      </c>
      <c r="AA47" s="746">
        <f t="shared" si="14"/>
        <v>122952000</v>
      </c>
      <c r="AB47" s="746">
        <f t="shared" si="15"/>
        <v>4.3420089027404654</v>
      </c>
      <c r="AC47" s="759" t="s">
        <v>594</v>
      </c>
      <c r="AD47" s="746">
        <f t="shared" si="32"/>
        <v>20</v>
      </c>
      <c r="AE47" s="746">
        <f t="shared" si="17"/>
        <v>2</v>
      </c>
      <c r="AF47" s="746">
        <f t="shared" si="18"/>
        <v>2.4000000000000004</v>
      </c>
      <c r="AG47" s="746">
        <f t="shared" si="19"/>
        <v>5.6000000000000005</v>
      </c>
      <c r="AH47" s="746">
        <f t="shared" si="20"/>
        <v>24</v>
      </c>
      <c r="AI47" s="746">
        <f t="shared" si="21"/>
        <v>34</v>
      </c>
      <c r="AJ47" s="746">
        <f t="shared" si="22"/>
        <v>16</v>
      </c>
      <c r="AK47" s="746">
        <f t="shared" si="23"/>
        <v>6</v>
      </c>
      <c r="AL47" s="746">
        <f t="shared" si="24"/>
        <v>6</v>
      </c>
      <c r="AM47" s="746">
        <f t="shared" si="25"/>
        <v>3</v>
      </c>
      <c r="AN47" s="746">
        <f t="shared" si="26"/>
        <v>2</v>
      </c>
      <c r="AO47" s="746">
        <f t="shared" si="27"/>
        <v>2</v>
      </c>
      <c r="AP47" s="746">
        <f t="shared" si="28"/>
        <v>4</v>
      </c>
      <c r="AQ47" s="746">
        <f t="shared" si="29"/>
        <v>18</v>
      </c>
      <c r="AR47" s="746">
        <f t="shared" si="30"/>
        <v>26</v>
      </c>
    </row>
    <row r="48" spans="1:44">
      <c r="A48" s="746" t="s">
        <v>780</v>
      </c>
      <c r="B48" s="746">
        <v>9110</v>
      </c>
      <c r="C48" s="747">
        <v>759.16666666666674</v>
      </c>
      <c r="D48" s="746">
        <f t="shared" si="33"/>
        <v>760</v>
      </c>
      <c r="E48" s="757">
        <f t="shared" si="34"/>
        <v>4.8594593212102615E-3</v>
      </c>
      <c r="F48" s="746">
        <v>26</v>
      </c>
      <c r="G48" s="746">
        <f t="shared" si="35"/>
        <v>30</v>
      </c>
      <c r="H48" s="746">
        <v>15</v>
      </c>
      <c r="I48" s="747">
        <f t="shared" si="4"/>
        <v>17.301304133858263</v>
      </c>
      <c r="J48" s="746">
        <f t="shared" si="36"/>
        <v>450</v>
      </c>
      <c r="K48" s="746">
        <v>600</v>
      </c>
      <c r="L48" s="746">
        <f t="shared" si="37"/>
        <v>1</v>
      </c>
      <c r="M48" s="746">
        <v>457.2</v>
      </c>
      <c r="N48" s="746">
        <v>381</v>
      </c>
      <c r="O48" s="763">
        <v>375</v>
      </c>
      <c r="P48" s="746">
        <v>1200</v>
      </c>
      <c r="Q48" s="746">
        <v>1080</v>
      </c>
      <c r="R48" s="746">
        <v>1200</v>
      </c>
      <c r="S48" s="746">
        <f t="shared" si="6"/>
        <v>3</v>
      </c>
      <c r="T48" s="746">
        <f t="shared" si="7"/>
        <v>2</v>
      </c>
      <c r="U48" s="746">
        <f t="shared" si="8"/>
        <v>2</v>
      </c>
      <c r="V48" s="746">
        <f t="shared" si="9"/>
        <v>3</v>
      </c>
      <c r="W48" s="746">
        <f t="shared" si="10"/>
        <v>12</v>
      </c>
      <c r="X48" s="758">
        <f t="shared" si="11"/>
        <v>207.61564960629914</v>
      </c>
      <c r="Y48" s="747">
        <f t="shared" si="12"/>
        <v>3.9370078740157481</v>
      </c>
      <c r="Z48" s="746">
        <f t="shared" si="13"/>
        <v>3</v>
      </c>
      <c r="AA48" s="746">
        <f t="shared" si="14"/>
        <v>65322449.999999993</v>
      </c>
      <c r="AB48" s="746">
        <f t="shared" si="15"/>
        <v>2.3068405511811019</v>
      </c>
      <c r="AC48" s="759" t="s">
        <v>594</v>
      </c>
      <c r="AD48" s="746">
        <f t="shared" si="32"/>
        <v>15</v>
      </c>
      <c r="AE48" s="746">
        <f t="shared" si="17"/>
        <v>1.5</v>
      </c>
      <c r="AF48" s="746">
        <f t="shared" si="18"/>
        <v>1.8000000000000003</v>
      </c>
      <c r="AG48" s="746">
        <f t="shared" si="19"/>
        <v>4.2000000000000011</v>
      </c>
      <c r="AH48" s="746">
        <f t="shared" si="20"/>
        <v>18.000000000000004</v>
      </c>
      <c r="AI48" s="746">
        <f t="shared" si="21"/>
        <v>25.500000000000007</v>
      </c>
      <c r="AJ48" s="746">
        <f t="shared" si="22"/>
        <v>15</v>
      </c>
      <c r="AK48" s="746">
        <f t="shared" si="23"/>
        <v>6</v>
      </c>
      <c r="AL48" s="746">
        <f t="shared" si="24"/>
        <v>6</v>
      </c>
      <c r="AM48" s="746">
        <f t="shared" si="25"/>
        <v>3</v>
      </c>
      <c r="AN48" s="746">
        <f t="shared" si="26"/>
        <v>1</v>
      </c>
      <c r="AO48" s="746">
        <f t="shared" si="27"/>
        <v>2</v>
      </c>
      <c r="AP48" s="746">
        <f t="shared" si="28"/>
        <v>4</v>
      </c>
      <c r="AQ48" s="746">
        <f t="shared" si="29"/>
        <v>15</v>
      </c>
      <c r="AR48" s="746">
        <f t="shared" si="30"/>
        <v>22</v>
      </c>
    </row>
    <row r="49" spans="1:44">
      <c r="A49" s="746" t="s">
        <v>781</v>
      </c>
      <c r="B49" s="746">
        <v>8270</v>
      </c>
      <c r="C49" s="747">
        <v>689.16666666666663</v>
      </c>
      <c r="D49" s="746">
        <f t="shared" si="33"/>
        <v>690</v>
      </c>
      <c r="E49" s="757">
        <f t="shared" si="34"/>
        <v>4.4118775416251057E-3</v>
      </c>
      <c r="F49" s="746">
        <v>26</v>
      </c>
      <c r="G49" s="746">
        <f t="shared" si="35"/>
        <v>27</v>
      </c>
      <c r="H49" s="746">
        <v>15</v>
      </c>
      <c r="I49" s="747">
        <f t="shared" si="4"/>
        <v>13.885444437555542</v>
      </c>
      <c r="J49" s="746">
        <f t="shared" si="36"/>
        <v>405</v>
      </c>
      <c r="K49" s="746">
        <v>600</v>
      </c>
      <c r="L49" s="746">
        <f t="shared" si="37"/>
        <v>1</v>
      </c>
      <c r="M49" s="746">
        <v>508</v>
      </c>
      <c r="N49" s="746">
        <v>430</v>
      </c>
      <c r="O49" s="746">
        <v>240</v>
      </c>
      <c r="P49" s="746">
        <v>1200</v>
      </c>
      <c r="Q49" s="746">
        <v>1080</v>
      </c>
      <c r="R49" s="746">
        <v>1200</v>
      </c>
      <c r="S49" s="746">
        <f t="shared" si="6"/>
        <v>5</v>
      </c>
      <c r="T49" s="746">
        <f t="shared" si="7"/>
        <v>2</v>
      </c>
      <c r="U49" s="746">
        <f t="shared" si="8"/>
        <v>2</v>
      </c>
      <c r="V49" s="746">
        <f t="shared" si="9"/>
        <v>5</v>
      </c>
      <c r="W49" s="746">
        <f t="shared" si="10"/>
        <v>20</v>
      </c>
      <c r="X49" s="758">
        <f t="shared" si="11"/>
        <v>277.70888875111086</v>
      </c>
      <c r="Y49" s="747">
        <f t="shared" si="12"/>
        <v>3.9370078740157481</v>
      </c>
      <c r="Z49" s="746">
        <f t="shared" si="13"/>
        <v>2</v>
      </c>
      <c r="AA49" s="746">
        <f t="shared" si="14"/>
        <v>52425600</v>
      </c>
      <c r="AB49" s="746">
        <f t="shared" si="15"/>
        <v>1.8513925916740723</v>
      </c>
      <c r="AC49" s="759" t="s">
        <v>594</v>
      </c>
      <c r="AD49" s="746">
        <f t="shared" si="32"/>
        <v>10</v>
      </c>
      <c r="AE49" s="746">
        <f t="shared" si="17"/>
        <v>1</v>
      </c>
      <c r="AF49" s="746">
        <f t="shared" si="18"/>
        <v>1.2000000000000002</v>
      </c>
      <c r="AG49" s="746">
        <f t="shared" si="19"/>
        <v>2.8000000000000003</v>
      </c>
      <c r="AH49" s="746">
        <f t="shared" si="20"/>
        <v>12</v>
      </c>
      <c r="AI49" s="746">
        <f t="shared" si="21"/>
        <v>17</v>
      </c>
      <c r="AJ49" s="746">
        <f t="shared" si="22"/>
        <v>14</v>
      </c>
      <c r="AK49" s="746">
        <f t="shared" si="23"/>
        <v>5</v>
      </c>
      <c r="AL49" s="746">
        <f t="shared" si="24"/>
        <v>5</v>
      </c>
      <c r="AM49" s="746">
        <f t="shared" si="25"/>
        <v>3</v>
      </c>
      <c r="AN49" s="746">
        <f t="shared" si="26"/>
        <v>1</v>
      </c>
      <c r="AO49" s="746">
        <f t="shared" si="27"/>
        <v>1</v>
      </c>
      <c r="AP49" s="746">
        <f t="shared" si="28"/>
        <v>2</v>
      </c>
      <c r="AQ49" s="746">
        <f t="shared" si="29"/>
        <v>9</v>
      </c>
      <c r="AR49" s="746">
        <f t="shared" si="30"/>
        <v>13</v>
      </c>
    </row>
    <row r="50" spans="1:44">
      <c r="A50" s="746" t="s">
        <v>782</v>
      </c>
      <c r="B50" s="746">
        <v>7916</v>
      </c>
      <c r="C50" s="747">
        <v>659.66666666666663</v>
      </c>
      <c r="D50" s="746">
        <f t="shared" si="33"/>
        <v>660</v>
      </c>
      <c r="E50" s="757">
        <f t="shared" si="34"/>
        <v>4.2200567789457532E-3</v>
      </c>
      <c r="F50" s="746">
        <v>26</v>
      </c>
      <c r="G50" s="746">
        <f t="shared" si="35"/>
        <v>26</v>
      </c>
      <c r="H50" s="746">
        <v>15</v>
      </c>
      <c r="I50" s="747">
        <f t="shared" si="4"/>
        <v>9.8782185753347882</v>
      </c>
      <c r="J50" s="746">
        <f t="shared" si="36"/>
        <v>390</v>
      </c>
      <c r="K50" s="746">
        <v>600</v>
      </c>
      <c r="L50" s="746">
        <f t="shared" si="37"/>
        <v>1</v>
      </c>
      <c r="M50" s="746">
        <v>560</v>
      </c>
      <c r="N50" s="746">
        <v>370</v>
      </c>
      <c r="O50" s="746">
        <v>180</v>
      </c>
      <c r="P50" s="746">
        <v>1200</v>
      </c>
      <c r="Q50" s="746">
        <v>1080</v>
      </c>
      <c r="R50" s="746">
        <v>1200</v>
      </c>
      <c r="S50" s="746">
        <f t="shared" si="6"/>
        <v>7</v>
      </c>
      <c r="T50" s="746">
        <f t="shared" si="7"/>
        <v>2</v>
      </c>
      <c r="U50" s="746">
        <f t="shared" si="8"/>
        <v>2</v>
      </c>
      <c r="V50" s="746">
        <f t="shared" si="9"/>
        <v>7</v>
      </c>
      <c r="W50" s="746">
        <f t="shared" si="10"/>
        <v>28</v>
      </c>
      <c r="X50" s="758">
        <f t="shared" si="11"/>
        <v>276.59012010937408</v>
      </c>
      <c r="Y50" s="747">
        <f t="shared" si="12"/>
        <v>3.9370078740157481</v>
      </c>
      <c r="Z50" s="746">
        <f t="shared" si="13"/>
        <v>1</v>
      </c>
      <c r="AA50" s="746">
        <f t="shared" si="14"/>
        <v>37296000</v>
      </c>
      <c r="AB50" s="746">
        <f t="shared" si="15"/>
        <v>1.3170958100446384</v>
      </c>
      <c r="AC50" s="759" t="s">
        <v>594</v>
      </c>
      <c r="AD50" s="746">
        <f t="shared" si="32"/>
        <v>5</v>
      </c>
      <c r="AE50" s="746">
        <f t="shared" si="17"/>
        <v>0.5</v>
      </c>
      <c r="AF50" s="746">
        <f t="shared" si="18"/>
        <v>0.60000000000000009</v>
      </c>
      <c r="AG50" s="746">
        <f t="shared" si="19"/>
        <v>1.4000000000000001</v>
      </c>
      <c r="AH50" s="746">
        <f t="shared" si="20"/>
        <v>6</v>
      </c>
      <c r="AI50" s="746">
        <f t="shared" si="21"/>
        <v>8.5</v>
      </c>
      <c r="AJ50" s="746">
        <f t="shared" si="22"/>
        <v>13</v>
      </c>
      <c r="AK50" s="746">
        <f t="shared" si="23"/>
        <v>5</v>
      </c>
      <c r="AL50" s="746">
        <f t="shared" si="24"/>
        <v>5</v>
      </c>
      <c r="AM50" s="746">
        <f t="shared" si="25"/>
        <v>3</v>
      </c>
      <c r="AN50" s="746">
        <f t="shared" si="26"/>
        <v>0</v>
      </c>
      <c r="AO50" s="746">
        <f t="shared" si="27"/>
        <v>1</v>
      </c>
      <c r="AP50" s="746">
        <f t="shared" si="28"/>
        <v>1</v>
      </c>
      <c r="AQ50" s="746">
        <f t="shared" si="29"/>
        <v>6</v>
      </c>
      <c r="AR50" s="746">
        <f t="shared" si="30"/>
        <v>8</v>
      </c>
    </row>
    <row r="51" spans="1:44">
      <c r="A51" s="746" t="s">
        <v>783</v>
      </c>
      <c r="B51" s="746">
        <v>7719</v>
      </c>
      <c r="C51" s="747">
        <v>643.25</v>
      </c>
      <c r="D51" s="746">
        <f t="shared" si="33"/>
        <v>644</v>
      </c>
      <c r="E51" s="757">
        <f t="shared" si="34"/>
        <v>4.1177523721834322E-3</v>
      </c>
      <c r="F51" s="746">
        <v>26</v>
      </c>
      <c r="G51" s="746">
        <f t="shared" si="35"/>
        <v>25</v>
      </c>
      <c r="H51" s="746">
        <v>15</v>
      </c>
      <c r="I51" s="747">
        <f t="shared" si="4"/>
        <v>32.800564236111114</v>
      </c>
      <c r="J51" s="746">
        <f t="shared" si="36"/>
        <v>375</v>
      </c>
      <c r="K51" s="746">
        <v>600</v>
      </c>
      <c r="L51" s="746">
        <f t="shared" si="37"/>
        <v>1</v>
      </c>
      <c r="M51" s="746">
        <v>1092.2</v>
      </c>
      <c r="N51" s="746">
        <v>469.9</v>
      </c>
      <c r="O51" s="746">
        <v>241.29999999999998</v>
      </c>
      <c r="P51" s="746">
        <v>1200</v>
      </c>
      <c r="Q51" s="746">
        <v>1080</v>
      </c>
      <c r="R51" s="746">
        <v>1200</v>
      </c>
      <c r="S51" s="746">
        <f t="shared" si="6"/>
        <v>5</v>
      </c>
      <c r="T51" s="746">
        <f t="shared" si="7"/>
        <v>1</v>
      </c>
      <c r="U51" s="746">
        <f t="shared" si="8"/>
        <v>2</v>
      </c>
      <c r="V51" s="746">
        <f t="shared" si="9"/>
        <v>5</v>
      </c>
      <c r="W51" s="746">
        <f t="shared" si="10"/>
        <v>10</v>
      </c>
      <c r="X51" s="758">
        <f t="shared" si="11"/>
        <v>328.00564236111114</v>
      </c>
      <c r="Y51" s="747">
        <f t="shared" si="12"/>
        <v>3.9370078740157481</v>
      </c>
      <c r="Z51" s="746">
        <f t="shared" si="13"/>
        <v>3</v>
      </c>
      <c r="AA51" s="746">
        <f t="shared" si="14"/>
        <v>123841139.41399999</v>
      </c>
      <c r="AB51" s="746">
        <f t="shared" si="15"/>
        <v>4.3734085648148149</v>
      </c>
      <c r="AC51" s="759" t="s">
        <v>594</v>
      </c>
      <c r="AD51" s="746">
        <f t="shared" si="32"/>
        <v>15</v>
      </c>
      <c r="AE51" s="746">
        <f t="shared" si="17"/>
        <v>1.5</v>
      </c>
      <c r="AF51" s="746">
        <f t="shared" si="18"/>
        <v>1.8000000000000003</v>
      </c>
      <c r="AG51" s="746">
        <f t="shared" si="19"/>
        <v>4.2000000000000011</v>
      </c>
      <c r="AH51" s="746">
        <f t="shared" si="20"/>
        <v>18.000000000000004</v>
      </c>
      <c r="AI51" s="746">
        <f t="shared" si="21"/>
        <v>25.500000000000007</v>
      </c>
      <c r="AJ51" s="746">
        <f t="shared" si="22"/>
        <v>13</v>
      </c>
      <c r="AK51" s="746">
        <f t="shared" si="23"/>
        <v>5</v>
      </c>
      <c r="AL51" s="746">
        <f t="shared" si="24"/>
        <v>5</v>
      </c>
      <c r="AM51" s="746">
        <f t="shared" si="25"/>
        <v>3</v>
      </c>
      <c r="AN51" s="746">
        <f t="shared" si="26"/>
        <v>1</v>
      </c>
      <c r="AO51" s="746">
        <f t="shared" si="27"/>
        <v>2</v>
      </c>
      <c r="AP51" s="746">
        <f t="shared" si="28"/>
        <v>4</v>
      </c>
      <c r="AQ51" s="746">
        <f t="shared" si="29"/>
        <v>18</v>
      </c>
      <c r="AR51" s="746">
        <f t="shared" si="30"/>
        <v>25</v>
      </c>
    </row>
    <row r="52" spans="1:44">
      <c r="A52" s="746" t="s">
        <v>784</v>
      </c>
      <c r="B52" s="746">
        <v>7702</v>
      </c>
      <c r="C52" s="747">
        <v>641.83333333333326</v>
      </c>
      <c r="D52" s="746">
        <f t="shared" si="33"/>
        <v>642</v>
      </c>
      <c r="E52" s="757">
        <f t="shared" si="34"/>
        <v>4.1049643213381419E-3</v>
      </c>
      <c r="F52" s="746">
        <v>26</v>
      </c>
      <c r="G52" s="746">
        <f t="shared" si="35"/>
        <v>25</v>
      </c>
      <c r="H52" s="746">
        <v>15</v>
      </c>
      <c r="I52" s="747">
        <f t="shared" si="4"/>
        <v>10.628302096499207</v>
      </c>
      <c r="J52" s="746">
        <f t="shared" si="36"/>
        <v>375</v>
      </c>
      <c r="K52" s="746">
        <v>600</v>
      </c>
      <c r="L52" s="746">
        <f t="shared" si="37"/>
        <v>1</v>
      </c>
      <c r="M52" s="746">
        <v>660</v>
      </c>
      <c r="N52" s="746">
        <v>380</v>
      </c>
      <c r="O52" s="746">
        <v>160</v>
      </c>
      <c r="P52" s="746">
        <v>1200</v>
      </c>
      <c r="Q52" s="746">
        <v>1080</v>
      </c>
      <c r="R52" s="746">
        <v>1200</v>
      </c>
      <c r="S52" s="746">
        <f t="shared" si="6"/>
        <v>8</v>
      </c>
      <c r="T52" s="746">
        <f t="shared" si="7"/>
        <v>1</v>
      </c>
      <c r="U52" s="746">
        <f t="shared" si="8"/>
        <v>2</v>
      </c>
      <c r="V52" s="746">
        <f t="shared" si="9"/>
        <v>8</v>
      </c>
      <c r="W52" s="746">
        <f t="shared" si="10"/>
        <v>16</v>
      </c>
      <c r="X52" s="758">
        <f t="shared" si="11"/>
        <v>170.0528335439873</v>
      </c>
      <c r="Y52" s="747">
        <f t="shared" si="12"/>
        <v>3.9370078740157481</v>
      </c>
      <c r="Z52" s="746">
        <f t="shared" si="13"/>
        <v>2</v>
      </c>
      <c r="AA52" s="746">
        <f t="shared" si="14"/>
        <v>40128000</v>
      </c>
      <c r="AB52" s="746">
        <f t="shared" si="15"/>
        <v>1.4171069461998942</v>
      </c>
      <c r="AC52" s="759" t="s">
        <v>594</v>
      </c>
      <c r="AD52" s="746">
        <f t="shared" si="32"/>
        <v>10</v>
      </c>
      <c r="AE52" s="746">
        <f t="shared" si="17"/>
        <v>1</v>
      </c>
      <c r="AF52" s="746">
        <f t="shared" si="18"/>
        <v>1.2000000000000002</v>
      </c>
      <c r="AG52" s="746">
        <f t="shared" si="19"/>
        <v>2.8000000000000003</v>
      </c>
      <c r="AH52" s="746">
        <f t="shared" si="20"/>
        <v>12</v>
      </c>
      <c r="AI52" s="746">
        <f t="shared" si="21"/>
        <v>17</v>
      </c>
      <c r="AJ52" s="746">
        <f t="shared" si="22"/>
        <v>13</v>
      </c>
      <c r="AK52" s="746">
        <f t="shared" si="23"/>
        <v>5</v>
      </c>
      <c r="AL52" s="746">
        <f t="shared" si="24"/>
        <v>5</v>
      </c>
      <c r="AM52" s="746">
        <f t="shared" si="25"/>
        <v>3</v>
      </c>
      <c r="AN52" s="746">
        <f t="shared" si="26"/>
        <v>1</v>
      </c>
      <c r="AO52" s="746">
        <f t="shared" si="27"/>
        <v>1</v>
      </c>
      <c r="AP52" s="746">
        <f t="shared" si="28"/>
        <v>2</v>
      </c>
      <c r="AQ52" s="746">
        <f t="shared" si="29"/>
        <v>11</v>
      </c>
      <c r="AR52" s="746">
        <f t="shared" si="30"/>
        <v>15</v>
      </c>
    </row>
    <row r="53" spans="1:44">
      <c r="A53" s="746" t="s">
        <v>785</v>
      </c>
      <c r="B53" s="746">
        <v>7411</v>
      </c>
      <c r="C53" s="747">
        <v>617.58333333333337</v>
      </c>
      <c r="D53" s="746">
        <f t="shared" si="33"/>
        <v>618</v>
      </c>
      <c r="E53" s="757">
        <f t="shared" si="34"/>
        <v>3.9515077111946595E-3</v>
      </c>
      <c r="F53" s="746">
        <v>26</v>
      </c>
      <c r="G53" s="746">
        <f t="shared" si="35"/>
        <v>24</v>
      </c>
      <c r="H53" s="746">
        <v>15</v>
      </c>
      <c r="I53" s="747">
        <f t="shared" si="4"/>
        <v>4.0830817663385108</v>
      </c>
      <c r="J53" s="746">
        <f t="shared" si="36"/>
        <v>360</v>
      </c>
      <c r="K53" s="746">
        <v>600</v>
      </c>
      <c r="L53" s="746">
        <f t="shared" si="37"/>
        <v>1</v>
      </c>
      <c r="M53" s="746">
        <v>410</v>
      </c>
      <c r="N53" s="746">
        <v>235</v>
      </c>
      <c r="O53" s="746">
        <v>160</v>
      </c>
      <c r="P53" s="746">
        <v>1200</v>
      </c>
      <c r="Q53" s="746">
        <v>1080</v>
      </c>
      <c r="R53" s="746">
        <v>1200</v>
      </c>
      <c r="S53" s="746">
        <f t="shared" si="6"/>
        <v>8</v>
      </c>
      <c r="T53" s="746">
        <f t="shared" si="7"/>
        <v>2</v>
      </c>
      <c r="U53" s="746">
        <f t="shared" si="8"/>
        <v>4</v>
      </c>
      <c r="V53" s="746">
        <f t="shared" si="9"/>
        <v>8</v>
      </c>
      <c r="W53" s="746">
        <f t="shared" si="10"/>
        <v>64</v>
      </c>
      <c r="X53" s="758">
        <f t="shared" si="11"/>
        <v>261.31723304566469</v>
      </c>
      <c r="Y53" s="747">
        <f t="shared" si="12"/>
        <v>3.9370078740157481</v>
      </c>
      <c r="Z53" s="746">
        <f t="shared" si="13"/>
        <v>1</v>
      </c>
      <c r="AA53" s="746">
        <f t="shared" si="14"/>
        <v>15416000</v>
      </c>
      <c r="AB53" s="746">
        <f t="shared" si="15"/>
        <v>0.5444109021784681</v>
      </c>
      <c r="AC53" s="759" t="s">
        <v>594</v>
      </c>
      <c r="AD53" s="746">
        <f t="shared" si="32"/>
        <v>5</v>
      </c>
      <c r="AE53" s="746">
        <f t="shared" si="17"/>
        <v>0.5</v>
      </c>
      <c r="AF53" s="746">
        <f t="shared" si="18"/>
        <v>0.60000000000000009</v>
      </c>
      <c r="AG53" s="746">
        <f t="shared" si="19"/>
        <v>1.4000000000000001</v>
      </c>
      <c r="AH53" s="746">
        <f t="shared" si="20"/>
        <v>6</v>
      </c>
      <c r="AI53" s="746">
        <f t="shared" si="21"/>
        <v>8.5</v>
      </c>
      <c r="AJ53" s="746">
        <f t="shared" si="22"/>
        <v>12</v>
      </c>
      <c r="AK53" s="746">
        <f t="shared" si="23"/>
        <v>5</v>
      </c>
      <c r="AL53" s="746">
        <f t="shared" si="24"/>
        <v>5</v>
      </c>
      <c r="AM53" s="746">
        <f t="shared" si="25"/>
        <v>2</v>
      </c>
      <c r="AN53" s="746">
        <f t="shared" si="26"/>
        <v>0</v>
      </c>
      <c r="AO53" s="746">
        <f t="shared" si="27"/>
        <v>0</v>
      </c>
      <c r="AP53" s="746">
        <f t="shared" si="28"/>
        <v>1</v>
      </c>
      <c r="AQ53" s="746">
        <f t="shared" si="29"/>
        <v>2</v>
      </c>
      <c r="AR53" s="746">
        <f t="shared" si="30"/>
        <v>3</v>
      </c>
    </row>
    <row r="54" spans="1:44">
      <c r="A54" s="746" t="s">
        <v>786</v>
      </c>
      <c r="B54" s="746">
        <v>6703</v>
      </c>
      <c r="C54" s="747">
        <v>558.58333333333337</v>
      </c>
      <c r="D54" s="746">
        <f t="shared" si="33"/>
        <v>559</v>
      </c>
      <c r="E54" s="757">
        <f t="shared" si="34"/>
        <v>3.5742602112586001E-3</v>
      </c>
      <c r="F54" s="746">
        <v>26</v>
      </c>
      <c r="G54" s="746">
        <f t="shared" si="35"/>
        <v>22</v>
      </c>
      <c r="H54" s="746">
        <v>15</v>
      </c>
      <c r="I54" s="747">
        <f t="shared" si="4"/>
        <v>0.79815561123904399</v>
      </c>
      <c r="J54" s="746">
        <f t="shared" si="36"/>
        <v>330</v>
      </c>
      <c r="K54" s="746">
        <v>600</v>
      </c>
      <c r="L54" s="746">
        <f t="shared" si="37"/>
        <v>1</v>
      </c>
      <c r="M54" s="746">
        <v>205</v>
      </c>
      <c r="N54" s="746">
        <v>105</v>
      </c>
      <c r="O54" s="746">
        <v>140</v>
      </c>
      <c r="P54" s="746">
        <v>1200</v>
      </c>
      <c r="Q54" s="746">
        <v>1080</v>
      </c>
      <c r="R54" s="746">
        <v>1200</v>
      </c>
      <c r="S54" s="746">
        <f t="shared" si="6"/>
        <v>9</v>
      </c>
      <c r="T54" s="746">
        <f>ROUNDDOWN(P54/M54,0)-2</f>
        <v>3</v>
      </c>
      <c r="U54" s="746">
        <f>ROUNDDOWN(Q54/N54,0)-5</f>
        <v>5</v>
      </c>
      <c r="V54" s="746">
        <f t="shared" si="9"/>
        <v>9</v>
      </c>
      <c r="W54" s="746">
        <f t="shared" si="10"/>
        <v>135</v>
      </c>
      <c r="X54" s="758">
        <f t="shared" si="11"/>
        <v>107.75100751727093</v>
      </c>
      <c r="Y54" s="747">
        <f t="shared" si="12"/>
        <v>3.9370078740157481</v>
      </c>
      <c r="Z54" s="746">
        <f t="shared" si="13"/>
        <v>1</v>
      </c>
      <c r="AA54" s="746">
        <f t="shared" si="14"/>
        <v>3013500</v>
      </c>
      <c r="AB54" s="746">
        <f t="shared" si="15"/>
        <v>0.10642074816520587</v>
      </c>
      <c r="AC54" s="759" t="s">
        <v>594</v>
      </c>
      <c r="AD54" s="746">
        <f t="shared" si="32"/>
        <v>5</v>
      </c>
      <c r="AE54" s="746">
        <f t="shared" si="17"/>
        <v>0.5</v>
      </c>
      <c r="AF54" s="746">
        <f t="shared" si="18"/>
        <v>0.60000000000000009</v>
      </c>
      <c r="AG54" s="746">
        <f t="shared" si="19"/>
        <v>1.4000000000000001</v>
      </c>
      <c r="AH54" s="746">
        <f t="shared" si="20"/>
        <v>6</v>
      </c>
      <c r="AI54" s="746">
        <f t="shared" si="21"/>
        <v>8.5</v>
      </c>
      <c r="AJ54" s="746">
        <f t="shared" si="22"/>
        <v>11</v>
      </c>
      <c r="AK54" s="746">
        <f t="shared" si="23"/>
        <v>4</v>
      </c>
      <c r="AL54" s="746">
        <f t="shared" si="24"/>
        <v>4</v>
      </c>
      <c r="AM54" s="746">
        <f t="shared" si="25"/>
        <v>2</v>
      </c>
      <c r="AN54" s="746">
        <f t="shared" si="26"/>
        <v>0</v>
      </c>
      <c r="AO54" s="746">
        <f t="shared" si="27"/>
        <v>0</v>
      </c>
      <c r="AP54" s="746">
        <f t="shared" si="28"/>
        <v>0</v>
      </c>
      <c r="AQ54" s="746">
        <f t="shared" si="29"/>
        <v>1</v>
      </c>
      <c r="AR54" s="746">
        <f t="shared" si="30"/>
        <v>1</v>
      </c>
    </row>
    <row r="55" spans="1:44">
      <c r="A55" s="746" t="s">
        <v>787</v>
      </c>
      <c r="B55" s="746">
        <v>6541</v>
      </c>
      <c r="C55" s="747">
        <v>545.08333333333337</v>
      </c>
      <c r="D55" s="746">
        <f t="shared" si="33"/>
        <v>546</v>
      </c>
      <c r="E55" s="757">
        <f t="shared" si="34"/>
        <v>3.4911378807642138E-3</v>
      </c>
      <c r="F55" s="746">
        <v>26</v>
      </c>
      <c r="G55" s="746">
        <f t="shared" si="35"/>
        <v>21</v>
      </c>
      <c r="H55" s="746">
        <v>15</v>
      </c>
      <c r="I55" s="747">
        <f t="shared" si="4"/>
        <v>2.4671709038299965</v>
      </c>
      <c r="J55" s="746">
        <f t="shared" si="36"/>
        <v>315</v>
      </c>
      <c r="K55" s="746">
        <v>600</v>
      </c>
      <c r="L55" s="746">
        <f t="shared" si="37"/>
        <v>1</v>
      </c>
      <c r="M55" s="746">
        <v>230</v>
      </c>
      <c r="N55" s="746">
        <v>225</v>
      </c>
      <c r="O55" s="746">
        <v>180</v>
      </c>
      <c r="P55" s="746">
        <v>1200</v>
      </c>
      <c r="Q55" s="746">
        <v>1080</v>
      </c>
      <c r="R55" s="746">
        <v>1200</v>
      </c>
      <c r="S55" s="746">
        <f t="shared" si="6"/>
        <v>7</v>
      </c>
      <c r="T55" s="746">
        <f t="shared" si="7"/>
        <v>5</v>
      </c>
      <c r="U55" s="746">
        <f t="shared" si="8"/>
        <v>4</v>
      </c>
      <c r="V55" s="746">
        <f t="shared" si="9"/>
        <v>7</v>
      </c>
      <c r="W55" s="746">
        <f t="shared" si="10"/>
        <v>140</v>
      </c>
      <c r="X55" s="758">
        <f t="shared" si="11"/>
        <v>345.40392653619949</v>
      </c>
      <c r="Y55" s="747">
        <f t="shared" si="12"/>
        <v>3.9370078740157481</v>
      </c>
      <c r="Z55" s="746">
        <f t="shared" si="13"/>
        <v>1</v>
      </c>
      <c r="AA55" s="746">
        <f t="shared" si="14"/>
        <v>9315000</v>
      </c>
      <c r="AB55" s="746">
        <f t="shared" si="15"/>
        <v>0.32895612051066619</v>
      </c>
      <c r="AC55" s="759" t="s">
        <v>594</v>
      </c>
      <c r="AD55" s="746">
        <f t="shared" si="32"/>
        <v>5</v>
      </c>
      <c r="AE55" s="746">
        <f t="shared" si="17"/>
        <v>0.5</v>
      </c>
      <c r="AF55" s="746">
        <f t="shared" si="18"/>
        <v>0.60000000000000009</v>
      </c>
      <c r="AG55" s="746">
        <f t="shared" si="19"/>
        <v>1.4000000000000001</v>
      </c>
      <c r="AH55" s="746">
        <f t="shared" si="20"/>
        <v>6</v>
      </c>
      <c r="AI55" s="746">
        <f t="shared" si="21"/>
        <v>8.5</v>
      </c>
      <c r="AJ55" s="746">
        <f t="shared" si="22"/>
        <v>11</v>
      </c>
      <c r="AK55" s="746">
        <f t="shared" si="23"/>
        <v>4</v>
      </c>
      <c r="AL55" s="746">
        <f t="shared" si="24"/>
        <v>4</v>
      </c>
      <c r="AM55" s="746">
        <f t="shared" si="25"/>
        <v>2</v>
      </c>
      <c r="AN55" s="746">
        <f t="shared" si="26"/>
        <v>0</v>
      </c>
      <c r="AO55" s="746">
        <f t="shared" si="27"/>
        <v>0</v>
      </c>
      <c r="AP55" s="746">
        <f t="shared" si="28"/>
        <v>0</v>
      </c>
      <c r="AQ55" s="746">
        <f t="shared" si="29"/>
        <v>1</v>
      </c>
      <c r="AR55" s="746">
        <f t="shared" si="30"/>
        <v>1</v>
      </c>
    </row>
    <row r="56" spans="1:44">
      <c r="A56" s="746" t="s">
        <v>788</v>
      </c>
      <c r="B56" s="746">
        <v>6400</v>
      </c>
      <c r="C56" s="747">
        <v>533.33333333333337</v>
      </c>
      <c r="D56" s="746">
        <f t="shared" si="33"/>
        <v>534</v>
      </c>
      <c r="E56" s="757">
        <f t="shared" si="34"/>
        <v>3.4144095756924731E-3</v>
      </c>
      <c r="F56" s="746">
        <v>26</v>
      </c>
      <c r="G56" s="746">
        <f t="shared" si="35"/>
        <v>21</v>
      </c>
      <c r="H56" s="746">
        <v>15</v>
      </c>
      <c r="I56" s="747">
        <f t="shared" si="4"/>
        <v>14.583333333333336</v>
      </c>
      <c r="J56" s="746">
        <f t="shared" si="36"/>
        <v>315</v>
      </c>
      <c r="K56" s="746">
        <v>600</v>
      </c>
      <c r="L56" s="746">
        <f t="shared" si="37"/>
        <v>1</v>
      </c>
      <c r="M56" s="746">
        <v>889</v>
      </c>
      <c r="N56" s="746">
        <v>406.4</v>
      </c>
      <c r="O56" s="746">
        <v>152.4</v>
      </c>
      <c r="P56" s="746">
        <v>1200</v>
      </c>
      <c r="Q56" s="746">
        <v>1080</v>
      </c>
      <c r="R56" s="746">
        <v>1200</v>
      </c>
      <c r="S56" s="746">
        <f t="shared" si="6"/>
        <v>8</v>
      </c>
      <c r="T56" s="746">
        <f t="shared" si="7"/>
        <v>1</v>
      </c>
      <c r="U56" s="746">
        <f t="shared" si="8"/>
        <v>2</v>
      </c>
      <c r="V56" s="746">
        <f t="shared" si="9"/>
        <v>8</v>
      </c>
      <c r="W56" s="746">
        <f t="shared" si="10"/>
        <v>16</v>
      </c>
      <c r="X56" s="758">
        <f t="shared" si="11"/>
        <v>233.33333333333337</v>
      </c>
      <c r="Y56" s="747">
        <f t="shared" si="12"/>
        <v>3.9370078740157481</v>
      </c>
      <c r="Z56" s="746">
        <f t="shared" si="13"/>
        <v>2</v>
      </c>
      <c r="AA56" s="746">
        <f t="shared" si="14"/>
        <v>55060535.039999999</v>
      </c>
      <c r="AB56" s="746">
        <f t="shared" si="15"/>
        <v>1.9444444444444446</v>
      </c>
      <c r="AC56" s="759" t="s">
        <v>594</v>
      </c>
      <c r="AD56" s="746">
        <f t="shared" si="32"/>
        <v>10</v>
      </c>
      <c r="AE56" s="746">
        <f t="shared" si="17"/>
        <v>1</v>
      </c>
      <c r="AF56" s="746">
        <f t="shared" si="18"/>
        <v>1.2000000000000002</v>
      </c>
      <c r="AG56" s="746">
        <f t="shared" si="19"/>
        <v>2.8000000000000003</v>
      </c>
      <c r="AH56" s="746">
        <f t="shared" si="20"/>
        <v>12</v>
      </c>
      <c r="AI56" s="746">
        <f t="shared" si="21"/>
        <v>17</v>
      </c>
      <c r="AJ56" s="746">
        <f t="shared" si="22"/>
        <v>11</v>
      </c>
      <c r="AK56" s="746">
        <f t="shared" si="23"/>
        <v>4</v>
      </c>
      <c r="AL56" s="746">
        <f t="shared" si="24"/>
        <v>4</v>
      </c>
      <c r="AM56" s="746">
        <f t="shared" si="25"/>
        <v>2</v>
      </c>
      <c r="AN56" s="746">
        <f t="shared" si="26"/>
        <v>1</v>
      </c>
      <c r="AO56" s="746">
        <f t="shared" si="27"/>
        <v>1</v>
      </c>
      <c r="AP56" s="746">
        <f t="shared" si="28"/>
        <v>2</v>
      </c>
      <c r="AQ56" s="746">
        <f t="shared" si="29"/>
        <v>8</v>
      </c>
      <c r="AR56" s="746">
        <f t="shared" si="30"/>
        <v>12</v>
      </c>
    </row>
    <row r="57" spans="1:44">
      <c r="A57" s="746" t="s">
        <v>789</v>
      </c>
      <c r="B57" s="746">
        <v>6222</v>
      </c>
      <c r="C57" s="747">
        <v>518.5</v>
      </c>
      <c r="D57" s="746">
        <f t="shared" si="33"/>
        <v>519</v>
      </c>
      <c r="E57" s="757">
        <f t="shared" si="34"/>
        <v>3.3184991943527968E-3</v>
      </c>
      <c r="F57" s="746">
        <v>26</v>
      </c>
      <c r="G57" s="746">
        <f t="shared" si="35"/>
        <v>20</v>
      </c>
      <c r="H57" s="746">
        <v>15</v>
      </c>
      <c r="I57" s="747">
        <f t="shared" si="4"/>
        <v>0.51449055079868689</v>
      </c>
      <c r="J57" s="746">
        <f t="shared" si="36"/>
        <v>300</v>
      </c>
      <c r="K57" s="746">
        <v>600</v>
      </c>
      <c r="L57" s="746">
        <f t="shared" si="37"/>
        <v>1</v>
      </c>
      <c r="M57" s="746">
        <v>555</v>
      </c>
      <c r="N57" s="746">
        <v>500</v>
      </c>
      <c r="O57" s="746">
        <v>7</v>
      </c>
      <c r="P57" s="746">
        <v>1200</v>
      </c>
      <c r="Q57" s="746">
        <v>1080</v>
      </c>
      <c r="R57" s="746">
        <v>1200</v>
      </c>
      <c r="S57" s="746">
        <f t="shared" si="6"/>
        <v>171</v>
      </c>
      <c r="T57" s="746">
        <f t="shared" si="7"/>
        <v>2</v>
      </c>
      <c r="U57" s="746">
        <f t="shared" si="8"/>
        <v>2</v>
      </c>
      <c r="V57" s="746">
        <f t="shared" si="9"/>
        <v>171</v>
      </c>
      <c r="W57" s="746">
        <f t="shared" si="10"/>
        <v>684</v>
      </c>
      <c r="X57" s="758">
        <f t="shared" si="11"/>
        <v>351.91153674630181</v>
      </c>
      <c r="Y57" s="747">
        <f t="shared" si="12"/>
        <v>3.9370078740157481</v>
      </c>
      <c r="Z57" s="746">
        <f t="shared" si="13"/>
        <v>1</v>
      </c>
      <c r="AA57" s="746">
        <f t="shared" si="14"/>
        <v>1942500</v>
      </c>
      <c r="AB57" s="746">
        <f t="shared" si="15"/>
        <v>6.8598740106491585E-2</v>
      </c>
      <c r="AC57" s="759" t="s">
        <v>594</v>
      </c>
      <c r="AD57" s="746">
        <f t="shared" si="32"/>
        <v>5</v>
      </c>
      <c r="AE57" s="746">
        <f t="shared" si="17"/>
        <v>0.5</v>
      </c>
      <c r="AF57" s="746">
        <f t="shared" si="18"/>
        <v>0.60000000000000009</v>
      </c>
      <c r="AG57" s="746">
        <f t="shared" si="19"/>
        <v>1.4000000000000001</v>
      </c>
      <c r="AH57" s="746">
        <f t="shared" si="20"/>
        <v>6</v>
      </c>
      <c r="AI57" s="746">
        <f t="shared" si="21"/>
        <v>8.5</v>
      </c>
      <c r="AJ57" s="746">
        <f t="shared" si="22"/>
        <v>10</v>
      </c>
      <c r="AK57" s="746">
        <f t="shared" si="23"/>
        <v>4</v>
      </c>
      <c r="AL57" s="746">
        <f t="shared" si="24"/>
        <v>4</v>
      </c>
      <c r="AM57" s="746">
        <f t="shared" si="25"/>
        <v>2</v>
      </c>
      <c r="AN57" s="746">
        <f t="shared" si="26"/>
        <v>0</v>
      </c>
      <c r="AO57" s="746">
        <f t="shared" si="27"/>
        <v>0</v>
      </c>
      <c r="AP57" s="746">
        <f t="shared" si="28"/>
        <v>0</v>
      </c>
      <c r="AQ57" s="746">
        <f t="shared" si="29"/>
        <v>0</v>
      </c>
      <c r="AR57" s="746">
        <f t="shared" si="30"/>
        <v>0</v>
      </c>
    </row>
    <row r="58" spans="1:44">
      <c r="A58" s="746" t="s">
        <v>790</v>
      </c>
      <c r="B58" s="746">
        <v>5781</v>
      </c>
      <c r="C58" s="747">
        <v>481.74999999999994</v>
      </c>
      <c r="D58" s="746">
        <f t="shared" si="33"/>
        <v>482</v>
      </c>
      <c r="E58" s="757">
        <f t="shared" si="34"/>
        <v>3.081920253714929E-3</v>
      </c>
      <c r="F58" s="746">
        <v>26</v>
      </c>
      <c r="G58" s="746">
        <f t="shared" si="35"/>
        <v>19</v>
      </c>
      <c r="H58" s="746">
        <v>15</v>
      </c>
      <c r="I58" s="747">
        <f t="shared" si="4"/>
        <v>9.7298969751045359</v>
      </c>
      <c r="J58" s="746">
        <f t="shared" si="36"/>
        <v>285</v>
      </c>
      <c r="K58" s="746">
        <v>600</v>
      </c>
      <c r="L58" s="746">
        <f t="shared" si="37"/>
        <v>1</v>
      </c>
      <c r="M58" s="746">
        <v>560</v>
      </c>
      <c r="N58" s="746">
        <v>410</v>
      </c>
      <c r="O58" s="746">
        <v>160</v>
      </c>
      <c r="P58" s="746">
        <v>1200</v>
      </c>
      <c r="Q58" s="746">
        <v>1080</v>
      </c>
      <c r="R58" s="746">
        <v>1200</v>
      </c>
      <c r="S58" s="746">
        <f t="shared" si="6"/>
        <v>8</v>
      </c>
      <c r="T58" s="746">
        <f t="shared" si="7"/>
        <v>2</v>
      </c>
      <c r="U58" s="746">
        <f t="shared" si="8"/>
        <v>2</v>
      </c>
      <c r="V58" s="746">
        <f t="shared" si="9"/>
        <v>8</v>
      </c>
      <c r="W58" s="746">
        <f t="shared" si="10"/>
        <v>32</v>
      </c>
      <c r="X58" s="758">
        <f t="shared" si="11"/>
        <v>311.35670320334515</v>
      </c>
      <c r="Y58" s="747">
        <f t="shared" si="12"/>
        <v>3.9370078740157481</v>
      </c>
      <c r="Z58" s="746">
        <f t="shared" si="13"/>
        <v>1</v>
      </c>
      <c r="AA58" s="746">
        <f t="shared" si="14"/>
        <v>36736000</v>
      </c>
      <c r="AB58" s="746">
        <f t="shared" si="15"/>
        <v>1.2973195966806048</v>
      </c>
      <c r="AC58" s="759" t="s">
        <v>594</v>
      </c>
      <c r="AD58" s="746">
        <f t="shared" si="32"/>
        <v>5</v>
      </c>
      <c r="AE58" s="746">
        <f t="shared" si="17"/>
        <v>0.5</v>
      </c>
      <c r="AF58" s="746">
        <f t="shared" si="18"/>
        <v>0.60000000000000009</v>
      </c>
      <c r="AG58" s="746">
        <f t="shared" si="19"/>
        <v>1.4000000000000001</v>
      </c>
      <c r="AH58" s="746">
        <f t="shared" si="20"/>
        <v>6</v>
      </c>
      <c r="AI58" s="746">
        <f t="shared" si="21"/>
        <v>8.5</v>
      </c>
      <c r="AJ58" s="746">
        <f t="shared" si="22"/>
        <v>10</v>
      </c>
      <c r="AK58" s="746">
        <f t="shared" si="23"/>
        <v>4</v>
      </c>
      <c r="AL58" s="746">
        <f t="shared" si="24"/>
        <v>4</v>
      </c>
      <c r="AM58" s="746">
        <f t="shared" si="25"/>
        <v>2</v>
      </c>
      <c r="AN58" s="746">
        <f t="shared" si="26"/>
        <v>0</v>
      </c>
      <c r="AO58" s="746">
        <f t="shared" si="27"/>
        <v>0</v>
      </c>
      <c r="AP58" s="746">
        <f t="shared" si="28"/>
        <v>1</v>
      </c>
      <c r="AQ58" s="746">
        <f t="shared" si="29"/>
        <v>4</v>
      </c>
      <c r="AR58" s="746">
        <f t="shared" si="30"/>
        <v>5</v>
      </c>
    </row>
    <row r="59" spans="1:44">
      <c r="A59" s="746" t="s">
        <v>791</v>
      </c>
      <c r="B59" s="746">
        <v>5605</v>
      </c>
      <c r="C59" s="747">
        <v>467.08333333333331</v>
      </c>
      <c r="D59" s="746">
        <f t="shared" si="33"/>
        <v>468</v>
      </c>
      <c r="E59" s="757">
        <f t="shared" si="34"/>
        <v>2.9924038977978975E-3</v>
      </c>
      <c r="F59" s="746">
        <v>26</v>
      </c>
      <c r="G59" s="746">
        <f t="shared" si="35"/>
        <v>18</v>
      </c>
      <c r="H59" s="746">
        <v>15</v>
      </c>
      <c r="I59" s="747">
        <f t="shared" si="4"/>
        <v>0.51449055079868689</v>
      </c>
      <c r="J59" s="746">
        <f t="shared" si="36"/>
        <v>270</v>
      </c>
      <c r="K59" s="746">
        <v>600</v>
      </c>
      <c r="L59" s="746">
        <f t="shared" si="37"/>
        <v>1</v>
      </c>
      <c r="M59" s="746">
        <v>555</v>
      </c>
      <c r="N59" s="746">
        <v>500</v>
      </c>
      <c r="O59" s="746">
        <v>7</v>
      </c>
      <c r="P59" s="746">
        <v>1200</v>
      </c>
      <c r="Q59" s="746">
        <v>1080</v>
      </c>
      <c r="R59" s="746">
        <v>1200</v>
      </c>
      <c r="S59" s="746">
        <f t="shared" si="6"/>
        <v>171</v>
      </c>
      <c r="T59" s="746">
        <f t="shared" si="7"/>
        <v>2</v>
      </c>
      <c r="U59" s="746">
        <f t="shared" si="8"/>
        <v>2</v>
      </c>
      <c r="V59" s="746">
        <f t="shared" si="9"/>
        <v>171</v>
      </c>
      <c r="W59" s="746">
        <f t="shared" si="10"/>
        <v>684</v>
      </c>
      <c r="X59" s="758">
        <f t="shared" si="11"/>
        <v>351.91153674630181</v>
      </c>
      <c r="Y59" s="747">
        <f t="shared" si="12"/>
        <v>3.9370078740157481</v>
      </c>
      <c r="Z59" s="746">
        <f t="shared" si="13"/>
        <v>1</v>
      </c>
      <c r="AA59" s="746">
        <f t="shared" si="14"/>
        <v>1942500</v>
      </c>
      <c r="AB59" s="746">
        <f t="shared" si="15"/>
        <v>6.8598740106491585E-2</v>
      </c>
      <c r="AC59" s="759" t="s">
        <v>594</v>
      </c>
      <c r="AD59" s="746">
        <f t="shared" si="32"/>
        <v>5</v>
      </c>
      <c r="AE59" s="746">
        <f t="shared" si="17"/>
        <v>0.5</v>
      </c>
      <c r="AF59" s="746">
        <f t="shared" si="18"/>
        <v>0.60000000000000009</v>
      </c>
      <c r="AG59" s="746">
        <f t="shared" si="19"/>
        <v>1.4000000000000001</v>
      </c>
      <c r="AH59" s="746">
        <f t="shared" si="20"/>
        <v>6</v>
      </c>
      <c r="AI59" s="746">
        <f t="shared" si="21"/>
        <v>8.5</v>
      </c>
      <c r="AJ59" s="746">
        <f t="shared" si="22"/>
        <v>9</v>
      </c>
      <c r="AK59" s="746">
        <f t="shared" si="23"/>
        <v>4</v>
      </c>
      <c r="AL59" s="746">
        <f t="shared" si="24"/>
        <v>4</v>
      </c>
      <c r="AM59" s="746">
        <f t="shared" si="25"/>
        <v>2</v>
      </c>
      <c r="AN59" s="746">
        <f t="shared" si="26"/>
        <v>0</v>
      </c>
      <c r="AO59" s="746">
        <f t="shared" si="27"/>
        <v>0</v>
      </c>
      <c r="AP59" s="746">
        <f t="shared" si="28"/>
        <v>0</v>
      </c>
      <c r="AQ59" s="746">
        <f t="shared" si="29"/>
        <v>0</v>
      </c>
      <c r="AR59" s="746">
        <f t="shared" si="30"/>
        <v>0</v>
      </c>
    </row>
    <row r="60" spans="1:44">
      <c r="A60" s="746" t="s">
        <v>792</v>
      </c>
      <c r="B60" s="746">
        <v>5539</v>
      </c>
      <c r="C60" s="747">
        <v>461.58333333333331</v>
      </c>
      <c r="D60" s="746">
        <f t="shared" si="33"/>
        <v>462</v>
      </c>
      <c r="E60" s="757">
        <f t="shared" si="34"/>
        <v>2.9540397452620273E-3</v>
      </c>
      <c r="F60" s="746">
        <v>26</v>
      </c>
      <c r="G60" s="746">
        <f t="shared" si="35"/>
        <v>18</v>
      </c>
      <c r="H60" s="746">
        <v>15</v>
      </c>
      <c r="I60" s="747">
        <f t="shared" si="4"/>
        <v>7.1614583333333321</v>
      </c>
      <c r="J60" s="746">
        <f t="shared" si="36"/>
        <v>270</v>
      </c>
      <c r="K60" s="746">
        <v>600</v>
      </c>
      <c r="L60" s="746">
        <f t="shared" si="37"/>
        <v>1</v>
      </c>
      <c r="M60" s="746">
        <v>279.39999999999998</v>
      </c>
      <c r="N60" s="746">
        <v>381</v>
      </c>
      <c r="O60" s="746">
        <v>254</v>
      </c>
      <c r="P60" s="746">
        <v>1200</v>
      </c>
      <c r="Q60" s="746">
        <v>1080</v>
      </c>
      <c r="R60" s="746">
        <v>1200</v>
      </c>
      <c r="S60" s="746">
        <f t="shared" si="6"/>
        <v>5</v>
      </c>
      <c r="T60" s="746">
        <f t="shared" si="7"/>
        <v>4</v>
      </c>
      <c r="U60" s="746">
        <f t="shared" si="8"/>
        <v>2</v>
      </c>
      <c r="V60" s="746">
        <f t="shared" si="9"/>
        <v>5</v>
      </c>
      <c r="W60" s="746">
        <f t="shared" si="10"/>
        <v>40</v>
      </c>
      <c r="X60" s="758">
        <f t="shared" si="11"/>
        <v>286.45833333333326</v>
      </c>
      <c r="Y60" s="747">
        <f t="shared" si="12"/>
        <v>3.9370078740157481</v>
      </c>
      <c r="Z60" s="746">
        <f t="shared" si="13"/>
        <v>1</v>
      </c>
      <c r="AA60" s="746">
        <f t="shared" si="14"/>
        <v>27038655.599999998</v>
      </c>
      <c r="AB60" s="746">
        <f t="shared" si="15"/>
        <v>0.95486111111111094</v>
      </c>
      <c r="AC60" s="759" t="s">
        <v>594</v>
      </c>
      <c r="AD60" s="746">
        <f t="shared" si="32"/>
        <v>5</v>
      </c>
      <c r="AE60" s="746">
        <f t="shared" si="17"/>
        <v>0.5</v>
      </c>
      <c r="AF60" s="746">
        <f t="shared" si="18"/>
        <v>0.60000000000000009</v>
      </c>
      <c r="AG60" s="746">
        <f t="shared" si="19"/>
        <v>1.4000000000000001</v>
      </c>
      <c r="AH60" s="746">
        <f t="shared" si="20"/>
        <v>6</v>
      </c>
      <c r="AI60" s="746">
        <f t="shared" si="21"/>
        <v>8.5</v>
      </c>
      <c r="AJ60" s="746">
        <f t="shared" si="22"/>
        <v>9</v>
      </c>
      <c r="AK60" s="746">
        <f t="shared" si="23"/>
        <v>4</v>
      </c>
      <c r="AL60" s="746">
        <f t="shared" si="24"/>
        <v>4</v>
      </c>
      <c r="AM60" s="746">
        <f t="shared" si="25"/>
        <v>2</v>
      </c>
      <c r="AN60" s="746">
        <f t="shared" si="26"/>
        <v>0</v>
      </c>
      <c r="AO60" s="746">
        <f t="shared" si="27"/>
        <v>0</v>
      </c>
      <c r="AP60" s="746">
        <f t="shared" si="28"/>
        <v>1</v>
      </c>
      <c r="AQ60" s="746">
        <f t="shared" si="29"/>
        <v>3</v>
      </c>
      <c r="AR60" s="746">
        <f t="shared" si="30"/>
        <v>4</v>
      </c>
    </row>
    <row r="61" spans="1:44">
      <c r="A61" s="746" t="s">
        <v>793</v>
      </c>
      <c r="B61" s="746">
        <v>5437</v>
      </c>
      <c r="C61" s="747">
        <v>453.08333333333337</v>
      </c>
      <c r="D61" s="746">
        <f t="shared" si="33"/>
        <v>454</v>
      </c>
      <c r="E61" s="757">
        <f t="shared" si="34"/>
        <v>2.9028875418808664E-3</v>
      </c>
      <c r="F61" s="746">
        <v>26</v>
      </c>
      <c r="G61" s="746">
        <f t="shared" si="35"/>
        <v>18</v>
      </c>
      <c r="H61" s="746">
        <v>15</v>
      </c>
      <c r="I61" s="747">
        <f t="shared" si="4"/>
        <v>31.270505249343834</v>
      </c>
      <c r="J61" s="746">
        <f t="shared" si="36"/>
        <v>270</v>
      </c>
      <c r="K61" s="746">
        <v>600</v>
      </c>
      <c r="L61" s="746">
        <f t="shared" si="37"/>
        <v>1</v>
      </c>
      <c r="M61" s="746">
        <v>762</v>
      </c>
      <c r="N61" s="746">
        <v>508</v>
      </c>
      <c r="O61" s="746">
        <v>305</v>
      </c>
      <c r="P61" s="746">
        <v>1200</v>
      </c>
      <c r="Q61" s="746">
        <v>1080</v>
      </c>
      <c r="R61" s="746">
        <v>1200</v>
      </c>
      <c r="S61" s="746">
        <f t="shared" si="6"/>
        <v>4</v>
      </c>
      <c r="T61" s="746">
        <f t="shared" si="7"/>
        <v>1</v>
      </c>
      <c r="U61" s="746">
        <f t="shared" si="8"/>
        <v>2</v>
      </c>
      <c r="V61" s="746">
        <f t="shared" si="9"/>
        <v>4</v>
      </c>
      <c r="W61" s="746">
        <f t="shared" si="10"/>
        <v>8</v>
      </c>
      <c r="X61" s="758">
        <f t="shared" si="11"/>
        <v>250.16404199475068</v>
      </c>
      <c r="Y61" s="747">
        <f t="shared" si="12"/>
        <v>3.9370078740157481</v>
      </c>
      <c r="Z61" s="746">
        <f t="shared" si="13"/>
        <v>3</v>
      </c>
      <c r="AA61" s="746">
        <f t="shared" si="14"/>
        <v>118064280</v>
      </c>
      <c r="AB61" s="746">
        <f t="shared" si="15"/>
        <v>4.1694006999125115</v>
      </c>
      <c r="AC61" s="759" t="s">
        <v>594</v>
      </c>
      <c r="AD61" s="746">
        <f t="shared" si="32"/>
        <v>15</v>
      </c>
      <c r="AE61" s="746">
        <f t="shared" si="17"/>
        <v>1.5</v>
      </c>
      <c r="AF61" s="746">
        <f t="shared" si="18"/>
        <v>1.8000000000000003</v>
      </c>
      <c r="AG61" s="746">
        <f t="shared" si="19"/>
        <v>4.2000000000000011</v>
      </c>
      <c r="AH61" s="746">
        <f t="shared" si="20"/>
        <v>18.000000000000004</v>
      </c>
      <c r="AI61" s="746">
        <f t="shared" si="21"/>
        <v>25.500000000000007</v>
      </c>
      <c r="AJ61" s="746">
        <f t="shared" si="22"/>
        <v>9</v>
      </c>
      <c r="AK61" s="746">
        <f t="shared" si="23"/>
        <v>4</v>
      </c>
      <c r="AL61" s="746">
        <f t="shared" si="24"/>
        <v>4</v>
      </c>
      <c r="AM61" s="746">
        <f t="shared" si="25"/>
        <v>2</v>
      </c>
      <c r="AN61" s="746">
        <f t="shared" si="26"/>
        <v>1</v>
      </c>
      <c r="AO61" s="746">
        <f t="shared" si="27"/>
        <v>2</v>
      </c>
      <c r="AP61" s="746">
        <f t="shared" si="28"/>
        <v>4</v>
      </c>
      <c r="AQ61" s="746">
        <f t="shared" si="29"/>
        <v>15</v>
      </c>
      <c r="AR61" s="746">
        <f t="shared" si="30"/>
        <v>22</v>
      </c>
    </row>
    <row r="62" spans="1:44">
      <c r="A62" s="746" t="s">
        <v>794</v>
      </c>
      <c r="B62" s="746">
        <v>5397</v>
      </c>
      <c r="C62" s="747">
        <v>449.75</v>
      </c>
      <c r="D62" s="746">
        <f t="shared" si="33"/>
        <v>450</v>
      </c>
      <c r="E62" s="757">
        <f t="shared" si="34"/>
        <v>2.8773114401902861E-3</v>
      </c>
      <c r="F62" s="746">
        <v>26</v>
      </c>
      <c r="G62" s="746">
        <f t="shared" si="35"/>
        <v>18</v>
      </c>
      <c r="H62" s="746">
        <v>15</v>
      </c>
      <c r="I62" s="747">
        <f t="shared" si="4"/>
        <v>45.029510819903095</v>
      </c>
      <c r="J62" s="746">
        <f t="shared" si="36"/>
        <v>270</v>
      </c>
      <c r="K62" s="746">
        <v>600</v>
      </c>
      <c r="L62" s="746">
        <f t="shared" si="37"/>
        <v>1</v>
      </c>
      <c r="M62" s="746">
        <v>725</v>
      </c>
      <c r="N62" s="746">
        <v>700</v>
      </c>
      <c r="O62" s="746">
        <v>335</v>
      </c>
      <c r="P62" s="746">
        <v>1200</v>
      </c>
      <c r="Q62" s="746">
        <v>1080</v>
      </c>
      <c r="R62" s="746">
        <v>1200</v>
      </c>
      <c r="S62" s="746">
        <f t="shared" si="6"/>
        <v>4</v>
      </c>
      <c r="T62" s="746">
        <f t="shared" si="7"/>
        <v>1</v>
      </c>
      <c r="U62" s="746">
        <f t="shared" si="8"/>
        <v>1</v>
      </c>
      <c r="V62" s="746">
        <f t="shared" si="9"/>
        <v>4</v>
      </c>
      <c r="W62" s="746">
        <f t="shared" si="10"/>
        <v>4</v>
      </c>
      <c r="X62" s="758">
        <f t="shared" si="11"/>
        <v>180.11804327961238</v>
      </c>
      <c r="Y62" s="747">
        <f t="shared" si="12"/>
        <v>3.9370078740157481</v>
      </c>
      <c r="Z62" s="746">
        <f t="shared" si="13"/>
        <v>5</v>
      </c>
      <c r="AA62" s="746">
        <f t="shared" si="14"/>
        <v>170012500</v>
      </c>
      <c r="AB62" s="746">
        <f t="shared" si="15"/>
        <v>6.0039347759870791</v>
      </c>
      <c r="AC62" s="759" t="s">
        <v>594</v>
      </c>
      <c r="AD62" s="746">
        <f t="shared" si="32"/>
        <v>25</v>
      </c>
      <c r="AE62" s="746">
        <f t="shared" si="17"/>
        <v>2.5</v>
      </c>
      <c r="AF62" s="746">
        <f t="shared" si="18"/>
        <v>3</v>
      </c>
      <c r="AG62" s="746">
        <f t="shared" si="19"/>
        <v>7</v>
      </c>
      <c r="AH62" s="746">
        <f t="shared" si="20"/>
        <v>30</v>
      </c>
      <c r="AI62" s="746">
        <f t="shared" si="21"/>
        <v>42.5</v>
      </c>
      <c r="AJ62" s="746">
        <f t="shared" si="22"/>
        <v>9</v>
      </c>
      <c r="AK62" s="746">
        <f t="shared" si="23"/>
        <v>4</v>
      </c>
      <c r="AL62" s="746">
        <f t="shared" si="24"/>
        <v>4</v>
      </c>
      <c r="AM62" s="746">
        <f t="shared" si="25"/>
        <v>2</v>
      </c>
      <c r="AN62" s="746">
        <f t="shared" si="26"/>
        <v>2</v>
      </c>
      <c r="AO62" s="746">
        <f t="shared" si="27"/>
        <v>3</v>
      </c>
      <c r="AP62" s="746">
        <f t="shared" si="28"/>
        <v>7</v>
      </c>
      <c r="AQ62" s="746">
        <f t="shared" si="29"/>
        <v>30</v>
      </c>
      <c r="AR62" s="746">
        <f t="shared" si="30"/>
        <v>42</v>
      </c>
    </row>
    <row r="63" spans="1:44">
      <c r="A63" s="746" t="s">
        <v>795</v>
      </c>
      <c r="B63" s="746">
        <v>5100</v>
      </c>
      <c r="C63" s="747">
        <v>425</v>
      </c>
      <c r="D63" s="746">
        <f t="shared" si="33"/>
        <v>425</v>
      </c>
      <c r="E63" s="757">
        <f t="shared" si="34"/>
        <v>2.7174608046241591E-3</v>
      </c>
      <c r="F63" s="746">
        <v>26</v>
      </c>
      <c r="G63" s="746">
        <f t="shared" si="35"/>
        <v>17</v>
      </c>
      <c r="H63" s="746">
        <v>15</v>
      </c>
      <c r="I63" s="747">
        <f t="shared" si="4"/>
        <v>32.986111111111107</v>
      </c>
      <c r="J63" s="746">
        <f t="shared" si="36"/>
        <v>255</v>
      </c>
      <c r="K63" s="746">
        <v>600</v>
      </c>
      <c r="L63" s="746">
        <f t="shared" si="37"/>
        <v>1</v>
      </c>
      <c r="M63" s="746">
        <v>965.19999999999993</v>
      </c>
      <c r="N63" s="746">
        <v>508</v>
      </c>
      <c r="O63" s="746">
        <v>254</v>
      </c>
      <c r="P63" s="746">
        <v>1200</v>
      </c>
      <c r="Q63" s="746">
        <v>1080</v>
      </c>
      <c r="R63" s="746">
        <v>1200</v>
      </c>
      <c r="S63" s="746">
        <f t="shared" si="6"/>
        <v>5</v>
      </c>
      <c r="T63" s="746">
        <f t="shared" si="7"/>
        <v>1</v>
      </c>
      <c r="U63" s="746">
        <f t="shared" si="8"/>
        <v>2</v>
      </c>
      <c r="V63" s="746">
        <f t="shared" si="9"/>
        <v>5</v>
      </c>
      <c r="W63" s="746">
        <f t="shared" si="10"/>
        <v>10</v>
      </c>
      <c r="X63" s="758">
        <f t="shared" si="11"/>
        <v>329.86111111111109</v>
      </c>
      <c r="Y63" s="747">
        <f t="shared" si="12"/>
        <v>3.9370078740157481</v>
      </c>
      <c r="Z63" s="746">
        <f t="shared" si="13"/>
        <v>2</v>
      </c>
      <c r="AA63" s="746">
        <f t="shared" si="14"/>
        <v>124541686.39999999</v>
      </c>
      <c r="AB63" s="746">
        <f t="shared" si="15"/>
        <v>4.3981481481481479</v>
      </c>
      <c r="AC63" s="759" t="s">
        <v>594</v>
      </c>
      <c r="AD63" s="746">
        <f t="shared" si="32"/>
        <v>10</v>
      </c>
      <c r="AE63" s="746">
        <f t="shared" si="17"/>
        <v>1</v>
      </c>
      <c r="AF63" s="746">
        <f t="shared" si="18"/>
        <v>1.2000000000000002</v>
      </c>
      <c r="AG63" s="746">
        <f t="shared" si="19"/>
        <v>2.8000000000000003</v>
      </c>
      <c r="AH63" s="746">
        <f t="shared" si="20"/>
        <v>12</v>
      </c>
      <c r="AI63" s="746">
        <f t="shared" si="21"/>
        <v>17</v>
      </c>
      <c r="AJ63" s="746">
        <f t="shared" si="22"/>
        <v>9</v>
      </c>
      <c r="AK63" s="746">
        <f t="shared" si="23"/>
        <v>3</v>
      </c>
      <c r="AL63" s="746">
        <f t="shared" si="24"/>
        <v>3</v>
      </c>
      <c r="AM63" s="746">
        <f t="shared" si="25"/>
        <v>2</v>
      </c>
      <c r="AN63" s="746">
        <f t="shared" si="26"/>
        <v>1</v>
      </c>
      <c r="AO63" s="746">
        <f t="shared" si="27"/>
        <v>1</v>
      </c>
      <c r="AP63" s="746">
        <f t="shared" si="28"/>
        <v>2</v>
      </c>
      <c r="AQ63" s="746">
        <f t="shared" si="29"/>
        <v>12</v>
      </c>
      <c r="AR63" s="746">
        <f t="shared" si="30"/>
        <v>16</v>
      </c>
    </row>
    <row r="64" spans="1:44">
      <c r="A64" s="746" t="s">
        <v>796</v>
      </c>
      <c r="B64" s="746">
        <v>5006</v>
      </c>
      <c r="C64" s="747">
        <v>417.16666666666669</v>
      </c>
      <c r="D64" s="746">
        <f t="shared" si="33"/>
        <v>418</v>
      </c>
      <c r="E64" s="757">
        <f t="shared" si="34"/>
        <v>2.6727026266656437E-3</v>
      </c>
      <c r="F64" s="746">
        <v>26</v>
      </c>
      <c r="G64" s="746">
        <f t="shared" si="35"/>
        <v>17</v>
      </c>
      <c r="H64" s="746">
        <v>15</v>
      </c>
      <c r="I64" s="747">
        <f t="shared" si="4"/>
        <v>3.1597222222222223</v>
      </c>
      <c r="J64" s="746">
        <f t="shared" si="36"/>
        <v>255</v>
      </c>
      <c r="K64" s="746">
        <v>600</v>
      </c>
      <c r="L64" s="746">
        <f t="shared" si="37"/>
        <v>1</v>
      </c>
      <c r="M64" s="746">
        <v>660.4</v>
      </c>
      <c r="N64" s="746">
        <v>177.8</v>
      </c>
      <c r="O64" s="746">
        <v>101.6</v>
      </c>
      <c r="P64" s="746">
        <v>1200</v>
      </c>
      <c r="Q64" s="746">
        <v>1080</v>
      </c>
      <c r="R64" s="746">
        <v>1200</v>
      </c>
      <c r="S64" s="746">
        <f t="shared" si="6"/>
        <v>12</v>
      </c>
      <c r="T64" s="746">
        <f t="shared" si="7"/>
        <v>1</v>
      </c>
      <c r="U64" s="746">
        <f t="shared" si="8"/>
        <v>6</v>
      </c>
      <c r="V64" s="746">
        <f t="shared" si="9"/>
        <v>12</v>
      </c>
      <c r="W64" s="746">
        <f t="shared" si="10"/>
        <v>72</v>
      </c>
      <c r="X64" s="758">
        <f t="shared" si="11"/>
        <v>227.5</v>
      </c>
      <c r="Y64" s="747">
        <f t="shared" si="12"/>
        <v>3.9370078740157481</v>
      </c>
      <c r="Z64" s="746">
        <f t="shared" si="13"/>
        <v>1</v>
      </c>
      <c r="AA64" s="746">
        <f t="shared" si="14"/>
        <v>11929782.592</v>
      </c>
      <c r="AB64" s="746">
        <f t="shared" si="15"/>
        <v>0.42129629629629634</v>
      </c>
      <c r="AC64" s="759" t="s">
        <v>594</v>
      </c>
      <c r="AD64" s="746">
        <f t="shared" si="32"/>
        <v>5</v>
      </c>
      <c r="AE64" s="746">
        <f t="shared" si="17"/>
        <v>0.5</v>
      </c>
      <c r="AF64" s="746">
        <f t="shared" si="18"/>
        <v>0.60000000000000009</v>
      </c>
      <c r="AG64" s="746">
        <f t="shared" si="19"/>
        <v>1.4000000000000001</v>
      </c>
      <c r="AH64" s="746">
        <f t="shared" si="20"/>
        <v>6</v>
      </c>
      <c r="AI64" s="746">
        <f t="shared" si="21"/>
        <v>8.5</v>
      </c>
      <c r="AJ64" s="746">
        <f t="shared" si="22"/>
        <v>9</v>
      </c>
      <c r="AK64" s="746">
        <f t="shared" si="23"/>
        <v>3</v>
      </c>
      <c r="AL64" s="746">
        <f t="shared" si="24"/>
        <v>3</v>
      </c>
      <c r="AM64" s="746">
        <f t="shared" si="25"/>
        <v>2</v>
      </c>
      <c r="AN64" s="746">
        <f t="shared" si="26"/>
        <v>0</v>
      </c>
      <c r="AO64" s="746">
        <f t="shared" si="27"/>
        <v>0</v>
      </c>
      <c r="AP64" s="746">
        <f t="shared" si="28"/>
        <v>0</v>
      </c>
      <c r="AQ64" s="746">
        <f t="shared" si="29"/>
        <v>2</v>
      </c>
      <c r="AR64" s="746">
        <f t="shared" si="30"/>
        <v>2</v>
      </c>
    </row>
    <row r="65" spans="1:44">
      <c r="A65" s="746" t="s">
        <v>797</v>
      </c>
      <c r="B65" s="746">
        <v>4722</v>
      </c>
      <c r="C65" s="747">
        <v>393.5</v>
      </c>
      <c r="D65" s="746">
        <f t="shared" si="33"/>
        <v>394</v>
      </c>
      <c r="E65" s="757">
        <f t="shared" si="34"/>
        <v>2.5192460165221618E-3</v>
      </c>
      <c r="F65" s="746">
        <v>26</v>
      </c>
      <c r="G65" s="746">
        <f t="shared" si="35"/>
        <v>16</v>
      </c>
      <c r="H65" s="746">
        <v>15</v>
      </c>
      <c r="I65" s="747">
        <f t="shared" si="4"/>
        <v>9.8782185753347882</v>
      </c>
      <c r="J65" s="746">
        <f t="shared" si="36"/>
        <v>240</v>
      </c>
      <c r="K65" s="746">
        <v>600</v>
      </c>
      <c r="L65" s="746">
        <f t="shared" si="37"/>
        <v>1</v>
      </c>
      <c r="M65" s="746">
        <v>560</v>
      </c>
      <c r="N65" s="746">
        <v>370</v>
      </c>
      <c r="O65" s="746">
        <v>180</v>
      </c>
      <c r="P65" s="746">
        <v>1200</v>
      </c>
      <c r="Q65" s="746">
        <v>1080</v>
      </c>
      <c r="R65" s="746">
        <v>1200</v>
      </c>
      <c r="S65" s="746">
        <f t="shared" si="6"/>
        <v>7</v>
      </c>
      <c r="T65" s="746">
        <f t="shared" si="7"/>
        <v>2</v>
      </c>
      <c r="U65" s="746">
        <f t="shared" si="8"/>
        <v>2</v>
      </c>
      <c r="V65" s="746">
        <f t="shared" si="9"/>
        <v>7</v>
      </c>
      <c r="W65" s="746">
        <f t="shared" si="10"/>
        <v>28</v>
      </c>
      <c r="X65" s="758">
        <f t="shared" si="11"/>
        <v>276.59012010937408</v>
      </c>
      <c r="Y65" s="747">
        <f t="shared" si="12"/>
        <v>3.9370078740157481</v>
      </c>
      <c r="Z65" s="746">
        <f t="shared" si="13"/>
        <v>1</v>
      </c>
      <c r="AA65" s="746">
        <f t="shared" si="14"/>
        <v>37296000</v>
      </c>
      <c r="AB65" s="746">
        <f t="shared" si="15"/>
        <v>1.3170958100446384</v>
      </c>
      <c r="AC65" s="759" t="s">
        <v>594</v>
      </c>
      <c r="AD65" s="746">
        <f t="shared" si="32"/>
        <v>5</v>
      </c>
      <c r="AE65" s="746">
        <f t="shared" si="17"/>
        <v>0.5</v>
      </c>
      <c r="AF65" s="746">
        <f t="shared" si="18"/>
        <v>0.60000000000000009</v>
      </c>
      <c r="AG65" s="746">
        <f t="shared" si="19"/>
        <v>1.4000000000000001</v>
      </c>
      <c r="AH65" s="746">
        <f t="shared" si="20"/>
        <v>6</v>
      </c>
      <c r="AI65" s="746">
        <f t="shared" si="21"/>
        <v>8.5</v>
      </c>
      <c r="AJ65" s="746">
        <f t="shared" si="22"/>
        <v>8</v>
      </c>
      <c r="AK65" s="746">
        <f t="shared" si="23"/>
        <v>3</v>
      </c>
      <c r="AL65" s="746">
        <f t="shared" si="24"/>
        <v>3</v>
      </c>
      <c r="AM65" s="746">
        <f t="shared" si="25"/>
        <v>2</v>
      </c>
      <c r="AN65" s="746">
        <f t="shared" si="26"/>
        <v>0</v>
      </c>
      <c r="AO65" s="746">
        <f t="shared" si="27"/>
        <v>0</v>
      </c>
      <c r="AP65" s="746">
        <f t="shared" si="28"/>
        <v>1</v>
      </c>
      <c r="AQ65" s="746">
        <f t="shared" si="29"/>
        <v>4</v>
      </c>
      <c r="AR65" s="746">
        <f t="shared" si="30"/>
        <v>5</v>
      </c>
    </row>
    <row r="66" spans="1:44">
      <c r="A66" s="746" t="s">
        <v>798</v>
      </c>
      <c r="B66" s="746">
        <v>4406</v>
      </c>
      <c r="C66" s="747">
        <v>367.16666666666669</v>
      </c>
      <c r="D66" s="746">
        <f t="shared" si="33"/>
        <v>368</v>
      </c>
      <c r="E66" s="757">
        <f t="shared" si="34"/>
        <v>2.3530013555333896E-3</v>
      </c>
      <c r="F66" s="746">
        <v>26</v>
      </c>
      <c r="G66" s="746">
        <f t="shared" si="35"/>
        <v>15</v>
      </c>
      <c r="H66" s="746">
        <v>15</v>
      </c>
      <c r="I66" s="747">
        <f t="shared" si="4"/>
        <v>7.8125000000000009</v>
      </c>
      <c r="J66" s="746">
        <f t="shared" si="36"/>
        <v>225</v>
      </c>
      <c r="K66" s="746">
        <v>600</v>
      </c>
      <c r="L66" s="746">
        <f t="shared" si="37"/>
        <v>1</v>
      </c>
      <c r="M66" s="746">
        <v>508</v>
      </c>
      <c r="N66" s="746">
        <v>381</v>
      </c>
      <c r="O66" s="746">
        <v>152.4</v>
      </c>
      <c r="P66" s="746">
        <v>1200</v>
      </c>
      <c r="Q66" s="746">
        <v>1080</v>
      </c>
      <c r="R66" s="746">
        <v>1200</v>
      </c>
      <c r="S66" s="746">
        <f t="shared" si="6"/>
        <v>8</v>
      </c>
      <c r="T66" s="746">
        <f t="shared" si="7"/>
        <v>2</v>
      </c>
      <c r="U66" s="746">
        <f t="shared" si="8"/>
        <v>2</v>
      </c>
      <c r="V66" s="746">
        <f t="shared" si="9"/>
        <v>8</v>
      </c>
      <c r="W66" s="746">
        <f t="shared" si="10"/>
        <v>32</v>
      </c>
      <c r="X66" s="758">
        <f t="shared" si="11"/>
        <v>250.00000000000003</v>
      </c>
      <c r="Y66" s="747">
        <f t="shared" si="12"/>
        <v>3.9370078740157481</v>
      </c>
      <c r="Z66" s="746">
        <f t="shared" si="13"/>
        <v>1</v>
      </c>
      <c r="AA66" s="746">
        <f t="shared" si="14"/>
        <v>29496715.199999999</v>
      </c>
      <c r="AB66" s="746">
        <f t="shared" si="15"/>
        <v>1.0416666666666667</v>
      </c>
      <c r="AC66" s="759" t="s">
        <v>594</v>
      </c>
      <c r="AD66" s="746">
        <f t="shared" si="32"/>
        <v>5</v>
      </c>
      <c r="AE66" s="746">
        <f t="shared" si="17"/>
        <v>0.5</v>
      </c>
      <c r="AF66" s="746">
        <f t="shared" si="18"/>
        <v>0.60000000000000009</v>
      </c>
      <c r="AG66" s="746">
        <f t="shared" si="19"/>
        <v>1.4000000000000001</v>
      </c>
      <c r="AH66" s="746">
        <f t="shared" si="20"/>
        <v>6</v>
      </c>
      <c r="AI66" s="746">
        <f t="shared" si="21"/>
        <v>8.5</v>
      </c>
      <c r="AJ66" s="746">
        <f t="shared" si="22"/>
        <v>8</v>
      </c>
      <c r="AK66" s="746">
        <f t="shared" si="23"/>
        <v>3</v>
      </c>
      <c r="AL66" s="746">
        <f t="shared" si="24"/>
        <v>3</v>
      </c>
      <c r="AM66" s="746">
        <f t="shared" si="25"/>
        <v>2</v>
      </c>
      <c r="AN66" s="746">
        <f t="shared" si="26"/>
        <v>0</v>
      </c>
      <c r="AO66" s="746">
        <f t="shared" si="27"/>
        <v>0</v>
      </c>
      <c r="AP66" s="746">
        <f t="shared" si="28"/>
        <v>1</v>
      </c>
      <c r="AQ66" s="746">
        <f t="shared" si="29"/>
        <v>4</v>
      </c>
      <c r="AR66" s="746">
        <f t="shared" si="30"/>
        <v>5</v>
      </c>
    </row>
    <row r="67" spans="1:44">
      <c r="A67" s="759" t="s">
        <v>799</v>
      </c>
      <c r="B67" s="746">
        <v>4201</v>
      </c>
      <c r="C67" s="747">
        <v>350.08333333333331</v>
      </c>
      <c r="D67" s="746">
        <f t="shared" ref="D67:D98" si="38">ROUNDUP(C67,0)</f>
        <v>351</v>
      </c>
      <c r="E67" s="757">
        <f t="shared" ref="E67:E98" si="39">D67/$D$1</f>
        <v>2.2443029233484234E-3</v>
      </c>
      <c r="F67" s="746">
        <v>26</v>
      </c>
      <c r="G67" s="746">
        <f t="shared" ref="G67:G98" si="40">ROUNDUP(D67/F67,0)</f>
        <v>14</v>
      </c>
      <c r="H67" s="746">
        <v>15</v>
      </c>
      <c r="I67" s="747">
        <f t="shared" si="4"/>
        <v>140.25590551181105</v>
      </c>
      <c r="J67" s="746">
        <f t="shared" ref="J67:J98" si="41">G67*H67</f>
        <v>210</v>
      </c>
      <c r="K67" s="746">
        <v>600</v>
      </c>
      <c r="L67" s="746">
        <f t="shared" ref="L67:L98" si="42">ROUNDUP(J67/K67,0)</f>
        <v>1</v>
      </c>
      <c r="M67" s="746">
        <v>1219.2</v>
      </c>
      <c r="N67" s="746">
        <v>1158.24</v>
      </c>
      <c r="O67" s="763">
        <v>375</v>
      </c>
      <c r="P67" s="746">
        <v>1200</v>
      </c>
      <c r="Q67" s="746">
        <v>1200</v>
      </c>
      <c r="R67" s="746">
        <v>1200</v>
      </c>
      <c r="S67" s="746">
        <f t="shared" si="6"/>
        <v>3</v>
      </c>
      <c r="T67" s="746">
        <f>ROUND(P67/M67,0)</f>
        <v>1</v>
      </c>
      <c r="U67" s="746">
        <f>ROUNDDOWN(Q67/N67,0)</f>
        <v>1</v>
      </c>
      <c r="V67" s="746">
        <f t="shared" si="9"/>
        <v>3</v>
      </c>
      <c r="W67" s="746">
        <f t="shared" si="10"/>
        <v>3</v>
      </c>
      <c r="X67" s="758">
        <f t="shared" si="11"/>
        <v>420.76771653543312</v>
      </c>
      <c r="Y67" s="747">
        <f t="shared" si="12"/>
        <v>3.9370078740157481</v>
      </c>
      <c r="Z67" s="746">
        <f t="shared" si="13"/>
        <v>5</v>
      </c>
      <c r="AA67" s="746">
        <f t="shared" si="14"/>
        <v>529547328.00000006</v>
      </c>
      <c r="AB67" s="746">
        <f t="shared" si="15"/>
        <v>18.700787401574807</v>
      </c>
      <c r="AC67" s="759" t="s">
        <v>594</v>
      </c>
      <c r="AD67" s="746">
        <f t="shared" si="32"/>
        <v>25</v>
      </c>
      <c r="AE67" s="746">
        <f t="shared" si="17"/>
        <v>2.5</v>
      </c>
      <c r="AF67" s="746">
        <f t="shared" si="18"/>
        <v>3</v>
      </c>
      <c r="AG67" s="746">
        <f t="shared" si="19"/>
        <v>7</v>
      </c>
      <c r="AH67" s="746">
        <f t="shared" si="20"/>
        <v>30</v>
      </c>
      <c r="AI67" s="746">
        <f t="shared" si="21"/>
        <v>42.5</v>
      </c>
      <c r="AJ67" s="746">
        <f t="shared" si="22"/>
        <v>7</v>
      </c>
      <c r="AK67" s="746">
        <f t="shared" si="23"/>
        <v>3</v>
      </c>
      <c r="AL67" s="746">
        <f t="shared" si="24"/>
        <v>3</v>
      </c>
      <c r="AM67" s="746">
        <f t="shared" si="25"/>
        <v>1</v>
      </c>
      <c r="AN67" s="746">
        <f t="shared" si="26"/>
        <v>2</v>
      </c>
      <c r="AO67" s="746">
        <f t="shared" si="27"/>
        <v>3</v>
      </c>
      <c r="AP67" s="746">
        <f t="shared" si="28"/>
        <v>7</v>
      </c>
      <c r="AQ67" s="746">
        <f t="shared" si="29"/>
        <v>20</v>
      </c>
      <c r="AR67" s="746">
        <f t="shared" si="30"/>
        <v>32</v>
      </c>
    </row>
    <row r="68" spans="1:44">
      <c r="A68" s="746" t="s">
        <v>800</v>
      </c>
      <c r="B68" s="746">
        <v>4037</v>
      </c>
      <c r="C68" s="747">
        <v>336.41666666666669</v>
      </c>
      <c r="D68" s="746">
        <f t="shared" si="38"/>
        <v>337</v>
      </c>
      <c r="E68" s="757">
        <f t="shared" si="39"/>
        <v>2.1547865674313919E-3</v>
      </c>
      <c r="F68" s="746">
        <v>26</v>
      </c>
      <c r="G68" s="746">
        <f t="shared" si="40"/>
        <v>13</v>
      </c>
      <c r="H68" s="746">
        <v>15</v>
      </c>
      <c r="I68" s="747">
        <f t="shared" ref="I68:I131" si="43">AB68*7.5</f>
        <v>28.444255697156411</v>
      </c>
      <c r="J68" s="746">
        <f t="shared" si="41"/>
        <v>195</v>
      </c>
      <c r="K68" s="746">
        <v>600</v>
      </c>
      <c r="L68" s="746">
        <f t="shared" si="42"/>
        <v>1</v>
      </c>
      <c r="M68" s="746">
        <v>1067</v>
      </c>
      <c r="N68" s="746">
        <v>330</v>
      </c>
      <c r="O68" s="746">
        <v>305</v>
      </c>
      <c r="P68" s="746">
        <v>1200</v>
      </c>
      <c r="Q68" s="746">
        <v>1080</v>
      </c>
      <c r="R68" s="746">
        <v>1200</v>
      </c>
      <c r="S68" s="746">
        <f t="shared" ref="S68:S131" si="44">V68</f>
        <v>4</v>
      </c>
      <c r="T68" s="746">
        <f t="shared" ref="T68:T131" si="45">ROUNDDOWN(P68/M68,0)</f>
        <v>1</v>
      </c>
      <c r="U68" s="746">
        <f t="shared" ref="U68:U131" si="46">ROUNDDOWN(Q68/N68,0)</f>
        <v>3</v>
      </c>
      <c r="V68" s="746">
        <f t="shared" ref="V68:V131" si="47">ROUND(R68/O68,0)</f>
        <v>4</v>
      </c>
      <c r="W68" s="746">
        <f t="shared" ref="W68:W131" si="48">T68*U68*V68</f>
        <v>12</v>
      </c>
      <c r="X68" s="758">
        <f t="shared" ref="X68:X131" si="49">I68*W68</f>
        <v>341.33106836587694</v>
      </c>
      <c r="Y68" s="747">
        <f t="shared" ref="Y68:Y131" si="50">CONVERT(R68,"mm","ft")</f>
        <v>3.9370078740157481</v>
      </c>
      <c r="Z68" s="746">
        <f t="shared" ref="Z68:Z131" si="51">IFERROR(ROUNDUP(G68/W68*1.05,0),0)</f>
        <v>2</v>
      </c>
      <c r="AA68" s="746">
        <f t="shared" ref="AA68:AA131" si="52">M68*N68*O68</f>
        <v>107393550</v>
      </c>
      <c r="AB68" s="746">
        <f t="shared" ref="AB68:AB131" si="53">CONVERT(AA68,"mm^3","ft^3")</f>
        <v>3.7925674262875213</v>
      </c>
      <c r="AC68" s="759" t="s">
        <v>594</v>
      </c>
      <c r="AD68" s="746">
        <f t="shared" si="32"/>
        <v>10</v>
      </c>
      <c r="AE68" s="746">
        <f t="shared" ref="AE68:AE131" si="54">(Z68*$AE$2)*$AE$1</f>
        <v>1</v>
      </c>
      <c r="AF68" s="746">
        <f t="shared" ref="AF68:AF131" si="55">(Z68*$AF$2)*$AF$1</f>
        <v>1.2000000000000002</v>
      </c>
      <c r="AG68" s="746">
        <f t="shared" ref="AG68:AG131" si="56">(Z68*$AG$2)*$AG$1</f>
        <v>2.8000000000000003</v>
      </c>
      <c r="AH68" s="746">
        <f t="shared" ref="AH68:AH131" si="57">(Z68*$AH$2)*$AH$1</f>
        <v>12</v>
      </c>
      <c r="AI68" s="746">
        <f t="shared" ref="AI68:AI131" si="58">SUM(AE68:AH68)</f>
        <v>17</v>
      </c>
      <c r="AJ68" s="746">
        <f t="shared" ref="AJ68:AJ131" si="59">ROUND(G68*$AJ$1,0)</f>
        <v>7</v>
      </c>
      <c r="AK68" s="746">
        <f t="shared" ref="AK68:AK131" si="60">ROUND(G68*$AK$1,0)</f>
        <v>3</v>
      </c>
      <c r="AL68" s="746">
        <f t="shared" ref="AL68:AL131" si="61">ROUND(G68*$AL$1,0)</f>
        <v>3</v>
      </c>
      <c r="AM68" s="746">
        <f t="shared" ref="AM68:AM131" si="62">ROUND(G68*$AM$1,0)</f>
        <v>1</v>
      </c>
      <c r="AN68" s="746">
        <f t="shared" ref="AN68:AN131" si="63">IFERROR(ROUND(AJ68/W68*$AN$1,0),0)</f>
        <v>1</v>
      </c>
      <c r="AO68" s="746">
        <f t="shared" ref="AO68:AO131" si="64">IFERROR(ROUND(AK68/W68*$AO$1,0),0)</f>
        <v>1</v>
      </c>
      <c r="AP68" s="746">
        <f t="shared" ref="AP68:AP131" si="65">IFERROR(ROUND(AL68/W68*$AP$1,0),0)</f>
        <v>2</v>
      </c>
      <c r="AQ68" s="746">
        <f t="shared" ref="AQ68:AQ131" si="66">IFERROR(ROUND(AM68/W68*$AQ$1,0),0)</f>
        <v>5</v>
      </c>
      <c r="AR68" s="746">
        <f t="shared" ref="AR68:AR131" si="67">SUM(AN68:AQ68)</f>
        <v>9</v>
      </c>
    </row>
    <row r="69" spans="1:44">
      <c r="A69" s="746" t="s">
        <v>801</v>
      </c>
      <c r="B69" s="746">
        <v>3797</v>
      </c>
      <c r="C69" s="747">
        <v>316.41666666666669</v>
      </c>
      <c r="D69" s="746">
        <f t="shared" si="38"/>
        <v>317</v>
      </c>
      <c r="E69" s="757">
        <f t="shared" si="39"/>
        <v>2.0269060589784907E-3</v>
      </c>
      <c r="F69" s="746">
        <v>26</v>
      </c>
      <c r="G69" s="746">
        <f t="shared" si="40"/>
        <v>13</v>
      </c>
      <c r="H69" s="746">
        <v>15</v>
      </c>
      <c r="I69" s="747">
        <f t="shared" si="43"/>
        <v>15.190972222222221</v>
      </c>
      <c r="J69" s="746">
        <f t="shared" si="41"/>
        <v>195</v>
      </c>
      <c r="K69" s="746">
        <v>600</v>
      </c>
      <c r="L69" s="746">
        <f t="shared" si="42"/>
        <v>1</v>
      </c>
      <c r="M69" s="746">
        <v>635</v>
      </c>
      <c r="N69" s="746">
        <v>355.6</v>
      </c>
      <c r="O69" s="746">
        <v>254</v>
      </c>
      <c r="P69" s="746">
        <v>1200</v>
      </c>
      <c r="Q69" s="746">
        <v>1080</v>
      </c>
      <c r="R69" s="746">
        <v>1200</v>
      </c>
      <c r="S69" s="746">
        <f t="shared" si="44"/>
        <v>5</v>
      </c>
      <c r="T69" s="746">
        <f t="shared" si="45"/>
        <v>1</v>
      </c>
      <c r="U69" s="746">
        <f t="shared" si="46"/>
        <v>3</v>
      </c>
      <c r="V69" s="746">
        <f t="shared" si="47"/>
        <v>5</v>
      </c>
      <c r="W69" s="746">
        <f t="shared" si="48"/>
        <v>15</v>
      </c>
      <c r="X69" s="758">
        <f t="shared" si="49"/>
        <v>227.86458333333331</v>
      </c>
      <c r="Y69" s="747">
        <f t="shared" si="50"/>
        <v>3.9370078740157481</v>
      </c>
      <c r="Z69" s="746">
        <f t="shared" si="51"/>
        <v>1</v>
      </c>
      <c r="AA69" s="746">
        <f t="shared" si="52"/>
        <v>57354724</v>
      </c>
      <c r="AB69" s="746">
        <f t="shared" si="53"/>
        <v>2.0254629629629628</v>
      </c>
      <c r="AC69" s="759" t="s">
        <v>594</v>
      </c>
      <c r="AD69" s="746">
        <f t="shared" si="32"/>
        <v>5</v>
      </c>
      <c r="AE69" s="746">
        <f t="shared" si="54"/>
        <v>0.5</v>
      </c>
      <c r="AF69" s="746">
        <f t="shared" si="55"/>
        <v>0.60000000000000009</v>
      </c>
      <c r="AG69" s="746">
        <f t="shared" si="56"/>
        <v>1.4000000000000001</v>
      </c>
      <c r="AH69" s="746">
        <f t="shared" si="57"/>
        <v>6</v>
      </c>
      <c r="AI69" s="746">
        <f t="shared" si="58"/>
        <v>8.5</v>
      </c>
      <c r="AJ69" s="746">
        <f t="shared" si="59"/>
        <v>7</v>
      </c>
      <c r="AK69" s="746">
        <f t="shared" si="60"/>
        <v>3</v>
      </c>
      <c r="AL69" s="746">
        <f t="shared" si="61"/>
        <v>3</v>
      </c>
      <c r="AM69" s="746">
        <f t="shared" si="62"/>
        <v>1</v>
      </c>
      <c r="AN69" s="746">
        <f t="shared" si="63"/>
        <v>0</v>
      </c>
      <c r="AO69" s="746">
        <f t="shared" si="64"/>
        <v>1</v>
      </c>
      <c r="AP69" s="746">
        <f t="shared" si="65"/>
        <v>1</v>
      </c>
      <c r="AQ69" s="746">
        <f t="shared" si="66"/>
        <v>4</v>
      </c>
      <c r="AR69" s="746">
        <f t="shared" si="67"/>
        <v>6</v>
      </c>
    </row>
    <row r="70" spans="1:44">
      <c r="A70" s="746" t="s">
        <v>802</v>
      </c>
      <c r="B70" s="746">
        <v>3243</v>
      </c>
      <c r="C70" s="747">
        <v>270.25</v>
      </c>
      <c r="D70" s="746">
        <f t="shared" si="38"/>
        <v>271</v>
      </c>
      <c r="E70" s="757">
        <f t="shared" si="39"/>
        <v>1.7327808895368168E-3</v>
      </c>
      <c r="F70" s="746">
        <v>26</v>
      </c>
      <c r="G70" s="746">
        <f t="shared" si="40"/>
        <v>11</v>
      </c>
      <c r="H70" s="746">
        <v>15</v>
      </c>
      <c r="I70" s="747">
        <f t="shared" si="43"/>
        <v>33.10911569739806</v>
      </c>
      <c r="J70" s="746">
        <f t="shared" si="41"/>
        <v>165</v>
      </c>
      <c r="K70" s="746">
        <v>600</v>
      </c>
      <c r="L70" s="746">
        <f t="shared" si="42"/>
        <v>1</v>
      </c>
      <c r="M70" s="746">
        <v>965</v>
      </c>
      <c r="N70" s="746">
        <v>508</v>
      </c>
      <c r="O70" s="746">
        <v>255</v>
      </c>
      <c r="P70" s="746">
        <v>1200</v>
      </c>
      <c r="Q70" s="746">
        <v>1080</v>
      </c>
      <c r="R70" s="746">
        <v>1200</v>
      </c>
      <c r="S70" s="746">
        <f t="shared" si="44"/>
        <v>5</v>
      </c>
      <c r="T70" s="746">
        <f t="shared" si="45"/>
        <v>1</v>
      </c>
      <c r="U70" s="746">
        <f t="shared" si="46"/>
        <v>2</v>
      </c>
      <c r="V70" s="746">
        <f t="shared" si="47"/>
        <v>5</v>
      </c>
      <c r="W70" s="746">
        <f t="shared" si="48"/>
        <v>10</v>
      </c>
      <c r="X70" s="758">
        <f t="shared" si="49"/>
        <v>331.09115697398062</v>
      </c>
      <c r="Y70" s="747">
        <f t="shared" si="50"/>
        <v>3.9370078740157481</v>
      </c>
      <c r="Z70" s="746">
        <f t="shared" si="51"/>
        <v>2</v>
      </c>
      <c r="AA70" s="746">
        <f t="shared" si="52"/>
        <v>125006100</v>
      </c>
      <c r="AB70" s="746">
        <f t="shared" si="53"/>
        <v>4.4145487596530746</v>
      </c>
      <c r="AC70" s="759" t="s">
        <v>594</v>
      </c>
      <c r="AD70" s="746">
        <f t="shared" si="32"/>
        <v>10</v>
      </c>
      <c r="AE70" s="746">
        <f t="shared" si="54"/>
        <v>1</v>
      </c>
      <c r="AF70" s="746">
        <f t="shared" si="55"/>
        <v>1.2000000000000002</v>
      </c>
      <c r="AG70" s="746">
        <f t="shared" si="56"/>
        <v>2.8000000000000003</v>
      </c>
      <c r="AH70" s="746">
        <f t="shared" si="57"/>
        <v>12</v>
      </c>
      <c r="AI70" s="746">
        <f t="shared" si="58"/>
        <v>17</v>
      </c>
      <c r="AJ70" s="746">
        <f t="shared" si="59"/>
        <v>6</v>
      </c>
      <c r="AK70" s="746">
        <f t="shared" si="60"/>
        <v>2</v>
      </c>
      <c r="AL70" s="746">
        <f t="shared" si="61"/>
        <v>2</v>
      </c>
      <c r="AM70" s="746">
        <f t="shared" si="62"/>
        <v>1</v>
      </c>
      <c r="AN70" s="746">
        <f t="shared" si="63"/>
        <v>1</v>
      </c>
      <c r="AO70" s="746">
        <f t="shared" si="64"/>
        <v>1</v>
      </c>
      <c r="AP70" s="746">
        <f t="shared" si="65"/>
        <v>1</v>
      </c>
      <c r="AQ70" s="746">
        <f t="shared" si="66"/>
        <v>6</v>
      </c>
      <c r="AR70" s="746">
        <f t="shared" si="67"/>
        <v>9</v>
      </c>
    </row>
    <row r="71" spans="1:44">
      <c r="A71" s="746" t="s">
        <v>803</v>
      </c>
      <c r="B71" s="746">
        <v>3040</v>
      </c>
      <c r="C71" s="747">
        <v>253.33333333333334</v>
      </c>
      <c r="D71" s="746">
        <f t="shared" si="38"/>
        <v>254</v>
      </c>
      <c r="E71" s="757">
        <f t="shared" si="39"/>
        <v>1.6240824573518504E-3</v>
      </c>
      <c r="F71" s="746">
        <v>26</v>
      </c>
      <c r="G71" s="746">
        <f t="shared" si="40"/>
        <v>10</v>
      </c>
      <c r="H71" s="746">
        <v>15</v>
      </c>
      <c r="I71" s="747">
        <f t="shared" si="43"/>
        <v>2.0659722222222228</v>
      </c>
      <c r="J71" s="746">
        <f t="shared" si="41"/>
        <v>150</v>
      </c>
      <c r="K71" s="746">
        <v>600</v>
      </c>
      <c r="L71" s="746">
        <f t="shared" si="42"/>
        <v>1</v>
      </c>
      <c r="M71" s="746">
        <v>431.8</v>
      </c>
      <c r="N71" s="746">
        <v>177.8</v>
      </c>
      <c r="O71" s="746">
        <v>101.6</v>
      </c>
      <c r="P71" s="746">
        <v>1200</v>
      </c>
      <c r="Q71" s="746">
        <v>1080</v>
      </c>
      <c r="R71" s="746">
        <v>1200</v>
      </c>
      <c r="S71" s="746">
        <f t="shared" si="44"/>
        <v>12</v>
      </c>
      <c r="T71" s="746">
        <f t="shared" si="45"/>
        <v>2</v>
      </c>
      <c r="U71" s="746">
        <f>ROUNDDOWN(Q71/N71,0)-1</f>
        <v>5</v>
      </c>
      <c r="V71" s="746">
        <f t="shared" si="47"/>
        <v>12</v>
      </c>
      <c r="W71" s="746">
        <f t="shared" si="48"/>
        <v>120</v>
      </c>
      <c r="X71" s="758">
        <f t="shared" si="49"/>
        <v>247.91666666666674</v>
      </c>
      <c r="Y71" s="747">
        <f t="shared" si="50"/>
        <v>3.9370078740157481</v>
      </c>
      <c r="Z71" s="746">
        <f t="shared" si="51"/>
        <v>1</v>
      </c>
      <c r="AA71" s="746">
        <f t="shared" si="52"/>
        <v>7800242.4640000006</v>
      </c>
      <c r="AB71" s="746">
        <f t="shared" si="53"/>
        <v>0.27546296296296302</v>
      </c>
      <c r="AC71" s="759" t="s">
        <v>594</v>
      </c>
      <c r="AD71" s="746">
        <f t="shared" si="32"/>
        <v>5</v>
      </c>
      <c r="AE71" s="746">
        <f t="shared" si="54"/>
        <v>0.5</v>
      </c>
      <c r="AF71" s="746">
        <f t="shared" si="55"/>
        <v>0.60000000000000009</v>
      </c>
      <c r="AG71" s="746">
        <f t="shared" si="56"/>
        <v>1.4000000000000001</v>
      </c>
      <c r="AH71" s="746">
        <f t="shared" si="57"/>
        <v>6</v>
      </c>
      <c r="AI71" s="746">
        <f t="shared" si="58"/>
        <v>8.5</v>
      </c>
      <c r="AJ71" s="746">
        <f t="shared" si="59"/>
        <v>5</v>
      </c>
      <c r="AK71" s="746">
        <f t="shared" si="60"/>
        <v>2</v>
      </c>
      <c r="AL71" s="746">
        <f t="shared" si="61"/>
        <v>2</v>
      </c>
      <c r="AM71" s="746">
        <f t="shared" si="62"/>
        <v>1</v>
      </c>
      <c r="AN71" s="746">
        <f t="shared" si="63"/>
        <v>0</v>
      </c>
      <c r="AO71" s="746">
        <f t="shared" si="64"/>
        <v>0</v>
      </c>
      <c r="AP71" s="746">
        <f t="shared" si="65"/>
        <v>0</v>
      </c>
      <c r="AQ71" s="746">
        <f t="shared" si="66"/>
        <v>1</v>
      </c>
      <c r="AR71" s="746">
        <f t="shared" si="67"/>
        <v>1</v>
      </c>
    </row>
    <row r="72" spans="1:44">
      <c r="A72" s="746" t="s">
        <v>804</v>
      </c>
      <c r="B72" s="746">
        <v>2950</v>
      </c>
      <c r="C72" s="747">
        <v>245.83333333333331</v>
      </c>
      <c r="D72" s="746">
        <f t="shared" si="38"/>
        <v>246</v>
      </c>
      <c r="E72" s="757">
        <f t="shared" si="39"/>
        <v>1.5729302539706897E-3</v>
      </c>
      <c r="F72" s="746">
        <v>26</v>
      </c>
      <c r="G72" s="746">
        <f t="shared" si="40"/>
        <v>10</v>
      </c>
      <c r="H72" s="746">
        <v>15</v>
      </c>
      <c r="I72" s="747">
        <f t="shared" si="43"/>
        <v>10.416666666666666</v>
      </c>
      <c r="J72" s="746">
        <f t="shared" si="41"/>
        <v>150</v>
      </c>
      <c r="K72" s="746">
        <v>600</v>
      </c>
      <c r="L72" s="746">
        <f t="shared" si="42"/>
        <v>1</v>
      </c>
      <c r="M72" s="746">
        <v>508</v>
      </c>
      <c r="N72" s="746">
        <v>304.8</v>
      </c>
      <c r="O72" s="746">
        <v>254</v>
      </c>
      <c r="P72" s="746">
        <v>1200</v>
      </c>
      <c r="Q72" s="746">
        <v>1080</v>
      </c>
      <c r="R72" s="746">
        <v>1200</v>
      </c>
      <c r="S72" s="746">
        <f t="shared" si="44"/>
        <v>5</v>
      </c>
      <c r="T72" s="746">
        <f t="shared" si="45"/>
        <v>2</v>
      </c>
      <c r="U72" s="746">
        <f t="shared" si="46"/>
        <v>3</v>
      </c>
      <c r="V72" s="746">
        <f t="shared" si="47"/>
        <v>5</v>
      </c>
      <c r="W72" s="746">
        <f t="shared" si="48"/>
        <v>30</v>
      </c>
      <c r="X72" s="758">
        <f t="shared" si="49"/>
        <v>312.5</v>
      </c>
      <c r="Y72" s="747">
        <f t="shared" si="50"/>
        <v>3.9370078740157481</v>
      </c>
      <c r="Z72" s="746">
        <f t="shared" si="51"/>
        <v>1</v>
      </c>
      <c r="AA72" s="746">
        <f t="shared" si="52"/>
        <v>39328953.600000001</v>
      </c>
      <c r="AB72" s="746">
        <f t="shared" si="53"/>
        <v>1.3888888888888888</v>
      </c>
      <c r="AC72" s="759" t="s">
        <v>594</v>
      </c>
      <c r="AD72" s="746">
        <f t="shared" si="32"/>
        <v>5</v>
      </c>
      <c r="AE72" s="746">
        <f t="shared" si="54"/>
        <v>0.5</v>
      </c>
      <c r="AF72" s="746">
        <f t="shared" si="55"/>
        <v>0.60000000000000009</v>
      </c>
      <c r="AG72" s="746">
        <f t="shared" si="56"/>
        <v>1.4000000000000001</v>
      </c>
      <c r="AH72" s="746">
        <f t="shared" si="57"/>
        <v>6</v>
      </c>
      <c r="AI72" s="746">
        <f t="shared" si="58"/>
        <v>8.5</v>
      </c>
      <c r="AJ72" s="746">
        <f t="shared" si="59"/>
        <v>5</v>
      </c>
      <c r="AK72" s="746">
        <f t="shared" si="60"/>
        <v>2</v>
      </c>
      <c r="AL72" s="746">
        <f t="shared" si="61"/>
        <v>2</v>
      </c>
      <c r="AM72" s="746">
        <f t="shared" si="62"/>
        <v>1</v>
      </c>
      <c r="AN72" s="746">
        <f t="shared" si="63"/>
        <v>0</v>
      </c>
      <c r="AO72" s="746">
        <f t="shared" si="64"/>
        <v>0</v>
      </c>
      <c r="AP72" s="746">
        <f t="shared" si="65"/>
        <v>0</v>
      </c>
      <c r="AQ72" s="746">
        <f t="shared" si="66"/>
        <v>2</v>
      </c>
      <c r="AR72" s="746">
        <f t="shared" si="67"/>
        <v>2</v>
      </c>
    </row>
    <row r="73" spans="1:44">
      <c r="A73" s="746" t="s">
        <v>805</v>
      </c>
      <c r="B73" s="746">
        <v>2825</v>
      </c>
      <c r="C73" s="747">
        <v>235.41666666666666</v>
      </c>
      <c r="D73" s="746">
        <f t="shared" si="38"/>
        <v>236</v>
      </c>
      <c r="E73" s="757">
        <f t="shared" si="39"/>
        <v>1.5089899997442391E-3</v>
      </c>
      <c r="F73" s="746">
        <v>26</v>
      </c>
      <c r="G73" s="746">
        <f t="shared" si="40"/>
        <v>10</v>
      </c>
      <c r="H73" s="746">
        <v>15</v>
      </c>
      <c r="I73" s="747">
        <f t="shared" si="43"/>
        <v>10.628302096499207</v>
      </c>
      <c r="J73" s="746">
        <f t="shared" si="41"/>
        <v>150</v>
      </c>
      <c r="K73" s="746">
        <v>600</v>
      </c>
      <c r="L73" s="746">
        <f t="shared" si="42"/>
        <v>1</v>
      </c>
      <c r="M73" s="746">
        <v>660</v>
      </c>
      <c r="N73" s="746">
        <v>380</v>
      </c>
      <c r="O73" s="746">
        <v>160</v>
      </c>
      <c r="P73" s="746">
        <v>1200</v>
      </c>
      <c r="Q73" s="746">
        <v>1080</v>
      </c>
      <c r="R73" s="746">
        <v>1200</v>
      </c>
      <c r="S73" s="746">
        <f t="shared" si="44"/>
        <v>8</v>
      </c>
      <c r="T73" s="746">
        <f t="shared" si="45"/>
        <v>1</v>
      </c>
      <c r="U73" s="746">
        <f t="shared" si="46"/>
        <v>2</v>
      </c>
      <c r="V73" s="746">
        <f t="shared" si="47"/>
        <v>8</v>
      </c>
      <c r="W73" s="746">
        <f t="shared" si="48"/>
        <v>16</v>
      </c>
      <c r="X73" s="758">
        <f t="shared" si="49"/>
        <v>170.0528335439873</v>
      </c>
      <c r="Y73" s="747">
        <f t="shared" si="50"/>
        <v>3.9370078740157481</v>
      </c>
      <c r="Z73" s="746">
        <f t="shared" si="51"/>
        <v>1</v>
      </c>
      <c r="AA73" s="746">
        <f t="shared" si="52"/>
        <v>40128000</v>
      </c>
      <c r="AB73" s="746">
        <f t="shared" si="53"/>
        <v>1.4171069461998942</v>
      </c>
      <c r="AC73" s="759" t="s">
        <v>594</v>
      </c>
      <c r="AD73" s="746">
        <f t="shared" si="32"/>
        <v>5</v>
      </c>
      <c r="AE73" s="746">
        <f t="shared" si="54"/>
        <v>0.5</v>
      </c>
      <c r="AF73" s="746">
        <f t="shared" si="55"/>
        <v>0.60000000000000009</v>
      </c>
      <c r="AG73" s="746">
        <f t="shared" si="56"/>
        <v>1.4000000000000001</v>
      </c>
      <c r="AH73" s="746">
        <f t="shared" si="57"/>
        <v>6</v>
      </c>
      <c r="AI73" s="746">
        <f t="shared" si="58"/>
        <v>8.5</v>
      </c>
      <c r="AJ73" s="746">
        <f t="shared" si="59"/>
        <v>5</v>
      </c>
      <c r="AK73" s="746">
        <f t="shared" si="60"/>
        <v>2</v>
      </c>
      <c r="AL73" s="746">
        <f t="shared" si="61"/>
        <v>2</v>
      </c>
      <c r="AM73" s="746">
        <f t="shared" si="62"/>
        <v>1</v>
      </c>
      <c r="AN73" s="746">
        <f t="shared" si="63"/>
        <v>0</v>
      </c>
      <c r="AO73" s="746">
        <f t="shared" si="64"/>
        <v>0</v>
      </c>
      <c r="AP73" s="746">
        <f t="shared" si="65"/>
        <v>1</v>
      </c>
      <c r="AQ73" s="746">
        <f t="shared" si="66"/>
        <v>4</v>
      </c>
      <c r="AR73" s="746">
        <f t="shared" si="67"/>
        <v>5</v>
      </c>
    </row>
    <row r="74" spans="1:44">
      <c r="A74" s="746" t="s">
        <v>806</v>
      </c>
      <c r="B74" s="746">
        <v>2800</v>
      </c>
      <c r="C74" s="747">
        <v>233.33333333333334</v>
      </c>
      <c r="D74" s="746">
        <f t="shared" si="38"/>
        <v>234</v>
      </c>
      <c r="E74" s="757">
        <f t="shared" si="39"/>
        <v>1.4962019488989487E-3</v>
      </c>
      <c r="F74" s="746">
        <v>26</v>
      </c>
      <c r="G74" s="746">
        <f t="shared" si="40"/>
        <v>9</v>
      </c>
      <c r="H74" s="746">
        <v>15</v>
      </c>
      <c r="I74" s="747">
        <f t="shared" si="43"/>
        <v>28.282810283905786</v>
      </c>
      <c r="J74" s="746">
        <f t="shared" si="41"/>
        <v>135</v>
      </c>
      <c r="K74" s="746">
        <v>600</v>
      </c>
      <c r="L74" s="746">
        <f t="shared" si="42"/>
        <v>1</v>
      </c>
      <c r="M74" s="746">
        <v>940</v>
      </c>
      <c r="N74" s="746">
        <v>355</v>
      </c>
      <c r="O74" s="746">
        <v>320</v>
      </c>
      <c r="P74" s="746">
        <v>1200</v>
      </c>
      <c r="Q74" s="746">
        <v>1080</v>
      </c>
      <c r="R74" s="746">
        <v>1200</v>
      </c>
      <c r="S74" s="746">
        <f t="shared" si="44"/>
        <v>4</v>
      </c>
      <c r="T74" s="746">
        <f t="shared" si="45"/>
        <v>1</v>
      </c>
      <c r="U74" s="746">
        <f t="shared" si="46"/>
        <v>3</v>
      </c>
      <c r="V74" s="746">
        <f t="shared" si="47"/>
        <v>4</v>
      </c>
      <c r="W74" s="746">
        <f t="shared" si="48"/>
        <v>12</v>
      </c>
      <c r="X74" s="758">
        <f t="shared" si="49"/>
        <v>339.39372340686941</v>
      </c>
      <c r="Y74" s="747">
        <f t="shared" si="50"/>
        <v>3.9370078740157481</v>
      </c>
      <c r="Z74" s="746">
        <f t="shared" si="51"/>
        <v>1</v>
      </c>
      <c r="AA74" s="746">
        <f t="shared" si="52"/>
        <v>106784000</v>
      </c>
      <c r="AB74" s="746">
        <f t="shared" si="53"/>
        <v>3.771041371187438</v>
      </c>
      <c r="AC74" s="759" t="s">
        <v>594</v>
      </c>
      <c r="AD74" s="746">
        <f t="shared" si="32"/>
        <v>5</v>
      </c>
      <c r="AE74" s="746">
        <f t="shared" si="54"/>
        <v>0.5</v>
      </c>
      <c r="AF74" s="746">
        <f t="shared" si="55"/>
        <v>0.60000000000000009</v>
      </c>
      <c r="AG74" s="746">
        <f t="shared" si="56"/>
        <v>1.4000000000000001</v>
      </c>
      <c r="AH74" s="746">
        <f t="shared" si="57"/>
        <v>6</v>
      </c>
      <c r="AI74" s="746">
        <f t="shared" si="58"/>
        <v>8.5</v>
      </c>
      <c r="AJ74" s="746">
        <f t="shared" si="59"/>
        <v>5</v>
      </c>
      <c r="AK74" s="746">
        <f t="shared" si="60"/>
        <v>2</v>
      </c>
      <c r="AL74" s="746">
        <f t="shared" si="61"/>
        <v>2</v>
      </c>
      <c r="AM74" s="746">
        <f t="shared" si="62"/>
        <v>1</v>
      </c>
      <c r="AN74" s="746">
        <f t="shared" si="63"/>
        <v>0</v>
      </c>
      <c r="AO74" s="746">
        <f t="shared" si="64"/>
        <v>1</v>
      </c>
      <c r="AP74" s="746">
        <f t="shared" si="65"/>
        <v>1</v>
      </c>
      <c r="AQ74" s="746">
        <f t="shared" si="66"/>
        <v>5</v>
      </c>
      <c r="AR74" s="746">
        <f t="shared" si="67"/>
        <v>7</v>
      </c>
    </row>
    <row r="75" spans="1:44">
      <c r="A75" s="763" t="s">
        <v>807</v>
      </c>
      <c r="B75" s="746">
        <v>2627</v>
      </c>
      <c r="C75" s="747">
        <v>218.91666666666666</v>
      </c>
      <c r="D75" s="746">
        <f t="shared" si="38"/>
        <v>219</v>
      </c>
      <c r="E75" s="757">
        <f t="shared" si="39"/>
        <v>1.4002915675592727E-3</v>
      </c>
      <c r="F75" s="746">
        <v>26</v>
      </c>
      <c r="G75" s="746">
        <f t="shared" si="40"/>
        <v>9</v>
      </c>
      <c r="H75" s="746">
        <v>15</v>
      </c>
      <c r="I75" s="747">
        <f t="shared" si="43"/>
        <v>10.156249999999998</v>
      </c>
      <c r="J75" s="746">
        <f t="shared" si="41"/>
        <v>135</v>
      </c>
      <c r="K75" s="746">
        <v>600</v>
      </c>
      <c r="L75" s="746">
        <f t="shared" si="42"/>
        <v>1</v>
      </c>
      <c r="M75" s="746">
        <v>1320.8</v>
      </c>
      <c r="N75" s="746">
        <v>228.6</v>
      </c>
      <c r="O75" s="746">
        <v>127</v>
      </c>
      <c r="P75" s="746">
        <v>1500</v>
      </c>
      <c r="Q75" s="746">
        <v>1080</v>
      </c>
      <c r="R75" s="746">
        <v>1200</v>
      </c>
      <c r="S75" s="746">
        <f t="shared" si="44"/>
        <v>9</v>
      </c>
      <c r="T75" s="746">
        <f t="shared" si="45"/>
        <v>1</v>
      </c>
      <c r="U75" s="746">
        <f t="shared" si="46"/>
        <v>4</v>
      </c>
      <c r="V75" s="746">
        <f t="shared" si="47"/>
        <v>9</v>
      </c>
      <c r="W75" s="746">
        <f t="shared" si="48"/>
        <v>36</v>
      </c>
      <c r="X75" s="758">
        <f t="shared" si="49"/>
        <v>365.62499999999994</v>
      </c>
      <c r="Y75" s="747">
        <f t="shared" si="50"/>
        <v>3.9370078740157481</v>
      </c>
      <c r="Z75" s="746">
        <f t="shared" si="51"/>
        <v>1</v>
      </c>
      <c r="AA75" s="746">
        <f t="shared" si="52"/>
        <v>38345729.759999998</v>
      </c>
      <c r="AB75" s="746">
        <f t="shared" si="53"/>
        <v>1.3541666666666665</v>
      </c>
      <c r="AC75" s="759" t="s">
        <v>595</v>
      </c>
      <c r="AD75" s="746">
        <f t="shared" ref="AD75:AD123" si="68">Z75*10</f>
        <v>10</v>
      </c>
      <c r="AE75" s="746">
        <f t="shared" si="54"/>
        <v>0.5</v>
      </c>
      <c r="AF75" s="746">
        <f t="shared" si="55"/>
        <v>0.60000000000000009</v>
      </c>
      <c r="AG75" s="746">
        <f t="shared" si="56"/>
        <v>1.4000000000000001</v>
      </c>
      <c r="AH75" s="746">
        <f t="shared" si="57"/>
        <v>6</v>
      </c>
      <c r="AI75" s="746">
        <f t="shared" si="58"/>
        <v>8.5</v>
      </c>
      <c r="AJ75" s="746">
        <f t="shared" si="59"/>
        <v>5</v>
      </c>
      <c r="AK75" s="746">
        <f t="shared" si="60"/>
        <v>2</v>
      </c>
      <c r="AL75" s="746">
        <f t="shared" si="61"/>
        <v>2</v>
      </c>
      <c r="AM75" s="746">
        <f t="shared" si="62"/>
        <v>1</v>
      </c>
      <c r="AN75" s="746">
        <f t="shared" si="63"/>
        <v>0</v>
      </c>
      <c r="AO75" s="746">
        <f t="shared" si="64"/>
        <v>0</v>
      </c>
      <c r="AP75" s="746">
        <f t="shared" si="65"/>
        <v>0</v>
      </c>
      <c r="AQ75" s="746">
        <f t="shared" si="66"/>
        <v>2</v>
      </c>
      <c r="AR75" s="746">
        <f t="shared" si="67"/>
        <v>2</v>
      </c>
    </row>
    <row r="76" spans="1:44">
      <c r="A76" s="746" t="s">
        <v>808</v>
      </c>
      <c r="B76" s="746">
        <v>2575</v>
      </c>
      <c r="C76" s="747">
        <v>214.58333333333334</v>
      </c>
      <c r="D76" s="746">
        <f t="shared" si="38"/>
        <v>215</v>
      </c>
      <c r="E76" s="757">
        <f t="shared" si="39"/>
        <v>1.3747154658686922E-3</v>
      </c>
      <c r="F76" s="746">
        <v>26</v>
      </c>
      <c r="G76" s="746">
        <f t="shared" si="40"/>
        <v>9</v>
      </c>
      <c r="H76" s="746">
        <v>15</v>
      </c>
      <c r="I76" s="747">
        <f t="shared" si="43"/>
        <v>23.953938437185712</v>
      </c>
      <c r="J76" s="746">
        <f t="shared" si="41"/>
        <v>135</v>
      </c>
      <c r="K76" s="746">
        <v>600</v>
      </c>
      <c r="L76" s="746">
        <f t="shared" si="42"/>
        <v>1</v>
      </c>
      <c r="M76" s="746">
        <v>850</v>
      </c>
      <c r="N76" s="746">
        <v>380</v>
      </c>
      <c r="O76" s="746">
        <v>280</v>
      </c>
      <c r="P76" s="746">
        <v>1200</v>
      </c>
      <c r="Q76" s="746">
        <v>1080</v>
      </c>
      <c r="R76" s="746">
        <v>1200</v>
      </c>
      <c r="S76" s="746">
        <f t="shared" si="44"/>
        <v>4</v>
      </c>
      <c r="T76" s="746">
        <f t="shared" si="45"/>
        <v>1</v>
      </c>
      <c r="U76" s="746">
        <f t="shared" si="46"/>
        <v>2</v>
      </c>
      <c r="V76" s="746">
        <f t="shared" si="47"/>
        <v>4</v>
      </c>
      <c r="W76" s="746">
        <f t="shared" si="48"/>
        <v>8</v>
      </c>
      <c r="X76" s="758">
        <f t="shared" si="49"/>
        <v>191.6315074974857</v>
      </c>
      <c r="Y76" s="747">
        <f t="shared" si="50"/>
        <v>3.9370078740157481</v>
      </c>
      <c r="Z76" s="746">
        <f t="shared" si="51"/>
        <v>2</v>
      </c>
      <c r="AA76" s="746">
        <f t="shared" si="52"/>
        <v>90440000</v>
      </c>
      <c r="AB76" s="746">
        <f t="shared" si="53"/>
        <v>3.1938584582914284</v>
      </c>
      <c r="AC76" s="759" t="s">
        <v>594</v>
      </c>
      <c r="AD76" s="746">
        <f t="shared" ref="AD76:AD100" si="69">Z76*5</f>
        <v>10</v>
      </c>
      <c r="AE76" s="746">
        <f t="shared" si="54"/>
        <v>1</v>
      </c>
      <c r="AF76" s="746">
        <f t="shared" si="55"/>
        <v>1.2000000000000002</v>
      </c>
      <c r="AG76" s="746">
        <f t="shared" si="56"/>
        <v>2.8000000000000003</v>
      </c>
      <c r="AH76" s="746">
        <f t="shared" si="57"/>
        <v>12</v>
      </c>
      <c r="AI76" s="746">
        <f t="shared" si="58"/>
        <v>17</v>
      </c>
      <c r="AJ76" s="746">
        <f t="shared" si="59"/>
        <v>5</v>
      </c>
      <c r="AK76" s="746">
        <f t="shared" si="60"/>
        <v>2</v>
      </c>
      <c r="AL76" s="746">
        <f t="shared" si="61"/>
        <v>2</v>
      </c>
      <c r="AM76" s="746">
        <f t="shared" si="62"/>
        <v>1</v>
      </c>
      <c r="AN76" s="746">
        <f t="shared" si="63"/>
        <v>1</v>
      </c>
      <c r="AO76" s="746">
        <f t="shared" si="64"/>
        <v>1</v>
      </c>
      <c r="AP76" s="746">
        <f t="shared" si="65"/>
        <v>2</v>
      </c>
      <c r="AQ76" s="746">
        <f t="shared" si="66"/>
        <v>8</v>
      </c>
      <c r="AR76" s="746">
        <f t="shared" si="67"/>
        <v>12</v>
      </c>
    </row>
    <row r="77" spans="1:44">
      <c r="A77" s="746" t="s">
        <v>809</v>
      </c>
      <c r="B77" s="746">
        <v>2490</v>
      </c>
      <c r="C77" s="747">
        <v>207.5</v>
      </c>
      <c r="D77" s="746">
        <f t="shared" si="38"/>
        <v>208</v>
      </c>
      <c r="E77" s="757">
        <f t="shared" si="39"/>
        <v>1.3299572879101767E-3</v>
      </c>
      <c r="F77" s="746">
        <v>26</v>
      </c>
      <c r="G77" s="746">
        <f t="shared" si="40"/>
        <v>8</v>
      </c>
      <c r="H77" s="746">
        <v>15</v>
      </c>
      <c r="I77" s="747">
        <f t="shared" si="43"/>
        <v>12.499999999999998</v>
      </c>
      <c r="J77" s="746">
        <f t="shared" si="41"/>
        <v>120</v>
      </c>
      <c r="K77" s="746">
        <v>600</v>
      </c>
      <c r="L77" s="746">
        <f t="shared" si="42"/>
        <v>1</v>
      </c>
      <c r="M77" s="746">
        <v>609.6</v>
      </c>
      <c r="N77" s="746">
        <v>381</v>
      </c>
      <c r="O77" s="746">
        <v>203.2</v>
      </c>
      <c r="P77" s="746">
        <v>1200</v>
      </c>
      <c r="Q77" s="746">
        <v>1080</v>
      </c>
      <c r="R77" s="746">
        <v>1200</v>
      </c>
      <c r="S77" s="746">
        <f t="shared" si="44"/>
        <v>6</v>
      </c>
      <c r="T77" s="746">
        <f t="shared" si="45"/>
        <v>1</v>
      </c>
      <c r="U77" s="746">
        <f t="shared" si="46"/>
        <v>2</v>
      </c>
      <c r="V77" s="746">
        <f t="shared" si="47"/>
        <v>6</v>
      </c>
      <c r="W77" s="746">
        <f t="shared" si="48"/>
        <v>12</v>
      </c>
      <c r="X77" s="758">
        <f t="shared" si="49"/>
        <v>149.99999999999997</v>
      </c>
      <c r="Y77" s="747">
        <f t="shared" si="50"/>
        <v>3.9370078740157481</v>
      </c>
      <c r="Z77" s="746">
        <f t="shared" si="51"/>
        <v>1</v>
      </c>
      <c r="AA77" s="746">
        <f t="shared" si="52"/>
        <v>47194744.32</v>
      </c>
      <c r="AB77" s="746">
        <f t="shared" si="53"/>
        <v>1.6666666666666665</v>
      </c>
      <c r="AC77" s="759" t="s">
        <v>594</v>
      </c>
      <c r="AD77" s="746">
        <f t="shared" si="69"/>
        <v>5</v>
      </c>
      <c r="AE77" s="746">
        <f t="shared" si="54"/>
        <v>0.5</v>
      </c>
      <c r="AF77" s="746">
        <f t="shared" si="55"/>
        <v>0.60000000000000009</v>
      </c>
      <c r="AG77" s="746">
        <f t="shared" si="56"/>
        <v>1.4000000000000001</v>
      </c>
      <c r="AH77" s="746">
        <f t="shared" si="57"/>
        <v>6</v>
      </c>
      <c r="AI77" s="746">
        <f t="shared" si="58"/>
        <v>8.5</v>
      </c>
      <c r="AJ77" s="746">
        <f t="shared" si="59"/>
        <v>4</v>
      </c>
      <c r="AK77" s="746">
        <f t="shared" si="60"/>
        <v>2</v>
      </c>
      <c r="AL77" s="746">
        <f t="shared" si="61"/>
        <v>2</v>
      </c>
      <c r="AM77" s="746">
        <f t="shared" si="62"/>
        <v>1</v>
      </c>
      <c r="AN77" s="746">
        <f t="shared" si="63"/>
        <v>0</v>
      </c>
      <c r="AO77" s="746">
        <f t="shared" si="64"/>
        <v>1</v>
      </c>
      <c r="AP77" s="746">
        <f t="shared" si="65"/>
        <v>1</v>
      </c>
      <c r="AQ77" s="746">
        <f t="shared" si="66"/>
        <v>5</v>
      </c>
      <c r="AR77" s="746">
        <f t="shared" si="67"/>
        <v>7</v>
      </c>
    </row>
    <row r="78" spans="1:44">
      <c r="A78" s="746" t="s">
        <v>810</v>
      </c>
      <c r="B78" s="746">
        <v>2400</v>
      </c>
      <c r="C78" s="747">
        <v>200</v>
      </c>
      <c r="D78" s="746">
        <f t="shared" si="38"/>
        <v>200</v>
      </c>
      <c r="E78" s="757">
        <f t="shared" si="39"/>
        <v>1.278805084529016E-3</v>
      </c>
      <c r="F78" s="746">
        <v>26</v>
      </c>
      <c r="G78" s="746">
        <f t="shared" si="40"/>
        <v>8</v>
      </c>
      <c r="H78" s="746">
        <v>15</v>
      </c>
      <c r="I78" s="747">
        <f t="shared" si="43"/>
        <v>31.250000000000004</v>
      </c>
      <c r="J78" s="746">
        <f t="shared" si="41"/>
        <v>120</v>
      </c>
      <c r="K78" s="746">
        <v>600</v>
      </c>
      <c r="L78" s="746">
        <f t="shared" si="42"/>
        <v>1</v>
      </c>
      <c r="M78" s="746">
        <v>762</v>
      </c>
      <c r="N78" s="746">
        <v>508</v>
      </c>
      <c r="O78" s="746">
        <v>304.8</v>
      </c>
      <c r="P78" s="746">
        <v>1200</v>
      </c>
      <c r="Q78" s="746">
        <v>1080</v>
      </c>
      <c r="R78" s="746">
        <v>1200</v>
      </c>
      <c r="S78" s="746">
        <f t="shared" si="44"/>
        <v>4</v>
      </c>
      <c r="T78" s="746">
        <f t="shared" si="45"/>
        <v>1</v>
      </c>
      <c r="U78" s="746">
        <f t="shared" si="46"/>
        <v>2</v>
      </c>
      <c r="V78" s="746">
        <f t="shared" si="47"/>
        <v>4</v>
      </c>
      <c r="W78" s="746">
        <f t="shared" si="48"/>
        <v>8</v>
      </c>
      <c r="X78" s="758">
        <f t="shared" si="49"/>
        <v>250.00000000000003</v>
      </c>
      <c r="Y78" s="747">
        <f t="shared" si="50"/>
        <v>3.9370078740157481</v>
      </c>
      <c r="Z78" s="746">
        <f t="shared" si="51"/>
        <v>2</v>
      </c>
      <c r="AA78" s="746">
        <f t="shared" si="52"/>
        <v>117986860.8</v>
      </c>
      <c r="AB78" s="746">
        <f t="shared" si="53"/>
        <v>4.166666666666667</v>
      </c>
      <c r="AC78" s="759" t="s">
        <v>594</v>
      </c>
      <c r="AD78" s="746">
        <f t="shared" si="69"/>
        <v>10</v>
      </c>
      <c r="AE78" s="746">
        <f t="shared" si="54"/>
        <v>1</v>
      </c>
      <c r="AF78" s="746">
        <f t="shared" si="55"/>
        <v>1.2000000000000002</v>
      </c>
      <c r="AG78" s="746">
        <f t="shared" si="56"/>
        <v>2.8000000000000003</v>
      </c>
      <c r="AH78" s="746">
        <f t="shared" si="57"/>
        <v>12</v>
      </c>
      <c r="AI78" s="746">
        <f t="shared" si="58"/>
        <v>17</v>
      </c>
      <c r="AJ78" s="746">
        <f t="shared" si="59"/>
        <v>4</v>
      </c>
      <c r="AK78" s="746">
        <f t="shared" si="60"/>
        <v>2</v>
      </c>
      <c r="AL78" s="746">
        <f t="shared" si="61"/>
        <v>2</v>
      </c>
      <c r="AM78" s="746">
        <f t="shared" si="62"/>
        <v>1</v>
      </c>
      <c r="AN78" s="746">
        <f t="shared" si="63"/>
        <v>1</v>
      </c>
      <c r="AO78" s="746">
        <f t="shared" si="64"/>
        <v>1</v>
      </c>
      <c r="AP78" s="746">
        <f t="shared" si="65"/>
        <v>2</v>
      </c>
      <c r="AQ78" s="746">
        <f t="shared" si="66"/>
        <v>8</v>
      </c>
      <c r="AR78" s="746">
        <f t="shared" si="67"/>
        <v>12</v>
      </c>
    </row>
    <row r="79" spans="1:44">
      <c r="A79" s="746" t="s">
        <v>811</v>
      </c>
      <c r="B79" s="746">
        <v>2375</v>
      </c>
      <c r="C79" s="747">
        <v>197.91666666666666</v>
      </c>
      <c r="D79" s="746">
        <f t="shared" si="38"/>
        <v>198</v>
      </c>
      <c r="E79" s="757">
        <f t="shared" si="39"/>
        <v>1.2660170336837259E-3</v>
      </c>
      <c r="F79" s="746">
        <v>26</v>
      </c>
      <c r="G79" s="746">
        <f t="shared" si="40"/>
        <v>8</v>
      </c>
      <c r="H79" s="746">
        <v>15</v>
      </c>
      <c r="I79" s="747">
        <f t="shared" si="43"/>
        <v>11.71875</v>
      </c>
      <c r="J79" s="746">
        <f t="shared" si="41"/>
        <v>120</v>
      </c>
      <c r="K79" s="746">
        <v>600</v>
      </c>
      <c r="L79" s="746">
        <f t="shared" si="42"/>
        <v>1</v>
      </c>
      <c r="M79" s="746">
        <v>457.2</v>
      </c>
      <c r="N79" s="746">
        <v>381</v>
      </c>
      <c r="O79" s="746">
        <v>254</v>
      </c>
      <c r="P79" s="746">
        <v>1200</v>
      </c>
      <c r="Q79" s="746">
        <v>1080</v>
      </c>
      <c r="R79" s="746">
        <v>1200</v>
      </c>
      <c r="S79" s="746">
        <f t="shared" si="44"/>
        <v>5</v>
      </c>
      <c r="T79" s="746">
        <f t="shared" si="45"/>
        <v>2</v>
      </c>
      <c r="U79" s="746">
        <f t="shared" si="46"/>
        <v>2</v>
      </c>
      <c r="V79" s="746">
        <f t="shared" si="47"/>
        <v>5</v>
      </c>
      <c r="W79" s="746">
        <f t="shared" si="48"/>
        <v>20</v>
      </c>
      <c r="X79" s="758">
        <f t="shared" si="49"/>
        <v>234.375</v>
      </c>
      <c r="Y79" s="747">
        <f t="shared" si="50"/>
        <v>3.9370078740157481</v>
      </c>
      <c r="Z79" s="746">
        <f t="shared" si="51"/>
        <v>1</v>
      </c>
      <c r="AA79" s="746">
        <f t="shared" si="52"/>
        <v>44245072.799999997</v>
      </c>
      <c r="AB79" s="746">
        <f t="shared" si="53"/>
        <v>1.5625</v>
      </c>
      <c r="AC79" s="759" t="s">
        <v>594</v>
      </c>
      <c r="AD79" s="746">
        <f t="shared" si="69"/>
        <v>5</v>
      </c>
      <c r="AE79" s="746">
        <f t="shared" si="54"/>
        <v>0.5</v>
      </c>
      <c r="AF79" s="746">
        <f t="shared" si="55"/>
        <v>0.60000000000000009</v>
      </c>
      <c r="AG79" s="746">
        <f t="shared" si="56"/>
        <v>1.4000000000000001</v>
      </c>
      <c r="AH79" s="746">
        <f t="shared" si="57"/>
        <v>6</v>
      </c>
      <c r="AI79" s="746">
        <f t="shared" si="58"/>
        <v>8.5</v>
      </c>
      <c r="AJ79" s="746">
        <f t="shared" si="59"/>
        <v>4</v>
      </c>
      <c r="AK79" s="746">
        <f t="shared" si="60"/>
        <v>2</v>
      </c>
      <c r="AL79" s="746">
        <f t="shared" si="61"/>
        <v>2</v>
      </c>
      <c r="AM79" s="746">
        <f t="shared" si="62"/>
        <v>1</v>
      </c>
      <c r="AN79" s="746">
        <f t="shared" si="63"/>
        <v>0</v>
      </c>
      <c r="AO79" s="746">
        <f t="shared" si="64"/>
        <v>0</v>
      </c>
      <c r="AP79" s="746">
        <f t="shared" si="65"/>
        <v>1</v>
      </c>
      <c r="AQ79" s="746">
        <f t="shared" si="66"/>
        <v>3</v>
      </c>
      <c r="AR79" s="746">
        <f t="shared" si="67"/>
        <v>4</v>
      </c>
    </row>
    <row r="80" spans="1:44">
      <c r="A80" s="746" t="s">
        <v>812</v>
      </c>
      <c r="B80" s="746">
        <v>2361</v>
      </c>
      <c r="C80" s="747">
        <v>196.75</v>
      </c>
      <c r="D80" s="746">
        <f t="shared" si="38"/>
        <v>197</v>
      </c>
      <c r="E80" s="757">
        <f t="shared" si="39"/>
        <v>1.2596230082610809E-3</v>
      </c>
      <c r="F80" s="746">
        <v>26</v>
      </c>
      <c r="G80" s="746">
        <f t="shared" si="40"/>
        <v>8</v>
      </c>
      <c r="H80" s="746">
        <v>15</v>
      </c>
      <c r="I80" s="747">
        <f t="shared" si="43"/>
        <v>12.516409581430276</v>
      </c>
      <c r="J80" s="746">
        <f t="shared" si="41"/>
        <v>120</v>
      </c>
      <c r="K80" s="746">
        <v>600</v>
      </c>
      <c r="L80" s="746">
        <f t="shared" si="42"/>
        <v>1</v>
      </c>
      <c r="M80" s="746">
        <v>508</v>
      </c>
      <c r="N80" s="746">
        <v>305</v>
      </c>
      <c r="O80" s="746">
        <v>305</v>
      </c>
      <c r="P80" s="746">
        <v>1200</v>
      </c>
      <c r="Q80" s="746">
        <v>1080</v>
      </c>
      <c r="R80" s="746">
        <v>1200</v>
      </c>
      <c r="S80" s="746">
        <f t="shared" si="44"/>
        <v>4</v>
      </c>
      <c r="T80" s="746">
        <f t="shared" si="45"/>
        <v>2</v>
      </c>
      <c r="U80" s="746">
        <f t="shared" si="46"/>
        <v>3</v>
      </c>
      <c r="V80" s="746">
        <f t="shared" si="47"/>
        <v>4</v>
      </c>
      <c r="W80" s="746">
        <f t="shared" si="48"/>
        <v>24</v>
      </c>
      <c r="X80" s="758">
        <f t="shared" si="49"/>
        <v>300.39382995432663</v>
      </c>
      <c r="Y80" s="747">
        <f t="shared" si="50"/>
        <v>3.9370078740157481</v>
      </c>
      <c r="Z80" s="746">
        <f t="shared" si="51"/>
        <v>1</v>
      </c>
      <c r="AA80" s="746">
        <f t="shared" si="52"/>
        <v>47256700</v>
      </c>
      <c r="AB80" s="746">
        <f t="shared" si="53"/>
        <v>1.6688546108573701</v>
      </c>
      <c r="AC80" s="759" t="s">
        <v>594</v>
      </c>
      <c r="AD80" s="746">
        <f t="shared" si="69"/>
        <v>5</v>
      </c>
      <c r="AE80" s="746">
        <f t="shared" si="54"/>
        <v>0.5</v>
      </c>
      <c r="AF80" s="746">
        <f t="shared" si="55"/>
        <v>0.60000000000000009</v>
      </c>
      <c r="AG80" s="746">
        <f t="shared" si="56"/>
        <v>1.4000000000000001</v>
      </c>
      <c r="AH80" s="746">
        <f t="shared" si="57"/>
        <v>6</v>
      </c>
      <c r="AI80" s="746">
        <f t="shared" si="58"/>
        <v>8.5</v>
      </c>
      <c r="AJ80" s="746">
        <f t="shared" si="59"/>
        <v>4</v>
      </c>
      <c r="AK80" s="746">
        <f t="shared" si="60"/>
        <v>2</v>
      </c>
      <c r="AL80" s="746">
        <f t="shared" si="61"/>
        <v>2</v>
      </c>
      <c r="AM80" s="746">
        <f t="shared" si="62"/>
        <v>1</v>
      </c>
      <c r="AN80" s="746">
        <f t="shared" si="63"/>
        <v>0</v>
      </c>
      <c r="AO80" s="746">
        <f t="shared" si="64"/>
        <v>0</v>
      </c>
      <c r="AP80" s="746">
        <f t="shared" si="65"/>
        <v>1</v>
      </c>
      <c r="AQ80" s="746">
        <f t="shared" si="66"/>
        <v>3</v>
      </c>
      <c r="AR80" s="746">
        <f t="shared" si="67"/>
        <v>4</v>
      </c>
    </row>
    <row r="81" spans="1:44">
      <c r="A81" s="746" t="s">
        <v>813</v>
      </c>
      <c r="B81" s="746">
        <v>2260</v>
      </c>
      <c r="C81" s="747">
        <v>188.33333333333334</v>
      </c>
      <c r="D81" s="746">
        <f t="shared" si="38"/>
        <v>189</v>
      </c>
      <c r="E81" s="757">
        <f t="shared" si="39"/>
        <v>1.2084708048799202E-3</v>
      </c>
      <c r="F81" s="746">
        <v>26</v>
      </c>
      <c r="G81" s="746">
        <f t="shared" si="40"/>
        <v>8</v>
      </c>
      <c r="H81" s="746">
        <v>15</v>
      </c>
      <c r="I81" s="747">
        <f t="shared" si="43"/>
        <v>2.145366003330432</v>
      </c>
      <c r="J81" s="746">
        <f t="shared" si="41"/>
        <v>120</v>
      </c>
      <c r="K81" s="746">
        <v>600</v>
      </c>
      <c r="L81" s="746">
        <f t="shared" si="42"/>
        <v>1</v>
      </c>
      <c r="M81" s="746">
        <v>225</v>
      </c>
      <c r="N81" s="746">
        <v>225</v>
      </c>
      <c r="O81" s="746">
        <v>160</v>
      </c>
      <c r="P81" s="746">
        <v>1200</v>
      </c>
      <c r="Q81" s="746">
        <v>1080</v>
      </c>
      <c r="R81" s="746">
        <v>1200</v>
      </c>
      <c r="S81" s="746">
        <f t="shared" si="44"/>
        <v>8</v>
      </c>
      <c r="T81" s="746">
        <f t="shared" si="45"/>
        <v>5</v>
      </c>
      <c r="U81" s="746">
        <f t="shared" si="46"/>
        <v>4</v>
      </c>
      <c r="V81" s="746">
        <f t="shared" si="47"/>
        <v>8</v>
      </c>
      <c r="W81" s="746">
        <f t="shared" si="48"/>
        <v>160</v>
      </c>
      <c r="X81" s="758">
        <f t="shared" si="49"/>
        <v>343.25856053286913</v>
      </c>
      <c r="Y81" s="747">
        <f t="shared" si="50"/>
        <v>3.9370078740157481</v>
      </c>
      <c r="Z81" s="746">
        <f t="shared" si="51"/>
        <v>1</v>
      </c>
      <c r="AA81" s="746">
        <f t="shared" si="52"/>
        <v>8100000</v>
      </c>
      <c r="AB81" s="746">
        <f t="shared" si="53"/>
        <v>0.28604880044405762</v>
      </c>
      <c r="AC81" s="759" t="s">
        <v>594</v>
      </c>
      <c r="AD81" s="746">
        <f t="shared" si="69"/>
        <v>5</v>
      </c>
      <c r="AE81" s="746">
        <f t="shared" si="54"/>
        <v>0.5</v>
      </c>
      <c r="AF81" s="746">
        <f t="shared" si="55"/>
        <v>0.60000000000000009</v>
      </c>
      <c r="AG81" s="746">
        <f t="shared" si="56"/>
        <v>1.4000000000000001</v>
      </c>
      <c r="AH81" s="746">
        <f t="shared" si="57"/>
        <v>6</v>
      </c>
      <c r="AI81" s="746">
        <f t="shared" si="58"/>
        <v>8.5</v>
      </c>
      <c r="AJ81" s="746">
        <f t="shared" si="59"/>
        <v>4</v>
      </c>
      <c r="AK81" s="746">
        <f t="shared" si="60"/>
        <v>2</v>
      </c>
      <c r="AL81" s="746">
        <f t="shared" si="61"/>
        <v>2</v>
      </c>
      <c r="AM81" s="746">
        <f t="shared" si="62"/>
        <v>1</v>
      </c>
      <c r="AN81" s="746">
        <f t="shared" si="63"/>
        <v>0</v>
      </c>
      <c r="AO81" s="746">
        <f t="shared" si="64"/>
        <v>0</v>
      </c>
      <c r="AP81" s="746">
        <f t="shared" si="65"/>
        <v>0</v>
      </c>
      <c r="AQ81" s="746">
        <f t="shared" si="66"/>
        <v>0</v>
      </c>
      <c r="AR81" s="746">
        <f t="shared" si="67"/>
        <v>0</v>
      </c>
    </row>
    <row r="82" spans="1:44">
      <c r="A82" s="746" t="s">
        <v>814</v>
      </c>
      <c r="B82" s="746">
        <v>2242</v>
      </c>
      <c r="C82" s="747">
        <v>186.83333333333334</v>
      </c>
      <c r="D82" s="746">
        <f t="shared" si="38"/>
        <v>187</v>
      </c>
      <c r="E82" s="757">
        <f t="shared" si="39"/>
        <v>1.1956827540346301E-3</v>
      </c>
      <c r="F82" s="746">
        <v>26</v>
      </c>
      <c r="G82" s="746">
        <f t="shared" si="40"/>
        <v>8</v>
      </c>
      <c r="H82" s="746">
        <v>15</v>
      </c>
      <c r="I82" s="747">
        <f t="shared" si="43"/>
        <v>28.103298611111114</v>
      </c>
      <c r="J82" s="746">
        <f t="shared" si="41"/>
        <v>120</v>
      </c>
      <c r="K82" s="746">
        <v>600</v>
      </c>
      <c r="L82" s="746">
        <f t="shared" si="42"/>
        <v>1</v>
      </c>
      <c r="M82" s="746">
        <v>939.8</v>
      </c>
      <c r="N82" s="746">
        <v>355.6</v>
      </c>
      <c r="O82" s="746">
        <v>317.5</v>
      </c>
      <c r="P82" s="746">
        <v>1200</v>
      </c>
      <c r="Q82" s="746">
        <v>1080</v>
      </c>
      <c r="R82" s="746">
        <v>1200</v>
      </c>
      <c r="S82" s="746">
        <f t="shared" si="44"/>
        <v>4</v>
      </c>
      <c r="T82" s="746">
        <f t="shared" si="45"/>
        <v>1</v>
      </c>
      <c r="U82" s="746">
        <f t="shared" si="46"/>
        <v>3</v>
      </c>
      <c r="V82" s="746">
        <f t="shared" si="47"/>
        <v>4</v>
      </c>
      <c r="W82" s="746">
        <f t="shared" si="48"/>
        <v>12</v>
      </c>
      <c r="X82" s="758">
        <f t="shared" si="49"/>
        <v>337.23958333333337</v>
      </c>
      <c r="Y82" s="747">
        <f t="shared" si="50"/>
        <v>3.9370078740157481</v>
      </c>
      <c r="Z82" s="746">
        <f t="shared" si="51"/>
        <v>1</v>
      </c>
      <c r="AA82" s="746">
        <f t="shared" si="52"/>
        <v>106106239.40000001</v>
      </c>
      <c r="AB82" s="746">
        <f t="shared" si="53"/>
        <v>3.7471064814814818</v>
      </c>
      <c r="AC82" s="759" t="s">
        <v>594</v>
      </c>
      <c r="AD82" s="746">
        <f t="shared" si="69"/>
        <v>5</v>
      </c>
      <c r="AE82" s="746">
        <f t="shared" si="54"/>
        <v>0.5</v>
      </c>
      <c r="AF82" s="746">
        <f t="shared" si="55"/>
        <v>0.60000000000000009</v>
      </c>
      <c r="AG82" s="746">
        <f t="shared" si="56"/>
        <v>1.4000000000000001</v>
      </c>
      <c r="AH82" s="746">
        <f t="shared" si="57"/>
        <v>6</v>
      </c>
      <c r="AI82" s="746">
        <f t="shared" si="58"/>
        <v>8.5</v>
      </c>
      <c r="AJ82" s="746">
        <f t="shared" si="59"/>
        <v>4</v>
      </c>
      <c r="AK82" s="746">
        <f t="shared" si="60"/>
        <v>2</v>
      </c>
      <c r="AL82" s="746">
        <f t="shared" si="61"/>
        <v>2</v>
      </c>
      <c r="AM82" s="746">
        <f t="shared" si="62"/>
        <v>1</v>
      </c>
      <c r="AN82" s="746">
        <f t="shared" si="63"/>
        <v>0</v>
      </c>
      <c r="AO82" s="746">
        <f t="shared" si="64"/>
        <v>1</v>
      </c>
      <c r="AP82" s="746">
        <f t="shared" si="65"/>
        <v>1</v>
      </c>
      <c r="AQ82" s="746">
        <f t="shared" si="66"/>
        <v>5</v>
      </c>
      <c r="AR82" s="746">
        <f t="shared" si="67"/>
        <v>7</v>
      </c>
    </row>
    <row r="83" spans="1:44">
      <c r="A83" s="746" t="s">
        <v>815</v>
      </c>
      <c r="B83" s="746">
        <v>2116</v>
      </c>
      <c r="C83" s="747">
        <v>176.33333333333334</v>
      </c>
      <c r="D83" s="746">
        <f t="shared" si="38"/>
        <v>177</v>
      </c>
      <c r="E83" s="757">
        <f t="shared" si="39"/>
        <v>1.1317424998081793E-3</v>
      </c>
      <c r="F83" s="746">
        <v>26</v>
      </c>
      <c r="G83" s="746">
        <f t="shared" si="40"/>
        <v>7</v>
      </c>
      <c r="H83" s="746">
        <v>15</v>
      </c>
      <c r="I83" s="747">
        <f t="shared" si="43"/>
        <v>17.986111111111111</v>
      </c>
      <c r="J83" s="746">
        <f t="shared" si="41"/>
        <v>105</v>
      </c>
      <c r="K83" s="746">
        <v>600</v>
      </c>
      <c r="L83" s="746">
        <f t="shared" si="42"/>
        <v>1</v>
      </c>
      <c r="M83" s="746">
        <v>939.8</v>
      </c>
      <c r="N83" s="746">
        <v>355.6</v>
      </c>
      <c r="O83" s="746">
        <v>203.2</v>
      </c>
      <c r="P83" s="746">
        <v>1200</v>
      </c>
      <c r="Q83" s="746">
        <v>1080</v>
      </c>
      <c r="R83" s="746">
        <v>1200</v>
      </c>
      <c r="S83" s="746">
        <f t="shared" si="44"/>
        <v>6</v>
      </c>
      <c r="T83" s="746">
        <f t="shared" si="45"/>
        <v>1</v>
      </c>
      <c r="U83" s="746">
        <f t="shared" si="46"/>
        <v>3</v>
      </c>
      <c r="V83" s="746">
        <f t="shared" si="47"/>
        <v>6</v>
      </c>
      <c r="W83" s="746">
        <f t="shared" si="48"/>
        <v>18</v>
      </c>
      <c r="X83" s="758">
        <f t="shared" si="49"/>
        <v>323.75</v>
      </c>
      <c r="Y83" s="747">
        <f t="shared" si="50"/>
        <v>3.9370078740157481</v>
      </c>
      <c r="Z83" s="746">
        <f t="shared" si="51"/>
        <v>1</v>
      </c>
      <c r="AA83" s="746">
        <f t="shared" si="52"/>
        <v>67907993.215999991</v>
      </c>
      <c r="AB83" s="746">
        <f t="shared" si="53"/>
        <v>2.3981481481481479</v>
      </c>
      <c r="AC83" s="759" t="s">
        <v>594</v>
      </c>
      <c r="AD83" s="746">
        <f t="shared" si="69"/>
        <v>5</v>
      </c>
      <c r="AE83" s="746">
        <f t="shared" si="54"/>
        <v>0.5</v>
      </c>
      <c r="AF83" s="746">
        <f t="shared" si="55"/>
        <v>0.60000000000000009</v>
      </c>
      <c r="AG83" s="746">
        <f t="shared" si="56"/>
        <v>1.4000000000000001</v>
      </c>
      <c r="AH83" s="746">
        <f t="shared" si="57"/>
        <v>6</v>
      </c>
      <c r="AI83" s="746">
        <f t="shared" si="58"/>
        <v>8.5</v>
      </c>
      <c r="AJ83" s="746">
        <f t="shared" si="59"/>
        <v>4</v>
      </c>
      <c r="AK83" s="746">
        <f t="shared" si="60"/>
        <v>1</v>
      </c>
      <c r="AL83" s="746">
        <f t="shared" si="61"/>
        <v>1</v>
      </c>
      <c r="AM83" s="746">
        <f t="shared" si="62"/>
        <v>1</v>
      </c>
      <c r="AN83" s="746">
        <f t="shared" si="63"/>
        <v>0</v>
      </c>
      <c r="AO83" s="746">
        <f t="shared" si="64"/>
        <v>0</v>
      </c>
      <c r="AP83" s="746">
        <f t="shared" si="65"/>
        <v>0</v>
      </c>
      <c r="AQ83" s="746">
        <f t="shared" si="66"/>
        <v>3</v>
      </c>
      <c r="AR83" s="746">
        <f t="shared" si="67"/>
        <v>3</v>
      </c>
    </row>
    <row r="84" spans="1:44">
      <c r="A84" s="759" t="s">
        <v>816</v>
      </c>
      <c r="B84" s="746">
        <v>2102</v>
      </c>
      <c r="C84" s="747">
        <v>175.16666666666666</v>
      </c>
      <c r="D84" s="746">
        <f t="shared" si="38"/>
        <v>176</v>
      </c>
      <c r="E84" s="757">
        <f t="shared" si="39"/>
        <v>1.1253484743855341E-3</v>
      </c>
      <c r="F84" s="746">
        <v>26</v>
      </c>
      <c r="G84" s="746">
        <f t="shared" si="40"/>
        <v>7</v>
      </c>
      <c r="H84" s="746">
        <v>15</v>
      </c>
      <c r="I84" s="747">
        <f t="shared" si="43"/>
        <v>18.301575828412076</v>
      </c>
      <c r="J84" s="746">
        <f t="shared" si="41"/>
        <v>105</v>
      </c>
      <c r="K84" s="746">
        <v>600</v>
      </c>
      <c r="L84" s="746">
        <f t="shared" si="42"/>
        <v>1</v>
      </c>
      <c r="M84" s="746">
        <v>429.26</v>
      </c>
      <c r="N84" s="746">
        <v>429.26</v>
      </c>
      <c r="O84" s="763">
        <v>375</v>
      </c>
      <c r="P84" s="746">
        <v>1200</v>
      </c>
      <c r="Q84" s="746">
        <v>1080</v>
      </c>
      <c r="R84" s="746">
        <v>1200</v>
      </c>
      <c r="S84" s="746">
        <f t="shared" si="44"/>
        <v>3</v>
      </c>
      <c r="T84" s="746">
        <f t="shared" si="45"/>
        <v>2</v>
      </c>
      <c r="U84" s="746">
        <f t="shared" si="46"/>
        <v>2</v>
      </c>
      <c r="V84" s="746">
        <f t="shared" si="47"/>
        <v>3</v>
      </c>
      <c r="W84" s="746">
        <f t="shared" si="48"/>
        <v>12</v>
      </c>
      <c r="X84" s="758">
        <f t="shared" si="49"/>
        <v>219.61890994094492</v>
      </c>
      <c r="Y84" s="747">
        <f t="shared" si="50"/>
        <v>3.9370078740157481</v>
      </c>
      <c r="Z84" s="746">
        <f t="shared" si="51"/>
        <v>1</v>
      </c>
      <c r="AA84" s="746">
        <f t="shared" si="52"/>
        <v>69099055.349999994</v>
      </c>
      <c r="AB84" s="746">
        <f t="shared" si="53"/>
        <v>2.4402101104549434</v>
      </c>
      <c r="AC84" s="759" t="s">
        <v>594</v>
      </c>
      <c r="AD84" s="746">
        <f t="shared" si="69"/>
        <v>5</v>
      </c>
      <c r="AE84" s="746">
        <f t="shared" si="54"/>
        <v>0.5</v>
      </c>
      <c r="AF84" s="746">
        <f t="shared" si="55"/>
        <v>0.60000000000000009</v>
      </c>
      <c r="AG84" s="746">
        <f t="shared" si="56"/>
        <v>1.4000000000000001</v>
      </c>
      <c r="AH84" s="746">
        <f t="shared" si="57"/>
        <v>6</v>
      </c>
      <c r="AI84" s="746">
        <f t="shared" si="58"/>
        <v>8.5</v>
      </c>
      <c r="AJ84" s="746">
        <f t="shared" si="59"/>
        <v>4</v>
      </c>
      <c r="AK84" s="746">
        <f t="shared" si="60"/>
        <v>1</v>
      </c>
      <c r="AL84" s="746">
        <f t="shared" si="61"/>
        <v>1</v>
      </c>
      <c r="AM84" s="746">
        <f t="shared" si="62"/>
        <v>1</v>
      </c>
      <c r="AN84" s="746">
        <f t="shared" si="63"/>
        <v>0</v>
      </c>
      <c r="AO84" s="746">
        <f t="shared" si="64"/>
        <v>0</v>
      </c>
      <c r="AP84" s="746">
        <f t="shared" si="65"/>
        <v>1</v>
      </c>
      <c r="AQ84" s="746">
        <f t="shared" si="66"/>
        <v>5</v>
      </c>
      <c r="AR84" s="746">
        <f t="shared" si="67"/>
        <v>6</v>
      </c>
    </row>
    <row r="85" spans="1:44">
      <c r="A85" s="746" t="s">
        <v>817</v>
      </c>
      <c r="B85" s="746">
        <v>2015</v>
      </c>
      <c r="C85" s="747">
        <v>167.91666666666666</v>
      </c>
      <c r="D85" s="746">
        <f t="shared" si="38"/>
        <v>168</v>
      </c>
      <c r="E85" s="757">
        <f t="shared" si="39"/>
        <v>1.0741962710043736E-3</v>
      </c>
      <c r="F85" s="746">
        <v>26</v>
      </c>
      <c r="G85" s="746">
        <f t="shared" si="40"/>
        <v>7</v>
      </c>
      <c r="H85" s="746">
        <v>15</v>
      </c>
      <c r="I85" s="747">
        <f t="shared" si="43"/>
        <v>40.625000000000007</v>
      </c>
      <c r="J85" s="746">
        <f t="shared" si="41"/>
        <v>105</v>
      </c>
      <c r="K85" s="746">
        <v>600</v>
      </c>
      <c r="L85" s="746">
        <f t="shared" si="42"/>
        <v>1</v>
      </c>
      <c r="M85" s="746">
        <v>660.4</v>
      </c>
      <c r="N85" s="746">
        <v>609.6</v>
      </c>
      <c r="O85" s="746">
        <v>381</v>
      </c>
      <c r="P85" s="746">
        <v>1200</v>
      </c>
      <c r="Q85" s="746">
        <v>1080</v>
      </c>
      <c r="R85" s="746">
        <v>1200</v>
      </c>
      <c r="S85" s="746">
        <f t="shared" si="44"/>
        <v>3</v>
      </c>
      <c r="T85" s="746">
        <f t="shared" si="45"/>
        <v>1</v>
      </c>
      <c r="U85" s="746">
        <f t="shared" si="46"/>
        <v>1</v>
      </c>
      <c r="V85" s="746">
        <f t="shared" si="47"/>
        <v>3</v>
      </c>
      <c r="W85" s="746">
        <f t="shared" si="48"/>
        <v>3</v>
      </c>
      <c r="X85" s="758">
        <f t="shared" si="49"/>
        <v>121.87500000000003</v>
      </c>
      <c r="Y85" s="747">
        <f t="shared" si="50"/>
        <v>3.9370078740157481</v>
      </c>
      <c r="Z85" s="746">
        <f t="shared" si="51"/>
        <v>3</v>
      </c>
      <c r="AA85" s="746">
        <f t="shared" si="52"/>
        <v>153382919.04000002</v>
      </c>
      <c r="AB85" s="746">
        <f t="shared" si="53"/>
        <v>5.4166666666666679</v>
      </c>
      <c r="AC85" s="759" t="s">
        <v>594</v>
      </c>
      <c r="AD85" s="746">
        <f t="shared" si="69"/>
        <v>15</v>
      </c>
      <c r="AE85" s="746">
        <f t="shared" si="54"/>
        <v>1.5</v>
      </c>
      <c r="AF85" s="746">
        <f t="shared" si="55"/>
        <v>1.8000000000000003</v>
      </c>
      <c r="AG85" s="746">
        <f t="shared" si="56"/>
        <v>4.2000000000000011</v>
      </c>
      <c r="AH85" s="746">
        <f t="shared" si="57"/>
        <v>18.000000000000004</v>
      </c>
      <c r="AI85" s="746">
        <f t="shared" si="58"/>
        <v>25.500000000000007</v>
      </c>
      <c r="AJ85" s="746">
        <f t="shared" si="59"/>
        <v>4</v>
      </c>
      <c r="AK85" s="746">
        <f t="shared" si="60"/>
        <v>1</v>
      </c>
      <c r="AL85" s="746">
        <f t="shared" si="61"/>
        <v>1</v>
      </c>
      <c r="AM85" s="746">
        <f t="shared" si="62"/>
        <v>1</v>
      </c>
      <c r="AN85" s="746">
        <f t="shared" si="63"/>
        <v>1</v>
      </c>
      <c r="AO85" s="746">
        <f t="shared" si="64"/>
        <v>1</v>
      </c>
      <c r="AP85" s="746">
        <f t="shared" si="65"/>
        <v>2</v>
      </c>
      <c r="AQ85" s="746">
        <f t="shared" si="66"/>
        <v>20</v>
      </c>
      <c r="AR85" s="746">
        <f t="shared" si="67"/>
        <v>24</v>
      </c>
    </row>
    <row r="86" spans="1:44">
      <c r="A86" s="746" t="s">
        <v>818</v>
      </c>
      <c r="B86" s="746">
        <v>1637</v>
      </c>
      <c r="C86" s="747">
        <v>136.41666666666666</v>
      </c>
      <c r="D86" s="746">
        <f t="shared" si="38"/>
        <v>137</v>
      </c>
      <c r="E86" s="757">
        <f t="shared" si="39"/>
        <v>8.7598148290237603E-4</v>
      </c>
      <c r="F86" s="746">
        <v>26</v>
      </c>
      <c r="G86" s="746">
        <f t="shared" si="40"/>
        <v>6</v>
      </c>
      <c r="H86" s="746">
        <v>15</v>
      </c>
      <c r="I86" s="747">
        <f t="shared" si="43"/>
        <v>23.953938437185712</v>
      </c>
      <c r="J86" s="746">
        <f t="shared" si="41"/>
        <v>90</v>
      </c>
      <c r="K86" s="746">
        <v>600</v>
      </c>
      <c r="L86" s="746">
        <f t="shared" si="42"/>
        <v>1</v>
      </c>
      <c r="M86" s="746">
        <v>850</v>
      </c>
      <c r="N86" s="746">
        <v>380</v>
      </c>
      <c r="O86" s="746">
        <v>280</v>
      </c>
      <c r="P86" s="746">
        <v>1200</v>
      </c>
      <c r="Q86" s="746">
        <v>1080</v>
      </c>
      <c r="R86" s="746">
        <v>1200</v>
      </c>
      <c r="S86" s="746">
        <f t="shared" si="44"/>
        <v>4</v>
      </c>
      <c r="T86" s="746">
        <f t="shared" si="45"/>
        <v>1</v>
      </c>
      <c r="U86" s="746">
        <f t="shared" si="46"/>
        <v>2</v>
      </c>
      <c r="V86" s="746">
        <f t="shared" si="47"/>
        <v>4</v>
      </c>
      <c r="W86" s="746">
        <f t="shared" si="48"/>
        <v>8</v>
      </c>
      <c r="X86" s="758">
        <f t="shared" si="49"/>
        <v>191.6315074974857</v>
      </c>
      <c r="Y86" s="747">
        <f t="shared" si="50"/>
        <v>3.9370078740157481</v>
      </c>
      <c r="Z86" s="746">
        <f t="shared" si="51"/>
        <v>1</v>
      </c>
      <c r="AA86" s="746">
        <f t="shared" si="52"/>
        <v>90440000</v>
      </c>
      <c r="AB86" s="746">
        <f t="shared" si="53"/>
        <v>3.1938584582914284</v>
      </c>
      <c r="AC86" s="759" t="s">
        <v>594</v>
      </c>
      <c r="AD86" s="746">
        <f t="shared" si="69"/>
        <v>5</v>
      </c>
      <c r="AE86" s="746">
        <f t="shared" si="54"/>
        <v>0.5</v>
      </c>
      <c r="AF86" s="746">
        <f t="shared" si="55"/>
        <v>0.60000000000000009</v>
      </c>
      <c r="AG86" s="746">
        <f t="shared" si="56"/>
        <v>1.4000000000000001</v>
      </c>
      <c r="AH86" s="746">
        <f t="shared" si="57"/>
        <v>6</v>
      </c>
      <c r="AI86" s="746">
        <f t="shared" si="58"/>
        <v>8.5</v>
      </c>
      <c r="AJ86" s="746">
        <f t="shared" si="59"/>
        <v>3</v>
      </c>
      <c r="AK86" s="746">
        <f t="shared" si="60"/>
        <v>1</v>
      </c>
      <c r="AL86" s="746">
        <f t="shared" si="61"/>
        <v>1</v>
      </c>
      <c r="AM86" s="746">
        <f t="shared" si="62"/>
        <v>1</v>
      </c>
      <c r="AN86" s="746">
        <f t="shared" si="63"/>
        <v>0</v>
      </c>
      <c r="AO86" s="746">
        <f t="shared" si="64"/>
        <v>0</v>
      </c>
      <c r="AP86" s="746">
        <f t="shared" si="65"/>
        <v>1</v>
      </c>
      <c r="AQ86" s="746">
        <f t="shared" si="66"/>
        <v>8</v>
      </c>
      <c r="AR86" s="746">
        <f t="shared" si="67"/>
        <v>9</v>
      </c>
    </row>
    <row r="87" spans="1:44">
      <c r="A87" s="746" t="s">
        <v>819</v>
      </c>
      <c r="B87" s="746">
        <v>1632</v>
      </c>
      <c r="C87" s="747">
        <v>136</v>
      </c>
      <c r="D87" s="746">
        <f t="shared" si="38"/>
        <v>136</v>
      </c>
      <c r="E87" s="757">
        <f t="shared" si="39"/>
        <v>8.6958745747973097E-4</v>
      </c>
      <c r="F87" s="746">
        <v>26</v>
      </c>
      <c r="G87" s="746">
        <f t="shared" si="40"/>
        <v>6</v>
      </c>
      <c r="H87" s="746">
        <v>15</v>
      </c>
      <c r="I87" s="747">
        <f t="shared" si="43"/>
        <v>18.446180555555557</v>
      </c>
      <c r="J87" s="746">
        <f t="shared" si="41"/>
        <v>90</v>
      </c>
      <c r="K87" s="746">
        <v>600</v>
      </c>
      <c r="L87" s="746">
        <f t="shared" si="42"/>
        <v>1</v>
      </c>
      <c r="M87" s="746">
        <v>508</v>
      </c>
      <c r="N87" s="746">
        <v>431.8</v>
      </c>
      <c r="O87" s="746">
        <v>317.5</v>
      </c>
      <c r="P87" s="746">
        <v>1200</v>
      </c>
      <c r="Q87" s="746">
        <v>1080</v>
      </c>
      <c r="R87" s="746">
        <v>1200</v>
      </c>
      <c r="S87" s="746">
        <f t="shared" si="44"/>
        <v>4</v>
      </c>
      <c r="T87" s="746">
        <f t="shared" si="45"/>
        <v>2</v>
      </c>
      <c r="U87" s="746">
        <f t="shared" si="46"/>
        <v>2</v>
      </c>
      <c r="V87" s="746">
        <f t="shared" si="47"/>
        <v>4</v>
      </c>
      <c r="W87" s="746">
        <f t="shared" si="48"/>
        <v>16</v>
      </c>
      <c r="X87" s="758">
        <f t="shared" si="49"/>
        <v>295.13888888888891</v>
      </c>
      <c r="Y87" s="747">
        <f t="shared" si="50"/>
        <v>3.9370078740157481</v>
      </c>
      <c r="Z87" s="746">
        <f t="shared" si="51"/>
        <v>1</v>
      </c>
      <c r="AA87" s="746">
        <f t="shared" si="52"/>
        <v>69645022</v>
      </c>
      <c r="AB87" s="746">
        <f t="shared" si="53"/>
        <v>2.4594907407407409</v>
      </c>
      <c r="AC87" s="759" t="s">
        <v>594</v>
      </c>
      <c r="AD87" s="746">
        <f t="shared" si="69"/>
        <v>5</v>
      </c>
      <c r="AE87" s="746">
        <f t="shared" si="54"/>
        <v>0.5</v>
      </c>
      <c r="AF87" s="746">
        <f t="shared" si="55"/>
        <v>0.60000000000000009</v>
      </c>
      <c r="AG87" s="746">
        <f t="shared" si="56"/>
        <v>1.4000000000000001</v>
      </c>
      <c r="AH87" s="746">
        <f t="shared" si="57"/>
        <v>6</v>
      </c>
      <c r="AI87" s="746">
        <f t="shared" si="58"/>
        <v>8.5</v>
      </c>
      <c r="AJ87" s="746">
        <f t="shared" si="59"/>
        <v>3</v>
      </c>
      <c r="AK87" s="746">
        <f t="shared" si="60"/>
        <v>1</v>
      </c>
      <c r="AL87" s="746">
        <f t="shared" si="61"/>
        <v>1</v>
      </c>
      <c r="AM87" s="746">
        <f t="shared" si="62"/>
        <v>1</v>
      </c>
      <c r="AN87" s="746">
        <f t="shared" si="63"/>
        <v>0</v>
      </c>
      <c r="AO87" s="746">
        <f t="shared" si="64"/>
        <v>0</v>
      </c>
      <c r="AP87" s="746">
        <f t="shared" si="65"/>
        <v>0</v>
      </c>
      <c r="AQ87" s="746">
        <f t="shared" si="66"/>
        <v>4</v>
      </c>
      <c r="AR87" s="746">
        <f t="shared" si="67"/>
        <v>4</v>
      </c>
    </row>
    <row r="88" spans="1:44">
      <c r="A88" s="746" t="s">
        <v>820</v>
      </c>
      <c r="B88" s="746">
        <v>1553</v>
      </c>
      <c r="C88" s="747">
        <v>129.41666666666666</v>
      </c>
      <c r="D88" s="746">
        <f t="shared" si="38"/>
        <v>130</v>
      </c>
      <c r="E88" s="757">
        <f t="shared" si="39"/>
        <v>8.3122330494386049E-4</v>
      </c>
      <c r="F88" s="746">
        <v>26</v>
      </c>
      <c r="G88" s="746">
        <f t="shared" si="40"/>
        <v>5</v>
      </c>
      <c r="H88" s="746">
        <v>15</v>
      </c>
      <c r="I88" s="747">
        <f t="shared" si="43"/>
        <v>43.317339238845143</v>
      </c>
      <c r="J88" s="746">
        <f t="shared" si="41"/>
        <v>75</v>
      </c>
      <c r="K88" s="746">
        <v>600</v>
      </c>
      <c r="L88" s="746">
        <f t="shared" si="42"/>
        <v>1</v>
      </c>
      <c r="M88" s="746">
        <v>660.4</v>
      </c>
      <c r="N88" s="746">
        <v>660.4</v>
      </c>
      <c r="O88" s="763">
        <v>375</v>
      </c>
      <c r="P88" s="746">
        <v>1200</v>
      </c>
      <c r="Q88" s="746">
        <v>1080</v>
      </c>
      <c r="R88" s="746">
        <v>1200</v>
      </c>
      <c r="S88" s="746">
        <f t="shared" si="44"/>
        <v>3</v>
      </c>
      <c r="T88" s="746">
        <f t="shared" si="45"/>
        <v>1</v>
      </c>
      <c r="U88" s="746">
        <f t="shared" si="46"/>
        <v>1</v>
      </c>
      <c r="V88" s="746">
        <f t="shared" si="47"/>
        <v>3</v>
      </c>
      <c r="W88" s="746">
        <f t="shared" si="48"/>
        <v>3</v>
      </c>
      <c r="X88" s="758">
        <f t="shared" si="49"/>
        <v>129.95201771653544</v>
      </c>
      <c r="Y88" s="747">
        <f t="shared" si="50"/>
        <v>3.9370078740157481</v>
      </c>
      <c r="Z88" s="746">
        <f t="shared" si="51"/>
        <v>2</v>
      </c>
      <c r="AA88" s="746">
        <f t="shared" si="52"/>
        <v>163548060</v>
      </c>
      <c r="AB88" s="746">
        <f t="shared" si="53"/>
        <v>5.7756452318460187</v>
      </c>
      <c r="AC88" s="759" t="s">
        <v>594</v>
      </c>
      <c r="AD88" s="746">
        <f t="shared" si="69"/>
        <v>10</v>
      </c>
      <c r="AE88" s="746">
        <f t="shared" si="54"/>
        <v>1</v>
      </c>
      <c r="AF88" s="746">
        <f t="shared" si="55"/>
        <v>1.2000000000000002</v>
      </c>
      <c r="AG88" s="746">
        <f t="shared" si="56"/>
        <v>2.8000000000000003</v>
      </c>
      <c r="AH88" s="746">
        <f t="shared" si="57"/>
        <v>12</v>
      </c>
      <c r="AI88" s="746">
        <f t="shared" si="58"/>
        <v>17</v>
      </c>
      <c r="AJ88" s="746">
        <f t="shared" si="59"/>
        <v>3</v>
      </c>
      <c r="AK88" s="746">
        <f t="shared" si="60"/>
        <v>1</v>
      </c>
      <c r="AL88" s="746">
        <f t="shared" si="61"/>
        <v>1</v>
      </c>
      <c r="AM88" s="746">
        <f t="shared" si="62"/>
        <v>1</v>
      </c>
      <c r="AN88" s="746">
        <f t="shared" si="63"/>
        <v>1</v>
      </c>
      <c r="AO88" s="746">
        <f t="shared" si="64"/>
        <v>1</v>
      </c>
      <c r="AP88" s="746">
        <f t="shared" si="65"/>
        <v>2</v>
      </c>
      <c r="AQ88" s="746">
        <f t="shared" si="66"/>
        <v>20</v>
      </c>
      <c r="AR88" s="746">
        <f t="shared" si="67"/>
        <v>24</v>
      </c>
    </row>
    <row r="89" spans="1:44">
      <c r="A89" s="746" t="s">
        <v>821</v>
      </c>
      <c r="B89" s="746">
        <v>1527</v>
      </c>
      <c r="C89" s="747">
        <v>127.25</v>
      </c>
      <c r="D89" s="746">
        <f t="shared" si="38"/>
        <v>128</v>
      </c>
      <c r="E89" s="757">
        <f t="shared" si="39"/>
        <v>8.1843525409857026E-4</v>
      </c>
      <c r="F89" s="746">
        <v>26</v>
      </c>
      <c r="G89" s="746">
        <f t="shared" si="40"/>
        <v>5</v>
      </c>
      <c r="H89" s="746">
        <v>15</v>
      </c>
      <c r="I89" s="747">
        <f t="shared" si="43"/>
        <v>69.464223129835148</v>
      </c>
      <c r="J89" s="746">
        <f t="shared" si="41"/>
        <v>75</v>
      </c>
      <c r="K89" s="746">
        <v>600</v>
      </c>
      <c r="L89" s="746">
        <f t="shared" si="42"/>
        <v>1</v>
      </c>
      <c r="M89" s="746">
        <v>965</v>
      </c>
      <c r="N89" s="746">
        <v>535</v>
      </c>
      <c r="O89" s="746">
        <v>508</v>
      </c>
      <c r="P89" s="746">
        <v>1200</v>
      </c>
      <c r="Q89" s="746">
        <v>1080</v>
      </c>
      <c r="R89" s="746">
        <v>1200</v>
      </c>
      <c r="S89" s="746">
        <f t="shared" si="44"/>
        <v>2</v>
      </c>
      <c r="T89" s="746">
        <f t="shared" si="45"/>
        <v>1</v>
      </c>
      <c r="U89" s="746">
        <f t="shared" si="46"/>
        <v>2</v>
      </c>
      <c r="V89" s="746">
        <f t="shared" si="47"/>
        <v>2</v>
      </c>
      <c r="W89" s="746">
        <f t="shared" si="48"/>
        <v>4</v>
      </c>
      <c r="X89" s="758">
        <f t="shared" si="49"/>
        <v>277.85689251934059</v>
      </c>
      <c r="Y89" s="747">
        <f t="shared" si="50"/>
        <v>3.9370078740157481</v>
      </c>
      <c r="Z89" s="746">
        <f t="shared" si="51"/>
        <v>2</v>
      </c>
      <c r="AA89" s="746">
        <f t="shared" si="52"/>
        <v>262267700</v>
      </c>
      <c r="AB89" s="746">
        <f t="shared" si="53"/>
        <v>9.2618964173113536</v>
      </c>
      <c r="AC89" s="759" t="s">
        <v>594</v>
      </c>
      <c r="AD89" s="746">
        <f t="shared" si="69"/>
        <v>10</v>
      </c>
      <c r="AE89" s="746">
        <f t="shared" si="54"/>
        <v>1</v>
      </c>
      <c r="AF89" s="746">
        <f t="shared" si="55"/>
        <v>1.2000000000000002</v>
      </c>
      <c r="AG89" s="746">
        <f t="shared" si="56"/>
        <v>2.8000000000000003</v>
      </c>
      <c r="AH89" s="746">
        <f t="shared" si="57"/>
        <v>12</v>
      </c>
      <c r="AI89" s="746">
        <f t="shared" si="58"/>
        <v>17</v>
      </c>
      <c r="AJ89" s="746">
        <f t="shared" si="59"/>
        <v>3</v>
      </c>
      <c r="AK89" s="746">
        <f t="shared" si="60"/>
        <v>1</v>
      </c>
      <c r="AL89" s="746">
        <f t="shared" si="61"/>
        <v>1</v>
      </c>
      <c r="AM89" s="746">
        <f t="shared" si="62"/>
        <v>1</v>
      </c>
      <c r="AN89" s="746">
        <f t="shared" si="63"/>
        <v>1</v>
      </c>
      <c r="AO89" s="746">
        <f t="shared" si="64"/>
        <v>1</v>
      </c>
      <c r="AP89" s="746">
        <f t="shared" si="65"/>
        <v>2</v>
      </c>
      <c r="AQ89" s="746">
        <f t="shared" si="66"/>
        <v>15</v>
      </c>
      <c r="AR89" s="746">
        <f t="shared" si="67"/>
        <v>19</v>
      </c>
    </row>
    <row r="90" spans="1:44">
      <c r="A90" s="746" t="s">
        <v>822</v>
      </c>
      <c r="B90" s="746">
        <v>1515</v>
      </c>
      <c r="C90" s="747">
        <v>126.25</v>
      </c>
      <c r="D90" s="746">
        <f t="shared" si="38"/>
        <v>127</v>
      </c>
      <c r="E90" s="757">
        <f t="shared" si="39"/>
        <v>8.120412286759252E-4</v>
      </c>
      <c r="F90" s="746">
        <v>26</v>
      </c>
      <c r="G90" s="746">
        <f t="shared" si="40"/>
        <v>5</v>
      </c>
      <c r="H90" s="746">
        <v>15</v>
      </c>
      <c r="I90" s="747">
        <f t="shared" si="43"/>
        <v>5.013020833333333</v>
      </c>
      <c r="J90" s="746">
        <f t="shared" si="41"/>
        <v>75</v>
      </c>
      <c r="K90" s="746">
        <v>600</v>
      </c>
      <c r="L90" s="746">
        <f t="shared" si="42"/>
        <v>1</v>
      </c>
      <c r="M90" s="746">
        <v>381</v>
      </c>
      <c r="N90" s="746">
        <v>279.39999999999998</v>
      </c>
      <c r="O90" s="746">
        <v>177.8</v>
      </c>
      <c r="P90" s="746">
        <v>1200</v>
      </c>
      <c r="Q90" s="746">
        <v>1080</v>
      </c>
      <c r="R90" s="746">
        <v>1200</v>
      </c>
      <c r="S90" s="746">
        <f t="shared" si="44"/>
        <v>7</v>
      </c>
      <c r="T90" s="746">
        <f t="shared" si="45"/>
        <v>3</v>
      </c>
      <c r="U90" s="746">
        <f t="shared" si="46"/>
        <v>3</v>
      </c>
      <c r="V90" s="746">
        <f t="shared" si="47"/>
        <v>7</v>
      </c>
      <c r="W90" s="746">
        <f t="shared" si="48"/>
        <v>63</v>
      </c>
      <c r="X90" s="758">
        <f t="shared" si="49"/>
        <v>315.8203125</v>
      </c>
      <c r="Y90" s="747">
        <f t="shared" si="50"/>
        <v>3.9370078740157481</v>
      </c>
      <c r="Z90" s="746">
        <f t="shared" si="51"/>
        <v>1</v>
      </c>
      <c r="AA90" s="746">
        <f t="shared" si="52"/>
        <v>18927058.920000002</v>
      </c>
      <c r="AB90" s="746">
        <f t="shared" si="53"/>
        <v>0.66840277777777779</v>
      </c>
      <c r="AC90" s="759" t="s">
        <v>594</v>
      </c>
      <c r="AD90" s="746">
        <f t="shared" si="69"/>
        <v>5</v>
      </c>
      <c r="AE90" s="746">
        <f t="shared" si="54"/>
        <v>0.5</v>
      </c>
      <c r="AF90" s="746">
        <f t="shared" si="55"/>
        <v>0.60000000000000009</v>
      </c>
      <c r="AG90" s="746">
        <f t="shared" si="56"/>
        <v>1.4000000000000001</v>
      </c>
      <c r="AH90" s="746">
        <f t="shared" si="57"/>
        <v>6</v>
      </c>
      <c r="AI90" s="746">
        <f t="shared" si="58"/>
        <v>8.5</v>
      </c>
      <c r="AJ90" s="746">
        <f t="shared" si="59"/>
        <v>3</v>
      </c>
      <c r="AK90" s="746">
        <f t="shared" si="60"/>
        <v>1</v>
      </c>
      <c r="AL90" s="746">
        <f t="shared" si="61"/>
        <v>1</v>
      </c>
      <c r="AM90" s="746">
        <f t="shared" si="62"/>
        <v>1</v>
      </c>
      <c r="AN90" s="746">
        <f t="shared" si="63"/>
        <v>0</v>
      </c>
      <c r="AO90" s="746">
        <f t="shared" si="64"/>
        <v>0</v>
      </c>
      <c r="AP90" s="746">
        <f t="shared" si="65"/>
        <v>0</v>
      </c>
      <c r="AQ90" s="746">
        <f t="shared" si="66"/>
        <v>1</v>
      </c>
      <c r="AR90" s="746">
        <f t="shared" si="67"/>
        <v>1</v>
      </c>
    </row>
    <row r="91" spans="1:44">
      <c r="A91" s="746" t="s">
        <v>823</v>
      </c>
      <c r="B91" s="746">
        <v>1495</v>
      </c>
      <c r="C91" s="747">
        <v>124.58333333333333</v>
      </c>
      <c r="D91" s="746">
        <f t="shared" si="38"/>
        <v>125</v>
      </c>
      <c r="E91" s="757">
        <f t="shared" si="39"/>
        <v>7.9925317783063508E-4</v>
      </c>
      <c r="F91" s="746">
        <v>26</v>
      </c>
      <c r="G91" s="746">
        <f t="shared" si="40"/>
        <v>5</v>
      </c>
      <c r="H91" s="746">
        <v>15</v>
      </c>
      <c r="I91" s="747">
        <f t="shared" si="43"/>
        <v>3.2037465649734456</v>
      </c>
      <c r="J91" s="746">
        <f t="shared" si="41"/>
        <v>75</v>
      </c>
      <c r="K91" s="746">
        <v>600</v>
      </c>
      <c r="L91" s="746">
        <f t="shared" si="42"/>
        <v>1</v>
      </c>
      <c r="M91" s="746">
        <v>280</v>
      </c>
      <c r="N91" s="746">
        <v>270</v>
      </c>
      <c r="O91" s="746">
        <v>160</v>
      </c>
      <c r="P91" s="746">
        <v>1200</v>
      </c>
      <c r="Q91" s="746">
        <v>1080</v>
      </c>
      <c r="R91" s="746">
        <v>1200</v>
      </c>
      <c r="S91" s="746">
        <f t="shared" si="44"/>
        <v>8</v>
      </c>
      <c r="T91" s="746">
        <f t="shared" si="45"/>
        <v>4</v>
      </c>
      <c r="U91" s="746">
        <f t="shared" si="46"/>
        <v>4</v>
      </c>
      <c r="V91" s="746">
        <f t="shared" si="47"/>
        <v>8</v>
      </c>
      <c r="W91" s="746">
        <f t="shared" si="48"/>
        <v>128</v>
      </c>
      <c r="X91" s="758">
        <f t="shared" si="49"/>
        <v>410.07956031660103</v>
      </c>
      <c r="Y91" s="747">
        <f t="shared" si="50"/>
        <v>3.9370078740157481</v>
      </c>
      <c r="Z91" s="746">
        <f t="shared" si="51"/>
        <v>1</v>
      </c>
      <c r="AA91" s="746">
        <f t="shared" si="52"/>
        <v>12096000</v>
      </c>
      <c r="AB91" s="746">
        <f t="shared" si="53"/>
        <v>0.42716620866312605</v>
      </c>
      <c r="AC91" s="759" t="s">
        <v>594</v>
      </c>
      <c r="AD91" s="746">
        <f t="shared" si="69"/>
        <v>5</v>
      </c>
      <c r="AE91" s="746">
        <f t="shared" si="54"/>
        <v>0.5</v>
      </c>
      <c r="AF91" s="746">
        <f t="shared" si="55"/>
        <v>0.60000000000000009</v>
      </c>
      <c r="AG91" s="746">
        <f t="shared" si="56"/>
        <v>1.4000000000000001</v>
      </c>
      <c r="AH91" s="746">
        <f t="shared" si="57"/>
        <v>6</v>
      </c>
      <c r="AI91" s="746">
        <f t="shared" si="58"/>
        <v>8.5</v>
      </c>
      <c r="AJ91" s="746">
        <f t="shared" si="59"/>
        <v>3</v>
      </c>
      <c r="AK91" s="746">
        <f t="shared" si="60"/>
        <v>1</v>
      </c>
      <c r="AL91" s="746">
        <f t="shared" si="61"/>
        <v>1</v>
      </c>
      <c r="AM91" s="746">
        <f t="shared" si="62"/>
        <v>1</v>
      </c>
      <c r="AN91" s="746">
        <f t="shared" si="63"/>
        <v>0</v>
      </c>
      <c r="AO91" s="746">
        <f t="shared" si="64"/>
        <v>0</v>
      </c>
      <c r="AP91" s="746">
        <f t="shared" si="65"/>
        <v>0</v>
      </c>
      <c r="AQ91" s="746">
        <f t="shared" si="66"/>
        <v>0</v>
      </c>
      <c r="AR91" s="746">
        <f t="shared" si="67"/>
        <v>0</v>
      </c>
    </row>
    <row r="92" spans="1:44">
      <c r="A92" s="746" t="s">
        <v>824</v>
      </c>
      <c r="B92" s="746">
        <v>1489</v>
      </c>
      <c r="C92" s="747">
        <v>124.08333333333333</v>
      </c>
      <c r="D92" s="746">
        <f t="shared" si="38"/>
        <v>125</v>
      </c>
      <c r="E92" s="757">
        <f t="shared" si="39"/>
        <v>7.9925317783063508E-4</v>
      </c>
      <c r="F92" s="746">
        <v>26</v>
      </c>
      <c r="G92" s="746">
        <f t="shared" si="40"/>
        <v>5</v>
      </c>
      <c r="H92" s="746">
        <v>15</v>
      </c>
      <c r="I92" s="747">
        <f t="shared" si="43"/>
        <v>2.8477747244208396</v>
      </c>
      <c r="J92" s="746">
        <f t="shared" si="41"/>
        <v>75</v>
      </c>
      <c r="K92" s="746">
        <v>600</v>
      </c>
      <c r="L92" s="746">
        <f t="shared" si="42"/>
        <v>1</v>
      </c>
      <c r="M92" s="746">
        <v>280</v>
      </c>
      <c r="N92" s="746">
        <v>240</v>
      </c>
      <c r="O92" s="746">
        <v>160</v>
      </c>
      <c r="P92" s="746">
        <v>1200</v>
      </c>
      <c r="Q92" s="746">
        <v>1080</v>
      </c>
      <c r="R92" s="746">
        <v>1200</v>
      </c>
      <c r="S92" s="746">
        <f t="shared" si="44"/>
        <v>8</v>
      </c>
      <c r="T92" s="746">
        <f t="shared" si="45"/>
        <v>4</v>
      </c>
      <c r="U92" s="746">
        <f t="shared" si="46"/>
        <v>4</v>
      </c>
      <c r="V92" s="746">
        <f t="shared" si="47"/>
        <v>8</v>
      </c>
      <c r="W92" s="746">
        <f t="shared" si="48"/>
        <v>128</v>
      </c>
      <c r="X92" s="758">
        <f t="shared" si="49"/>
        <v>364.51516472586746</v>
      </c>
      <c r="Y92" s="747">
        <f t="shared" si="50"/>
        <v>3.9370078740157481</v>
      </c>
      <c r="Z92" s="746">
        <f t="shared" si="51"/>
        <v>1</v>
      </c>
      <c r="AA92" s="746">
        <f t="shared" si="52"/>
        <v>10752000</v>
      </c>
      <c r="AB92" s="746">
        <f t="shared" si="53"/>
        <v>0.37970329658944529</v>
      </c>
      <c r="AC92" s="759" t="s">
        <v>594</v>
      </c>
      <c r="AD92" s="746">
        <f t="shared" si="69"/>
        <v>5</v>
      </c>
      <c r="AE92" s="746">
        <f t="shared" si="54"/>
        <v>0.5</v>
      </c>
      <c r="AF92" s="746">
        <f t="shared" si="55"/>
        <v>0.60000000000000009</v>
      </c>
      <c r="AG92" s="746">
        <f t="shared" si="56"/>
        <v>1.4000000000000001</v>
      </c>
      <c r="AH92" s="746">
        <f t="shared" si="57"/>
        <v>6</v>
      </c>
      <c r="AI92" s="746">
        <f t="shared" si="58"/>
        <v>8.5</v>
      </c>
      <c r="AJ92" s="746">
        <f t="shared" si="59"/>
        <v>3</v>
      </c>
      <c r="AK92" s="746">
        <f t="shared" si="60"/>
        <v>1</v>
      </c>
      <c r="AL92" s="746">
        <f t="shared" si="61"/>
        <v>1</v>
      </c>
      <c r="AM92" s="746">
        <f t="shared" si="62"/>
        <v>1</v>
      </c>
      <c r="AN92" s="746">
        <f t="shared" si="63"/>
        <v>0</v>
      </c>
      <c r="AO92" s="746">
        <f t="shared" si="64"/>
        <v>0</v>
      </c>
      <c r="AP92" s="746">
        <f t="shared" si="65"/>
        <v>0</v>
      </c>
      <c r="AQ92" s="746">
        <f t="shared" si="66"/>
        <v>0</v>
      </c>
      <c r="AR92" s="746">
        <f t="shared" si="67"/>
        <v>0</v>
      </c>
    </row>
    <row r="93" spans="1:44">
      <c r="A93" s="746" t="s">
        <v>825</v>
      </c>
      <c r="B93" s="746">
        <v>1482</v>
      </c>
      <c r="C93" s="747">
        <v>123.5</v>
      </c>
      <c r="D93" s="746">
        <f t="shared" si="38"/>
        <v>124</v>
      </c>
      <c r="E93" s="757">
        <f t="shared" si="39"/>
        <v>7.9285915240799002E-4</v>
      </c>
      <c r="F93" s="746">
        <v>26</v>
      </c>
      <c r="G93" s="746">
        <f t="shared" si="40"/>
        <v>5</v>
      </c>
      <c r="H93" s="746">
        <v>15</v>
      </c>
      <c r="I93" s="747">
        <f t="shared" si="43"/>
        <v>22.482638888888889</v>
      </c>
      <c r="J93" s="746">
        <f t="shared" si="41"/>
        <v>75</v>
      </c>
      <c r="K93" s="746">
        <v>600</v>
      </c>
      <c r="L93" s="746">
        <f t="shared" si="42"/>
        <v>1</v>
      </c>
      <c r="M93" s="746">
        <v>939.8</v>
      </c>
      <c r="N93" s="746">
        <v>355.6</v>
      </c>
      <c r="O93" s="746">
        <v>254</v>
      </c>
      <c r="P93" s="746">
        <v>1200</v>
      </c>
      <c r="Q93" s="746">
        <v>1080</v>
      </c>
      <c r="R93" s="746">
        <v>1200</v>
      </c>
      <c r="S93" s="746">
        <f t="shared" si="44"/>
        <v>5</v>
      </c>
      <c r="T93" s="746">
        <f t="shared" si="45"/>
        <v>1</v>
      </c>
      <c r="U93" s="746">
        <f t="shared" si="46"/>
        <v>3</v>
      </c>
      <c r="V93" s="746">
        <f t="shared" si="47"/>
        <v>5</v>
      </c>
      <c r="W93" s="746">
        <f t="shared" si="48"/>
        <v>15</v>
      </c>
      <c r="X93" s="758">
        <f t="shared" si="49"/>
        <v>337.23958333333331</v>
      </c>
      <c r="Y93" s="747">
        <f t="shared" si="50"/>
        <v>3.9370078740157481</v>
      </c>
      <c r="Z93" s="746">
        <f t="shared" si="51"/>
        <v>1</v>
      </c>
      <c r="AA93" s="746">
        <f t="shared" si="52"/>
        <v>84884991.519999996</v>
      </c>
      <c r="AB93" s="746">
        <f t="shared" si="53"/>
        <v>2.9976851851851851</v>
      </c>
      <c r="AC93" s="759" t="s">
        <v>594</v>
      </c>
      <c r="AD93" s="746">
        <f t="shared" si="69"/>
        <v>5</v>
      </c>
      <c r="AE93" s="746">
        <f t="shared" si="54"/>
        <v>0.5</v>
      </c>
      <c r="AF93" s="746">
        <f t="shared" si="55"/>
        <v>0.60000000000000009</v>
      </c>
      <c r="AG93" s="746">
        <f t="shared" si="56"/>
        <v>1.4000000000000001</v>
      </c>
      <c r="AH93" s="746">
        <f t="shared" si="57"/>
        <v>6</v>
      </c>
      <c r="AI93" s="746">
        <f t="shared" si="58"/>
        <v>8.5</v>
      </c>
      <c r="AJ93" s="746">
        <f t="shared" si="59"/>
        <v>3</v>
      </c>
      <c r="AK93" s="746">
        <f t="shared" si="60"/>
        <v>1</v>
      </c>
      <c r="AL93" s="746">
        <f t="shared" si="61"/>
        <v>1</v>
      </c>
      <c r="AM93" s="746">
        <f t="shared" si="62"/>
        <v>1</v>
      </c>
      <c r="AN93" s="746">
        <f t="shared" si="63"/>
        <v>0</v>
      </c>
      <c r="AO93" s="746">
        <f t="shared" si="64"/>
        <v>0</v>
      </c>
      <c r="AP93" s="746">
        <f t="shared" si="65"/>
        <v>0</v>
      </c>
      <c r="AQ93" s="746">
        <f t="shared" si="66"/>
        <v>4</v>
      </c>
      <c r="AR93" s="746">
        <f t="shared" si="67"/>
        <v>4</v>
      </c>
    </row>
    <row r="94" spans="1:44">
      <c r="A94" s="746" t="s">
        <v>826</v>
      </c>
      <c r="B94" s="746">
        <v>1420</v>
      </c>
      <c r="C94" s="747">
        <v>118.33333333333333</v>
      </c>
      <c r="D94" s="746">
        <f t="shared" si="38"/>
        <v>119</v>
      </c>
      <c r="E94" s="757">
        <f t="shared" si="39"/>
        <v>7.608890252947646E-4</v>
      </c>
      <c r="F94" s="746">
        <v>26</v>
      </c>
      <c r="G94" s="746">
        <f t="shared" si="40"/>
        <v>5</v>
      </c>
      <c r="H94" s="746">
        <v>15</v>
      </c>
      <c r="I94" s="747">
        <f t="shared" si="43"/>
        <v>17.1875</v>
      </c>
      <c r="J94" s="746">
        <f t="shared" si="41"/>
        <v>75</v>
      </c>
      <c r="K94" s="746">
        <v>600</v>
      </c>
      <c r="L94" s="746">
        <f t="shared" si="42"/>
        <v>1</v>
      </c>
      <c r="M94" s="746">
        <v>508</v>
      </c>
      <c r="N94" s="746">
        <v>558.79999999999995</v>
      </c>
      <c r="O94" s="746">
        <v>228.6</v>
      </c>
      <c r="P94" s="746">
        <v>1200</v>
      </c>
      <c r="Q94" s="746">
        <v>1080</v>
      </c>
      <c r="R94" s="746">
        <v>1200</v>
      </c>
      <c r="S94" s="746">
        <f t="shared" si="44"/>
        <v>5</v>
      </c>
      <c r="T94" s="746">
        <f t="shared" si="45"/>
        <v>2</v>
      </c>
      <c r="U94" s="746">
        <f t="shared" si="46"/>
        <v>1</v>
      </c>
      <c r="V94" s="746">
        <f t="shared" si="47"/>
        <v>5</v>
      </c>
      <c r="W94" s="746">
        <f t="shared" si="48"/>
        <v>10</v>
      </c>
      <c r="X94" s="758">
        <f t="shared" si="49"/>
        <v>171.875</v>
      </c>
      <c r="Y94" s="747">
        <f t="shared" si="50"/>
        <v>3.9370078740157481</v>
      </c>
      <c r="Z94" s="746">
        <f t="shared" si="51"/>
        <v>1</v>
      </c>
      <c r="AA94" s="746">
        <f t="shared" si="52"/>
        <v>64892773.43999999</v>
      </c>
      <c r="AB94" s="746">
        <f t="shared" si="53"/>
        <v>2.2916666666666665</v>
      </c>
      <c r="AC94" s="759" t="s">
        <v>594</v>
      </c>
      <c r="AD94" s="746">
        <f t="shared" si="69"/>
        <v>5</v>
      </c>
      <c r="AE94" s="746">
        <f t="shared" si="54"/>
        <v>0.5</v>
      </c>
      <c r="AF94" s="746">
        <f t="shared" si="55"/>
        <v>0.60000000000000009</v>
      </c>
      <c r="AG94" s="746">
        <f t="shared" si="56"/>
        <v>1.4000000000000001</v>
      </c>
      <c r="AH94" s="746">
        <f t="shared" si="57"/>
        <v>6</v>
      </c>
      <c r="AI94" s="746">
        <f t="shared" si="58"/>
        <v>8.5</v>
      </c>
      <c r="AJ94" s="746">
        <f t="shared" si="59"/>
        <v>3</v>
      </c>
      <c r="AK94" s="746">
        <f t="shared" si="60"/>
        <v>1</v>
      </c>
      <c r="AL94" s="746">
        <f t="shared" si="61"/>
        <v>1</v>
      </c>
      <c r="AM94" s="746">
        <f t="shared" si="62"/>
        <v>1</v>
      </c>
      <c r="AN94" s="746">
        <f t="shared" si="63"/>
        <v>0</v>
      </c>
      <c r="AO94" s="746">
        <f t="shared" si="64"/>
        <v>0</v>
      </c>
      <c r="AP94" s="746">
        <f t="shared" si="65"/>
        <v>1</v>
      </c>
      <c r="AQ94" s="746">
        <f t="shared" si="66"/>
        <v>6</v>
      </c>
      <c r="AR94" s="746">
        <f t="shared" si="67"/>
        <v>7</v>
      </c>
    </row>
    <row r="95" spans="1:44">
      <c r="A95" s="746" t="s">
        <v>827</v>
      </c>
      <c r="B95" s="746">
        <v>1405</v>
      </c>
      <c r="C95" s="747">
        <v>117.08333333333333</v>
      </c>
      <c r="D95" s="746">
        <f t="shared" si="38"/>
        <v>118</v>
      </c>
      <c r="E95" s="757">
        <f t="shared" si="39"/>
        <v>7.5449499987211954E-4</v>
      </c>
      <c r="F95" s="746">
        <v>26</v>
      </c>
      <c r="G95" s="746">
        <f t="shared" si="40"/>
        <v>5</v>
      </c>
      <c r="H95" s="746">
        <v>15</v>
      </c>
      <c r="I95" s="747">
        <f t="shared" si="43"/>
        <v>9.4563802083333357</v>
      </c>
      <c r="J95" s="746">
        <f t="shared" si="41"/>
        <v>75</v>
      </c>
      <c r="K95" s="746">
        <v>600</v>
      </c>
      <c r="L95" s="746">
        <f t="shared" si="42"/>
        <v>1</v>
      </c>
      <c r="M95" s="746">
        <v>1054.1000000000001</v>
      </c>
      <c r="N95" s="746">
        <v>190.5</v>
      </c>
      <c r="O95" s="746">
        <v>177.8</v>
      </c>
      <c r="P95" s="746">
        <v>1200</v>
      </c>
      <c r="Q95" s="746">
        <v>1080</v>
      </c>
      <c r="R95" s="746">
        <v>1200</v>
      </c>
      <c r="S95" s="746">
        <f t="shared" si="44"/>
        <v>7</v>
      </c>
      <c r="T95" s="746">
        <f t="shared" si="45"/>
        <v>1</v>
      </c>
      <c r="U95" s="746">
        <f t="shared" si="46"/>
        <v>5</v>
      </c>
      <c r="V95" s="746">
        <f t="shared" si="47"/>
        <v>7</v>
      </c>
      <c r="W95" s="746">
        <f t="shared" si="48"/>
        <v>35</v>
      </c>
      <c r="X95" s="758">
        <f t="shared" si="49"/>
        <v>330.97330729166674</v>
      </c>
      <c r="Y95" s="747">
        <f t="shared" si="50"/>
        <v>3.9370078740157481</v>
      </c>
      <c r="Z95" s="746">
        <f t="shared" si="51"/>
        <v>1</v>
      </c>
      <c r="AA95" s="746">
        <f t="shared" si="52"/>
        <v>35703315.690000005</v>
      </c>
      <c r="AB95" s="746">
        <f t="shared" si="53"/>
        <v>1.2608506944444446</v>
      </c>
      <c r="AC95" s="759" t="s">
        <v>594</v>
      </c>
      <c r="AD95" s="746">
        <f t="shared" si="69"/>
        <v>5</v>
      </c>
      <c r="AE95" s="746">
        <f t="shared" si="54"/>
        <v>0.5</v>
      </c>
      <c r="AF95" s="746">
        <f t="shared" si="55"/>
        <v>0.60000000000000009</v>
      </c>
      <c r="AG95" s="746">
        <f t="shared" si="56"/>
        <v>1.4000000000000001</v>
      </c>
      <c r="AH95" s="746">
        <f t="shared" si="57"/>
        <v>6</v>
      </c>
      <c r="AI95" s="746">
        <f t="shared" si="58"/>
        <v>8.5</v>
      </c>
      <c r="AJ95" s="746">
        <f t="shared" si="59"/>
        <v>3</v>
      </c>
      <c r="AK95" s="746">
        <f t="shared" si="60"/>
        <v>1</v>
      </c>
      <c r="AL95" s="746">
        <f t="shared" si="61"/>
        <v>1</v>
      </c>
      <c r="AM95" s="746">
        <f t="shared" si="62"/>
        <v>1</v>
      </c>
      <c r="AN95" s="746">
        <f t="shared" si="63"/>
        <v>0</v>
      </c>
      <c r="AO95" s="746">
        <f t="shared" si="64"/>
        <v>0</v>
      </c>
      <c r="AP95" s="746">
        <f t="shared" si="65"/>
        <v>0</v>
      </c>
      <c r="AQ95" s="746">
        <f t="shared" si="66"/>
        <v>2</v>
      </c>
      <c r="AR95" s="746">
        <f t="shared" si="67"/>
        <v>2</v>
      </c>
    </row>
    <row r="96" spans="1:44">
      <c r="A96" s="746" t="s">
        <v>828</v>
      </c>
      <c r="B96" s="746">
        <v>1353</v>
      </c>
      <c r="C96" s="747">
        <v>112.75</v>
      </c>
      <c r="D96" s="746">
        <f t="shared" si="38"/>
        <v>113</v>
      </c>
      <c r="E96" s="757">
        <f t="shared" si="39"/>
        <v>7.2252487275889412E-4</v>
      </c>
      <c r="F96" s="746">
        <v>26</v>
      </c>
      <c r="G96" s="746">
        <f t="shared" si="40"/>
        <v>5</v>
      </c>
      <c r="H96" s="746">
        <v>15</v>
      </c>
      <c r="I96" s="747">
        <f t="shared" si="43"/>
        <v>18.446180555555557</v>
      </c>
      <c r="J96" s="746">
        <f t="shared" si="41"/>
        <v>75</v>
      </c>
      <c r="K96" s="746">
        <v>600</v>
      </c>
      <c r="L96" s="746">
        <f t="shared" si="42"/>
        <v>1</v>
      </c>
      <c r="M96" s="746">
        <v>508</v>
      </c>
      <c r="N96" s="746">
        <v>431.8</v>
      </c>
      <c r="O96" s="746">
        <v>317.5</v>
      </c>
      <c r="P96" s="746">
        <v>1200</v>
      </c>
      <c r="Q96" s="746">
        <v>1080</v>
      </c>
      <c r="R96" s="746">
        <v>1200</v>
      </c>
      <c r="S96" s="746">
        <f t="shared" si="44"/>
        <v>4</v>
      </c>
      <c r="T96" s="746">
        <f t="shared" si="45"/>
        <v>2</v>
      </c>
      <c r="U96" s="746">
        <f t="shared" si="46"/>
        <v>2</v>
      </c>
      <c r="V96" s="746">
        <f t="shared" si="47"/>
        <v>4</v>
      </c>
      <c r="W96" s="746">
        <f t="shared" si="48"/>
        <v>16</v>
      </c>
      <c r="X96" s="758">
        <f t="shared" si="49"/>
        <v>295.13888888888891</v>
      </c>
      <c r="Y96" s="747">
        <f t="shared" si="50"/>
        <v>3.9370078740157481</v>
      </c>
      <c r="Z96" s="746">
        <f t="shared" si="51"/>
        <v>1</v>
      </c>
      <c r="AA96" s="746">
        <f t="shared" si="52"/>
        <v>69645022</v>
      </c>
      <c r="AB96" s="746">
        <f t="shared" si="53"/>
        <v>2.4594907407407409</v>
      </c>
      <c r="AC96" s="759" t="s">
        <v>594</v>
      </c>
      <c r="AD96" s="746">
        <f t="shared" si="69"/>
        <v>5</v>
      </c>
      <c r="AE96" s="746">
        <f t="shared" si="54"/>
        <v>0.5</v>
      </c>
      <c r="AF96" s="746">
        <f t="shared" si="55"/>
        <v>0.60000000000000009</v>
      </c>
      <c r="AG96" s="746">
        <f t="shared" si="56"/>
        <v>1.4000000000000001</v>
      </c>
      <c r="AH96" s="746">
        <f t="shared" si="57"/>
        <v>6</v>
      </c>
      <c r="AI96" s="746">
        <f t="shared" si="58"/>
        <v>8.5</v>
      </c>
      <c r="AJ96" s="746">
        <f t="shared" si="59"/>
        <v>3</v>
      </c>
      <c r="AK96" s="746">
        <f t="shared" si="60"/>
        <v>1</v>
      </c>
      <c r="AL96" s="746">
        <f t="shared" si="61"/>
        <v>1</v>
      </c>
      <c r="AM96" s="746">
        <f t="shared" si="62"/>
        <v>1</v>
      </c>
      <c r="AN96" s="746">
        <f t="shared" si="63"/>
        <v>0</v>
      </c>
      <c r="AO96" s="746">
        <f t="shared" si="64"/>
        <v>0</v>
      </c>
      <c r="AP96" s="746">
        <f t="shared" si="65"/>
        <v>0</v>
      </c>
      <c r="AQ96" s="746">
        <f t="shared" si="66"/>
        <v>4</v>
      </c>
      <c r="AR96" s="746">
        <f t="shared" si="67"/>
        <v>4</v>
      </c>
    </row>
    <row r="97" spans="1:44">
      <c r="A97" s="746" t="s">
        <v>829</v>
      </c>
      <c r="B97" s="746">
        <v>1245</v>
      </c>
      <c r="C97" s="747">
        <v>103.75</v>
      </c>
      <c r="D97" s="746">
        <f t="shared" si="38"/>
        <v>104</v>
      </c>
      <c r="E97" s="757">
        <f t="shared" si="39"/>
        <v>6.6497864395508835E-4</v>
      </c>
      <c r="F97" s="746">
        <v>26</v>
      </c>
      <c r="G97" s="746">
        <f t="shared" si="40"/>
        <v>4</v>
      </c>
      <c r="H97" s="746">
        <v>15</v>
      </c>
      <c r="I97" s="747">
        <f t="shared" si="43"/>
        <v>10.427008496186721</v>
      </c>
      <c r="J97" s="746">
        <f t="shared" si="41"/>
        <v>60</v>
      </c>
      <c r="K97" s="746">
        <v>600</v>
      </c>
      <c r="L97" s="746">
        <f t="shared" si="42"/>
        <v>1</v>
      </c>
      <c r="M97" s="746">
        <v>560</v>
      </c>
      <c r="N97" s="746">
        <v>370</v>
      </c>
      <c r="O97" s="746">
        <v>190</v>
      </c>
      <c r="P97" s="746">
        <v>1200</v>
      </c>
      <c r="Q97" s="746">
        <v>1080</v>
      </c>
      <c r="R97" s="746">
        <v>1200</v>
      </c>
      <c r="S97" s="746">
        <f t="shared" si="44"/>
        <v>6</v>
      </c>
      <c r="T97" s="746">
        <f t="shared" si="45"/>
        <v>2</v>
      </c>
      <c r="U97" s="746">
        <f t="shared" si="46"/>
        <v>2</v>
      </c>
      <c r="V97" s="746">
        <f t="shared" si="47"/>
        <v>6</v>
      </c>
      <c r="W97" s="746">
        <f t="shared" si="48"/>
        <v>24</v>
      </c>
      <c r="X97" s="758">
        <f t="shared" si="49"/>
        <v>250.24820390848129</v>
      </c>
      <c r="Y97" s="747">
        <f t="shared" si="50"/>
        <v>3.9370078740157481</v>
      </c>
      <c r="Z97" s="746">
        <f t="shared" si="51"/>
        <v>1</v>
      </c>
      <c r="AA97" s="746">
        <f t="shared" si="52"/>
        <v>39368000</v>
      </c>
      <c r="AB97" s="746">
        <f t="shared" si="53"/>
        <v>1.3902677994915629</v>
      </c>
      <c r="AC97" s="759" t="s">
        <v>594</v>
      </c>
      <c r="AD97" s="746">
        <f t="shared" si="69"/>
        <v>5</v>
      </c>
      <c r="AE97" s="746">
        <f t="shared" si="54"/>
        <v>0.5</v>
      </c>
      <c r="AF97" s="746">
        <f t="shared" si="55"/>
        <v>0.60000000000000009</v>
      </c>
      <c r="AG97" s="746">
        <f t="shared" si="56"/>
        <v>1.4000000000000001</v>
      </c>
      <c r="AH97" s="746">
        <f t="shared" si="57"/>
        <v>6</v>
      </c>
      <c r="AI97" s="746">
        <f t="shared" si="58"/>
        <v>8.5</v>
      </c>
      <c r="AJ97" s="746">
        <f t="shared" si="59"/>
        <v>2</v>
      </c>
      <c r="AK97" s="746">
        <f t="shared" si="60"/>
        <v>1</v>
      </c>
      <c r="AL97" s="746">
        <f t="shared" si="61"/>
        <v>1</v>
      </c>
      <c r="AM97" s="746">
        <f t="shared" si="62"/>
        <v>0</v>
      </c>
      <c r="AN97" s="746">
        <f t="shared" si="63"/>
        <v>0</v>
      </c>
      <c r="AO97" s="746">
        <f t="shared" si="64"/>
        <v>0</v>
      </c>
      <c r="AP97" s="746">
        <f t="shared" si="65"/>
        <v>0</v>
      </c>
      <c r="AQ97" s="746">
        <f t="shared" si="66"/>
        <v>0</v>
      </c>
      <c r="AR97" s="746">
        <f t="shared" si="67"/>
        <v>0</v>
      </c>
    </row>
    <row r="98" spans="1:44">
      <c r="A98" s="746" t="s">
        <v>830</v>
      </c>
      <c r="B98" s="746">
        <v>1193</v>
      </c>
      <c r="C98" s="747">
        <v>99.416666666666671</v>
      </c>
      <c r="D98" s="746">
        <f t="shared" si="38"/>
        <v>100</v>
      </c>
      <c r="E98" s="757">
        <f t="shared" si="39"/>
        <v>6.39402542264508E-4</v>
      </c>
      <c r="F98" s="746">
        <v>26</v>
      </c>
      <c r="G98" s="746">
        <f t="shared" si="40"/>
        <v>4</v>
      </c>
      <c r="H98" s="746">
        <v>15</v>
      </c>
      <c r="I98" s="747">
        <f t="shared" si="43"/>
        <v>11.956839858561606</v>
      </c>
      <c r="J98" s="746">
        <f t="shared" si="41"/>
        <v>60</v>
      </c>
      <c r="K98" s="746">
        <v>600</v>
      </c>
      <c r="L98" s="746">
        <f t="shared" si="42"/>
        <v>1</v>
      </c>
      <c r="M98" s="746">
        <v>660</v>
      </c>
      <c r="N98" s="746">
        <v>380</v>
      </c>
      <c r="O98" s="746">
        <v>180</v>
      </c>
      <c r="P98" s="746">
        <v>1200</v>
      </c>
      <c r="Q98" s="746">
        <v>1080</v>
      </c>
      <c r="R98" s="746">
        <v>1200</v>
      </c>
      <c r="S98" s="746">
        <f t="shared" si="44"/>
        <v>7</v>
      </c>
      <c r="T98" s="746">
        <f t="shared" si="45"/>
        <v>1</v>
      </c>
      <c r="U98" s="746">
        <f t="shared" si="46"/>
        <v>2</v>
      </c>
      <c r="V98" s="746">
        <f t="shared" si="47"/>
        <v>7</v>
      </c>
      <c r="W98" s="746">
        <f t="shared" si="48"/>
        <v>14</v>
      </c>
      <c r="X98" s="758">
        <f t="shared" si="49"/>
        <v>167.39575801986248</v>
      </c>
      <c r="Y98" s="747">
        <f t="shared" si="50"/>
        <v>3.9370078740157481</v>
      </c>
      <c r="Z98" s="746">
        <f t="shared" si="51"/>
        <v>1</v>
      </c>
      <c r="AA98" s="746">
        <f t="shared" si="52"/>
        <v>45144000</v>
      </c>
      <c r="AB98" s="746">
        <f t="shared" si="53"/>
        <v>1.5942453144748809</v>
      </c>
      <c r="AC98" s="759" t="s">
        <v>594</v>
      </c>
      <c r="AD98" s="746">
        <f t="shared" si="69"/>
        <v>5</v>
      </c>
      <c r="AE98" s="746">
        <f t="shared" si="54"/>
        <v>0.5</v>
      </c>
      <c r="AF98" s="746">
        <f t="shared" si="55"/>
        <v>0.60000000000000009</v>
      </c>
      <c r="AG98" s="746">
        <f t="shared" si="56"/>
        <v>1.4000000000000001</v>
      </c>
      <c r="AH98" s="746">
        <f t="shared" si="57"/>
        <v>6</v>
      </c>
      <c r="AI98" s="746">
        <f t="shared" si="58"/>
        <v>8.5</v>
      </c>
      <c r="AJ98" s="746">
        <f t="shared" si="59"/>
        <v>2</v>
      </c>
      <c r="AK98" s="746">
        <f t="shared" si="60"/>
        <v>1</v>
      </c>
      <c r="AL98" s="746">
        <f t="shared" si="61"/>
        <v>1</v>
      </c>
      <c r="AM98" s="746">
        <f t="shared" si="62"/>
        <v>0</v>
      </c>
      <c r="AN98" s="746">
        <f t="shared" si="63"/>
        <v>0</v>
      </c>
      <c r="AO98" s="746">
        <f t="shared" si="64"/>
        <v>0</v>
      </c>
      <c r="AP98" s="746">
        <f t="shared" si="65"/>
        <v>1</v>
      </c>
      <c r="AQ98" s="746">
        <f t="shared" si="66"/>
        <v>0</v>
      </c>
      <c r="AR98" s="746">
        <f t="shared" si="67"/>
        <v>1</v>
      </c>
    </row>
    <row r="99" spans="1:44">
      <c r="A99" s="746" t="s">
        <v>831</v>
      </c>
      <c r="B99" s="746">
        <v>1153</v>
      </c>
      <c r="C99" s="747">
        <v>96.083333333333329</v>
      </c>
      <c r="D99" s="746">
        <f t="shared" ref="D99:D130" si="70">ROUNDUP(C99,0)</f>
        <v>97</v>
      </c>
      <c r="E99" s="757">
        <f t="shared" ref="E99:E130" si="71">D99/$D$1</f>
        <v>6.2022046599657281E-4</v>
      </c>
      <c r="F99" s="746">
        <v>26</v>
      </c>
      <c r="G99" s="746">
        <f t="shared" ref="G99:G130" si="72">ROUNDUP(D99/F99,0)</f>
        <v>4</v>
      </c>
      <c r="H99" s="746">
        <v>15</v>
      </c>
      <c r="I99" s="747">
        <f t="shared" si="43"/>
        <v>18.275340028370344</v>
      </c>
      <c r="J99" s="746">
        <f t="shared" ref="J99:J130" si="73">G99*H99</f>
        <v>60</v>
      </c>
      <c r="K99" s="746">
        <v>600</v>
      </c>
      <c r="L99" s="746">
        <f t="shared" ref="L99:L130" si="74">ROUNDUP(J99/K99,0)</f>
        <v>1</v>
      </c>
      <c r="M99" s="746">
        <v>750</v>
      </c>
      <c r="N99" s="746">
        <v>460</v>
      </c>
      <c r="O99" s="746">
        <v>200</v>
      </c>
      <c r="P99" s="746">
        <v>1200</v>
      </c>
      <c r="Q99" s="746">
        <v>1080</v>
      </c>
      <c r="R99" s="746">
        <v>1200</v>
      </c>
      <c r="S99" s="746">
        <f t="shared" si="44"/>
        <v>6</v>
      </c>
      <c r="T99" s="746">
        <f t="shared" si="45"/>
        <v>1</v>
      </c>
      <c r="U99" s="746">
        <f t="shared" si="46"/>
        <v>2</v>
      </c>
      <c r="V99" s="746">
        <f t="shared" si="47"/>
        <v>6</v>
      </c>
      <c r="W99" s="746">
        <f t="shared" si="48"/>
        <v>12</v>
      </c>
      <c r="X99" s="758">
        <f t="shared" si="49"/>
        <v>219.30408034044413</v>
      </c>
      <c r="Y99" s="747">
        <f t="shared" si="50"/>
        <v>3.9370078740157481</v>
      </c>
      <c r="Z99" s="746">
        <f t="shared" si="51"/>
        <v>1</v>
      </c>
      <c r="AA99" s="746">
        <f t="shared" si="52"/>
        <v>69000000</v>
      </c>
      <c r="AB99" s="746">
        <f t="shared" si="53"/>
        <v>2.4367120037827128</v>
      </c>
      <c r="AC99" s="759" t="s">
        <v>594</v>
      </c>
      <c r="AD99" s="746">
        <f t="shared" si="69"/>
        <v>5</v>
      </c>
      <c r="AE99" s="746">
        <f t="shared" si="54"/>
        <v>0.5</v>
      </c>
      <c r="AF99" s="746">
        <f t="shared" si="55"/>
        <v>0.60000000000000009</v>
      </c>
      <c r="AG99" s="746">
        <f t="shared" si="56"/>
        <v>1.4000000000000001</v>
      </c>
      <c r="AH99" s="746">
        <f t="shared" si="57"/>
        <v>6</v>
      </c>
      <c r="AI99" s="746">
        <f t="shared" si="58"/>
        <v>8.5</v>
      </c>
      <c r="AJ99" s="746">
        <f t="shared" si="59"/>
        <v>2</v>
      </c>
      <c r="AK99" s="746">
        <f t="shared" si="60"/>
        <v>1</v>
      </c>
      <c r="AL99" s="746">
        <f t="shared" si="61"/>
        <v>1</v>
      </c>
      <c r="AM99" s="746">
        <f t="shared" si="62"/>
        <v>0</v>
      </c>
      <c r="AN99" s="746">
        <f t="shared" si="63"/>
        <v>0</v>
      </c>
      <c r="AO99" s="746">
        <f t="shared" si="64"/>
        <v>0</v>
      </c>
      <c r="AP99" s="746">
        <f t="shared" si="65"/>
        <v>1</v>
      </c>
      <c r="AQ99" s="746">
        <f t="shared" si="66"/>
        <v>0</v>
      </c>
      <c r="AR99" s="746">
        <f t="shared" si="67"/>
        <v>1</v>
      </c>
    </row>
    <row r="100" spans="1:44">
      <c r="A100" s="746" t="s">
        <v>832</v>
      </c>
      <c r="B100" s="746">
        <v>1008</v>
      </c>
      <c r="C100" s="747">
        <v>84</v>
      </c>
      <c r="D100" s="746">
        <f t="shared" si="70"/>
        <v>84</v>
      </c>
      <c r="E100" s="757">
        <f t="shared" si="71"/>
        <v>5.370981355021868E-4</v>
      </c>
      <c r="F100" s="746">
        <v>26</v>
      </c>
      <c r="G100" s="746">
        <f t="shared" si="72"/>
        <v>4</v>
      </c>
      <c r="H100" s="746">
        <v>15</v>
      </c>
      <c r="I100" s="747">
        <f t="shared" si="43"/>
        <v>32.393437490287063</v>
      </c>
      <c r="J100" s="746">
        <f t="shared" si="73"/>
        <v>60</v>
      </c>
      <c r="K100" s="746">
        <v>600</v>
      </c>
      <c r="L100" s="746">
        <f t="shared" si="74"/>
        <v>1</v>
      </c>
      <c r="M100" s="746">
        <v>840</v>
      </c>
      <c r="N100" s="746">
        <v>520</v>
      </c>
      <c r="O100" s="746">
        <v>280</v>
      </c>
      <c r="P100" s="746">
        <v>1200</v>
      </c>
      <c r="Q100" s="746">
        <v>1080</v>
      </c>
      <c r="R100" s="746">
        <v>1200</v>
      </c>
      <c r="S100" s="746">
        <f t="shared" si="44"/>
        <v>4</v>
      </c>
      <c r="T100" s="746">
        <f t="shared" si="45"/>
        <v>1</v>
      </c>
      <c r="U100" s="746">
        <f t="shared" si="46"/>
        <v>2</v>
      </c>
      <c r="V100" s="746">
        <f t="shared" si="47"/>
        <v>4</v>
      </c>
      <c r="W100" s="746">
        <f t="shared" si="48"/>
        <v>8</v>
      </c>
      <c r="X100" s="758">
        <f t="shared" si="49"/>
        <v>259.1474999222965</v>
      </c>
      <c r="Y100" s="747">
        <f t="shared" si="50"/>
        <v>3.9370078740157481</v>
      </c>
      <c r="Z100" s="746">
        <f t="shared" si="51"/>
        <v>1</v>
      </c>
      <c r="AA100" s="746">
        <f t="shared" si="52"/>
        <v>122304000</v>
      </c>
      <c r="AB100" s="746">
        <f t="shared" si="53"/>
        <v>4.3191249987049414</v>
      </c>
      <c r="AC100" s="759" t="s">
        <v>594</v>
      </c>
      <c r="AD100" s="746">
        <f t="shared" si="69"/>
        <v>5</v>
      </c>
      <c r="AE100" s="746">
        <f t="shared" si="54"/>
        <v>0.5</v>
      </c>
      <c r="AF100" s="746">
        <f t="shared" si="55"/>
        <v>0.60000000000000009</v>
      </c>
      <c r="AG100" s="746">
        <f t="shared" si="56"/>
        <v>1.4000000000000001</v>
      </c>
      <c r="AH100" s="746">
        <f t="shared" si="57"/>
        <v>6</v>
      </c>
      <c r="AI100" s="746">
        <f t="shared" si="58"/>
        <v>8.5</v>
      </c>
      <c r="AJ100" s="746">
        <f t="shared" si="59"/>
        <v>2</v>
      </c>
      <c r="AK100" s="746">
        <f t="shared" si="60"/>
        <v>1</v>
      </c>
      <c r="AL100" s="746">
        <f t="shared" si="61"/>
        <v>1</v>
      </c>
      <c r="AM100" s="746">
        <f t="shared" si="62"/>
        <v>0</v>
      </c>
      <c r="AN100" s="746">
        <f t="shared" si="63"/>
        <v>0</v>
      </c>
      <c r="AO100" s="746">
        <f t="shared" si="64"/>
        <v>0</v>
      </c>
      <c r="AP100" s="746">
        <f t="shared" si="65"/>
        <v>1</v>
      </c>
      <c r="AQ100" s="746">
        <f t="shared" si="66"/>
        <v>0</v>
      </c>
      <c r="AR100" s="746">
        <f t="shared" si="67"/>
        <v>1</v>
      </c>
    </row>
    <row r="101" spans="1:44">
      <c r="A101" s="763" t="s">
        <v>833</v>
      </c>
      <c r="B101" s="746">
        <v>980</v>
      </c>
      <c r="C101" s="747">
        <v>81.666666666666671</v>
      </c>
      <c r="D101" s="746">
        <f t="shared" si="70"/>
        <v>82</v>
      </c>
      <c r="E101" s="757">
        <f t="shared" si="71"/>
        <v>5.2431008465689656E-4</v>
      </c>
      <c r="F101" s="746">
        <v>26</v>
      </c>
      <c r="G101" s="746">
        <f t="shared" si="72"/>
        <v>4</v>
      </c>
      <c r="H101" s="746">
        <v>15</v>
      </c>
      <c r="I101" s="747">
        <f t="shared" si="43"/>
        <v>114.58333333333331</v>
      </c>
      <c r="J101" s="746">
        <f t="shared" si="73"/>
        <v>60</v>
      </c>
      <c r="K101" s="746">
        <v>600</v>
      </c>
      <c r="L101" s="746">
        <f t="shared" si="74"/>
        <v>1</v>
      </c>
      <c r="M101" s="746">
        <v>1524</v>
      </c>
      <c r="N101" s="746">
        <v>558.79999999999995</v>
      </c>
      <c r="O101" s="746">
        <v>508</v>
      </c>
      <c r="P101" s="746">
        <v>1500</v>
      </c>
      <c r="Q101" s="746">
        <v>1080</v>
      </c>
      <c r="R101" s="746">
        <v>1200</v>
      </c>
      <c r="S101" s="746">
        <f t="shared" si="44"/>
        <v>2</v>
      </c>
      <c r="T101" s="746">
        <f>ROUNDUP(P101/M101,0)</f>
        <v>1</v>
      </c>
      <c r="U101" s="746">
        <f t="shared" si="46"/>
        <v>1</v>
      </c>
      <c r="V101" s="746">
        <f t="shared" si="47"/>
        <v>2</v>
      </c>
      <c r="W101" s="746">
        <f t="shared" si="48"/>
        <v>2</v>
      </c>
      <c r="X101" s="758">
        <f t="shared" si="49"/>
        <v>229.16666666666663</v>
      </c>
      <c r="Y101" s="747">
        <f t="shared" si="50"/>
        <v>3.9370078740157481</v>
      </c>
      <c r="Z101" s="746">
        <f t="shared" si="51"/>
        <v>3</v>
      </c>
      <c r="AA101" s="746">
        <f t="shared" si="52"/>
        <v>432618489.59999996</v>
      </c>
      <c r="AB101" s="746">
        <f t="shared" si="53"/>
        <v>15.277777777777775</v>
      </c>
      <c r="AC101" s="759" t="s">
        <v>595</v>
      </c>
      <c r="AD101" s="746">
        <f t="shared" si="68"/>
        <v>30</v>
      </c>
      <c r="AE101" s="746">
        <f t="shared" si="54"/>
        <v>1.5</v>
      </c>
      <c r="AF101" s="746">
        <f t="shared" si="55"/>
        <v>1.8000000000000003</v>
      </c>
      <c r="AG101" s="746">
        <f t="shared" si="56"/>
        <v>4.2000000000000011</v>
      </c>
      <c r="AH101" s="746">
        <f t="shared" si="57"/>
        <v>18.000000000000004</v>
      </c>
      <c r="AI101" s="746">
        <f t="shared" si="58"/>
        <v>25.500000000000007</v>
      </c>
      <c r="AJ101" s="746">
        <f t="shared" si="59"/>
        <v>2</v>
      </c>
      <c r="AK101" s="746">
        <f t="shared" si="60"/>
        <v>1</v>
      </c>
      <c r="AL101" s="746">
        <f t="shared" si="61"/>
        <v>1</v>
      </c>
      <c r="AM101" s="746">
        <f t="shared" si="62"/>
        <v>0</v>
      </c>
      <c r="AN101" s="746">
        <f t="shared" si="63"/>
        <v>1</v>
      </c>
      <c r="AO101" s="746">
        <f t="shared" si="64"/>
        <v>2</v>
      </c>
      <c r="AP101" s="746">
        <f t="shared" si="65"/>
        <v>4</v>
      </c>
      <c r="AQ101" s="746">
        <f t="shared" si="66"/>
        <v>0</v>
      </c>
      <c r="AR101" s="746">
        <f t="shared" si="67"/>
        <v>7</v>
      </c>
    </row>
    <row r="102" spans="1:44">
      <c r="A102" s="759" t="s">
        <v>834</v>
      </c>
      <c r="B102" s="746">
        <v>976</v>
      </c>
      <c r="C102" s="747">
        <v>81.333333333333329</v>
      </c>
      <c r="D102" s="746">
        <f t="shared" si="70"/>
        <v>82</v>
      </c>
      <c r="E102" s="757">
        <f t="shared" si="71"/>
        <v>5.2431008465689656E-4</v>
      </c>
      <c r="F102" s="746">
        <v>26</v>
      </c>
      <c r="G102" s="746">
        <f t="shared" si="72"/>
        <v>4</v>
      </c>
      <c r="H102" s="746">
        <v>15</v>
      </c>
      <c r="I102" s="747">
        <f t="shared" si="43"/>
        <v>11.176727569990575</v>
      </c>
      <c r="J102" s="746">
        <f t="shared" si="73"/>
        <v>60</v>
      </c>
      <c r="K102" s="746">
        <v>600</v>
      </c>
      <c r="L102" s="746">
        <f t="shared" si="74"/>
        <v>1</v>
      </c>
      <c r="M102" s="746">
        <v>442</v>
      </c>
      <c r="N102" s="746">
        <v>442</v>
      </c>
      <c r="O102" s="746">
        <v>216</v>
      </c>
      <c r="P102" s="746">
        <v>1200</v>
      </c>
      <c r="Q102" s="746">
        <v>1080</v>
      </c>
      <c r="R102" s="746">
        <v>1200</v>
      </c>
      <c r="S102" s="746">
        <f t="shared" si="44"/>
        <v>6</v>
      </c>
      <c r="T102" s="746">
        <f t="shared" si="45"/>
        <v>2</v>
      </c>
      <c r="U102" s="746">
        <f t="shared" si="46"/>
        <v>2</v>
      </c>
      <c r="V102" s="746">
        <f t="shared" si="47"/>
        <v>6</v>
      </c>
      <c r="W102" s="746">
        <f t="shared" si="48"/>
        <v>24</v>
      </c>
      <c r="X102" s="758">
        <f t="shared" si="49"/>
        <v>268.24146167977381</v>
      </c>
      <c r="Y102" s="747">
        <f t="shared" si="50"/>
        <v>3.9370078740157481</v>
      </c>
      <c r="Z102" s="746">
        <f t="shared" si="51"/>
        <v>1</v>
      </c>
      <c r="AA102" s="746">
        <f t="shared" si="52"/>
        <v>42198624</v>
      </c>
      <c r="AB102" s="746">
        <f t="shared" si="53"/>
        <v>1.49023034266541</v>
      </c>
      <c r="AC102" s="759" t="s">
        <v>594</v>
      </c>
      <c r="AD102" s="746">
        <f t="shared" ref="AD102:AD115" si="75">Z102*5</f>
        <v>5</v>
      </c>
      <c r="AE102" s="746">
        <f t="shared" si="54"/>
        <v>0.5</v>
      </c>
      <c r="AF102" s="746">
        <f t="shared" si="55"/>
        <v>0.60000000000000009</v>
      </c>
      <c r="AG102" s="746">
        <f t="shared" si="56"/>
        <v>1.4000000000000001</v>
      </c>
      <c r="AH102" s="746">
        <f t="shared" si="57"/>
        <v>6</v>
      </c>
      <c r="AI102" s="746">
        <f t="shared" si="58"/>
        <v>8.5</v>
      </c>
      <c r="AJ102" s="746">
        <f t="shared" si="59"/>
        <v>2</v>
      </c>
      <c r="AK102" s="746">
        <f t="shared" si="60"/>
        <v>1</v>
      </c>
      <c r="AL102" s="746">
        <f t="shared" si="61"/>
        <v>1</v>
      </c>
      <c r="AM102" s="746">
        <f t="shared" si="62"/>
        <v>0</v>
      </c>
      <c r="AN102" s="746">
        <f t="shared" si="63"/>
        <v>0</v>
      </c>
      <c r="AO102" s="746">
        <f t="shared" si="64"/>
        <v>0</v>
      </c>
      <c r="AP102" s="746">
        <f t="shared" si="65"/>
        <v>0</v>
      </c>
      <c r="AQ102" s="746">
        <f t="shared" si="66"/>
        <v>0</v>
      </c>
      <c r="AR102" s="746">
        <f t="shared" si="67"/>
        <v>0</v>
      </c>
    </row>
    <row r="103" spans="1:44">
      <c r="A103" s="746" t="s">
        <v>835</v>
      </c>
      <c r="B103" s="746">
        <v>954</v>
      </c>
      <c r="C103" s="747">
        <v>79.5</v>
      </c>
      <c r="D103" s="746">
        <f t="shared" si="70"/>
        <v>80</v>
      </c>
      <c r="E103" s="757">
        <f t="shared" si="71"/>
        <v>5.1152203381160644E-4</v>
      </c>
      <c r="F103" s="746">
        <v>26</v>
      </c>
      <c r="G103" s="746">
        <f t="shared" si="72"/>
        <v>4</v>
      </c>
      <c r="H103" s="746">
        <v>15</v>
      </c>
      <c r="I103" s="747">
        <f t="shared" si="43"/>
        <v>7.7289458869982921</v>
      </c>
      <c r="J103" s="746">
        <f t="shared" si="73"/>
        <v>60</v>
      </c>
      <c r="K103" s="746">
        <v>600</v>
      </c>
      <c r="L103" s="746">
        <f t="shared" si="74"/>
        <v>1</v>
      </c>
      <c r="M103" s="746">
        <v>1015</v>
      </c>
      <c r="N103" s="746">
        <v>230</v>
      </c>
      <c r="O103" s="746">
        <v>125</v>
      </c>
      <c r="P103" s="746">
        <v>1200</v>
      </c>
      <c r="Q103" s="746">
        <v>1080</v>
      </c>
      <c r="R103" s="746">
        <v>1200</v>
      </c>
      <c r="S103" s="746">
        <f t="shared" si="44"/>
        <v>10</v>
      </c>
      <c r="T103" s="746">
        <f t="shared" si="45"/>
        <v>1</v>
      </c>
      <c r="U103" s="746">
        <f t="shared" si="46"/>
        <v>4</v>
      </c>
      <c r="V103" s="746">
        <f t="shared" si="47"/>
        <v>10</v>
      </c>
      <c r="W103" s="746">
        <f t="shared" si="48"/>
        <v>40</v>
      </c>
      <c r="X103" s="758">
        <f t="shared" si="49"/>
        <v>309.15783547993169</v>
      </c>
      <c r="Y103" s="747">
        <f t="shared" si="50"/>
        <v>3.9370078740157481</v>
      </c>
      <c r="Z103" s="746">
        <f t="shared" si="51"/>
        <v>1</v>
      </c>
      <c r="AA103" s="746">
        <f t="shared" si="52"/>
        <v>29181250</v>
      </c>
      <c r="AB103" s="746">
        <f t="shared" si="53"/>
        <v>1.0305261182664389</v>
      </c>
      <c r="AC103" s="759" t="s">
        <v>594</v>
      </c>
      <c r="AD103" s="746">
        <f t="shared" si="75"/>
        <v>5</v>
      </c>
      <c r="AE103" s="746">
        <f t="shared" si="54"/>
        <v>0.5</v>
      </c>
      <c r="AF103" s="746">
        <f t="shared" si="55"/>
        <v>0.60000000000000009</v>
      </c>
      <c r="AG103" s="746">
        <f t="shared" si="56"/>
        <v>1.4000000000000001</v>
      </c>
      <c r="AH103" s="746">
        <f t="shared" si="57"/>
        <v>6</v>
      </c>
      <c r="AI103" s="746">
        <f t="shared" si="58"/>
        <v>8.5</v>
      </c>
      <c r="AJ103" s="746">
        <f t="shared" si="59"/>
        <v>2</v>
      </c>
      <c r="AK103" s="746">
        <f t="shared" si="60"/>
        <v>1</v>
      </c>
      <c r="AL103" s="746">
        <f t="shared" si="61"/>
        <v>1</v>
      </c>
      <c r="AM103" s="746">
        <f t="shared" si="62"/>
        <v>0</v>
      </c>
      <c r="AN103" s="746">
        <f t="shared" si="63"/>
        <v>0</v>
      </c>
      <c r="AO103" s="746">
        <f t="shared" si="64"/>
        <v>0</v>
      </c>
      <c r="AP103" s="746">
        <f t="shared" si="65"/>
        <v>0</v>
      </c>
      <c r="AQ103" s="746">
        <f t="shared" si="66"/>
        <v>0</v>
      </c>
      <c r="AR103" s="746">
        <f t="shared" si="67"/>
        <v>0</v>
      </c>
    </row>
    <row r="104" spans="1:44">
      <c r="A104" s="746" t="s">
        <v>836</v>
      </c>
      <c r="B104" s="746">
        <v>931</v>
      </c>
      <c r="C104" s="747">
        <v>77.583333333333329</v>
      </c>
      <c r="D104" s="746">
        <f t="shared" si="70"/>
        <v>78</v>
      </c>
      <c r="E104" s="757">
        <f t="shared" si="71"/>
        <v>4.9873398296631632E-4</v>
      </c>
      <c r="F104" s="746">
        <v>26</v>
      </c>
      <c r="G104" s="746">
        <f t="shared" si="72"/>
        <v>3</v>
      </c>
      <c r="H104" s="746">
        <v>15</v>
      </c>
      <c r="I104" s="747">
        <f t="shared" si="43"/>
        <v>6.3453834598504715</v>
      </c>
      <c r="J104" s="746">
        <f t="shared" si="73"/>
        <v>45</v>
      </c>
      <c r="K104" s="746">
        <v>600</v>
      </c>
      <c r="L104" s="746">
        <f t="shared" si="74"/>
        <v>1</v>
      </c>
      <c r="M104" s="746">
        <v>370</v>
      </c>
      <c r="N104" s="746">
        <v>370</v>
      </c>
      <c r="O104" s="746">
        <v>175</v>
      </c>
      <c r="P104" s="746">
        <v>1200</v>
      </c>
      <c r="Q104" s="746">
        <v>1080</v>
      </c>
      <c r="R104" s="746">
        <v>1200</v>
      </c>
      <c r="S104" s="746">
        <f t="shared" si="44"/>
        <v>7</v>
      </c>
      <c r="T104" s="746">
        <f t="shared" si="45"/>
        <v>3</v>
      </c>
      <c r="U104" s="746">
        <f t="shared" si="46"/>
        <v>2</v>
      </c>
      <c r="V104" s="746">
        <f t="shared" si="47"/>
        <v>7</v>
      </c>
      <c r="W104" s="746">
        <f t="shared" si="48"/>
        <v>42</v>
      </c>
      <c r="X104" s="758">
        <f t="shared" si="49"/>
        <v>266.50610531371979</v>
      </c>
      <c r="Y104" s="747">
        <f t="shared" si="50"/>
        <v>3.9370078740157481</v>
      </c>
      <c r="Z104" s="746">
        <f t="shared" si="51"/>
        <v>1</v>
      </c>
      <c r="AA104" s="746">
        <f t="shared" si="52"/>
        <v>23957500</v>
      </c>
      <c r="AB104" s="746">
        <f t="shared" si="53"/>
        <v>0.84605112798006288</v>
      </c>
      <c r="AC104" s="759" t="s">
        <v>594</v>
      </c>
      <c r="AD104" s="746">
        <f t="shared" si="75"/>
        <v>5</v>
      </c>
      <c r="AE104" s="746">
        <f t="shared" si="54"/>
        <v>0.5</v>
      </c>
      <c r="AF104" s="746">
        <f t="shared" si="55"/>
        <v>0.60000000000000009</v>
      </c>
      <c r="AG104" s="746">
        <f t="shared" si="56"/>
        <v>1.4000000000000001</v>
      </c>
      <c r="AH104" s="746">
        <f t="shared" si="57"/>
        <v>6</v>
      </c>
      <c r="AI104" s="746">
        <f t="shared" si="58"/>
        <v>8.5</v>
      </c>
      <c r="AJ104" s="746">
        <f t="shared" si="59"/>
        <v>2</v>
      </c>
      <c r="AK104" s="746">
        <f t="shared" si="60"/>
        <v>1</v>
      </c>
      <c r="AL104" s="746">
        <f t="shared" si="61"/>
        <v>1</v>
      </c>
      <c r="AM104" s="746">
        <f t="shared" si="62"/>
        <v>0</v>
      </c>
      <c r="AN104" s="746">
        <f t="shared" si="63"/>
        <v>0</v>
      </c>
      <c r="AO104" s="746">
        <f t="shared" si="64"/>
        <v>0</v>
      </c>
      <c r="AP104" s="746">
        <f t="shared" si="65"/>
        <v>0</v>
      </c>
      <c r="AQ104" s="746">
        <f t="shared" si="66"/>
        <v>0</v>
      </c>
      <c r="AR104" s="746">
        <f t="shared" si="67"/>
        <v>0</v>
      </c>
    </row>
    <row r="105" spans="1:44">
      <c r="A105" s="746" t="s">
        <v>837</v>
      </c>
      <c r="B105" s="746">
        <v>879</v>
      </c>
      <c r="C105" s="747">
        <v>73.25</v>
      </c>
      <c r="D105" s="746">
        <f t="shared" si="70"/>
        <v>74</v>
      </c>
      <c r="E105" s="757">
        <f t="shared" si="71"/>
        <v>4.7315788127573596E-4</v>
      </c>
      <c r="F105" s="746">
        <v>26</v>
      </c>
      <c r="G105" s="746">
        <f t="shared" si="72"/>
        <v>3</v>
      </c>
      <c r="H105" s="746">
        <v>15</v>
      </c>
      <c r="I105" s="747">
        <f t="shared" si="43"/>
        <v>2.2569444444444446</v>
      </c>
      <c r="J105" s="746">
        <f t="shared" si="73"/>
        <v>45</v>
      </c>
      <c r="K105" s="746">
        <v>600</v>
      </c>
      <c r="L105" s="746">
        <f t="shared" si="74"/>
        <v>1</v>
      </c>
      <c r="M105" s="746">
        <v>330.2</v>
      </c>
      <c r="N105" s="746">
        <v>203.2</v>
      </c>
      <c r="O105" s="746">
        <v>127</v>
      </c>
      <c r="P105" s="746">
        <v>1200</v>
      </c>
      <c r="Q105" s="746">
        <v>1080</v>
      </c>
      <c r="R105" s="746">
        <v>1200</v>
      </c>
      <c r="S105" s="746">
        <f t="shared" si="44"/>
        <v>9</v>
      </c>
      <c r="T105" s="746">
        <f t="shared" si="45"/>
        <v>3</v>
      </c>
      <c r="U105" s="746">
        <f t="shared" si="46"/>
        <v>5</v>
      </c>
      <c r="V105" s="746">
        <f t="shared" si="47"/>
        <v>9</v>
      </c>
      <c r="W105" s="746">
        <f t="shared" si="48"/>
        <v>135</v>
      </c>
      <c r="X105" s="758">
        <f t="shared" si="49"/>
        <v>304.6875</v>
      </c>
      <c r="Y105" s="747">
        <f t="shared" si="50"/>
        <v>3.9370078740157481</v>
      </c>
      <c r="Z105" s="746">
        <f t="shared" si="51"/>
        <v>1</v>
      </c>
      <c r="AA105" s="746">
        <f t="shared" si="52"/>
        <v>8521273.2799999993</v>
      </c>
      <c r="AB105" s="746">
        <f t="shared" si="53"/>
        <v>0.30092592592592593</v>
      </c>
      <c r="AC105" s="759" t="s">
        <v>594</v>
      </c>
      <c r="AD105" s="746">
        <f t="shared" si="75"/>
        <v>5</v>
      </c>
      <c r="AE105" s="746">
        <f t="shared" si="54"/>
        <v>0.5</v>
      </c>
      <c r="AF105" s="746">
        <f t="shared" si="55"/>
        <v>0.60000000000000009</v>
      </c>
      <c r="AG105" s="746">
        <f t="shared" si="56"/>
        <v>1.4000000000000001</v>
      </c>
      <c r="AH105" s="746">
        <f t="shared" si="57"/>
        <v>6</v>
      </c>
      <c r="AI105" s="746">
        <f t="shared" si="58"/>
        <v>8.5</v>
      </c>
      <c r="AJ105" s="746">
        <f t="shared" si="59"/>
        <v>2</v>
      </c>
      <c r="AK105" s="746">
        <f t="shared" si="60"/>
        <v>1</v>
      </c>
      <c r="AL105" s="746">
        <f t="shared" si="61"/>
        <v>1</v>
      </c>
      <c r="AM105" s="746">
        <f t="shared" si="62"/>
        <v>0</v>
      </c>
      <c r="AN105" s="746">
        <f t="shared" si="63"/>
        <v>0</v>
      </c>
      <c r="AO105" s="746">
        <f t="shared" si="64"/>
        <v>0</v>
      </c>
      <c r="AP105" s="746">
        <f t="shared" si="65"/>
        <v>0</v>
      </c>
      <c r="AQ105" s="746">
        <f t="shared" si="66"/>
        <v>0</v>
      </c>
      <c r="AR105" s="746">
        <f t="shared" si="67"/>
        <v>0</v>
      </c>
    </row>
    <row r="106" spans="1:44">
      <c r="A106" s="746" t="s">
        <v>838</v>
      </c>
      <c r="B106" s="746">
        <v>868</v>
      </c>
      <c r="C106" s="747">
        <v>72.333333333333329</v>
      </c>
      <c r="D106" s="746">
        <f t="shared" si="70"/>
        <v>73</v>
      </c>
      <c r="E106" s="757">
        <f t="shared" si="71"/>
        <v>4.6676385585309085E-4</v>
      </c>
      <c r="F106" s="746">
        <v>26</v>
      </c>
      <c r="G106" s="746">
        <f t="shared" si="72"/>
        <v>3</v>
      </c>
      <c r="H106" s="746">
        <v>15</v>
      </c>
      <c r="I106" s="747">
        <f t="shared" si="43"/>
        <v>8.3333333333333321</v>
      </c>
      <c r="J106" s="746">
        <f t="shared" si="73"/>
        <v>45</v>
      </c>
      <c r="K106" s="746">
        <v>600</v>
      </c>
      <c r="L106" s="746">
        <f t="shared" si="74"/>
        <v>1</v>
      </c>
      <c r="M106" s="746">
        <v>508</v>
      </c>
      <c r="N106" s="746">
        <v>304.8</v>
      </c>
      <c r="O106" s="746">
        <v>203.2</v>
      </c>
      <c r="P106" s="746">
        <v>1200</v>
      </c>
      <c r="Q106" s="746">
        <v>1080</v>
      </c>
      <c r="R106" s="746">
        <v>1200</v>
      </c>
      <c r="S106" s="746">
        <f t="shared" si="44"/>
        <v>6</v>
      </c>
      <c r="T106" s="746">
        <f t="shared" si="45"/>
        <v>2</v>
      </c>
      <c r="U106" s="746">
        <f t="shared" si="46"/>
        <v>3</v>
      </c>
      <c r="V106" s="746">
        <f t="shared" si="47"/>
        <v>6</v>
      </c>
      <c r="W106" s="746">
        <f t="shared" si="48"/>
        <v>36</v>
      </c>
      <c r="X106" s="758">
        <f t="shared" si="49"/>
        <v>299.99999999999994</v>
      </c>
      <c r="Y106" s="747">
        <f t="shared" si="50"/>
        <v>3.9370078740157481</v>
      </c>
      <c r="Z106" s="746">
        <f t="shared" si="51"/>
        <v>1</v>
      </c>
      <c r="AA106" s="746">
        <f t="shared" si="52"/>
        <v>31463162.879999995</v>
      </c>
      <c r="AB106" s="746">
        <f t="shared" si="53"/>
        <v>1.1111111111111109</v>
      </c>
      <c r="AC106" s="759" t="s">
        <v>594</v>
      </c>
      <c r="AD106" s="746">
        <f t="shared" si="75"/>
        <v>5</v>
      </c>
      <c r="AE106" s="746">
        <f t="shared" si="54"/>
        <v>0.5</v>
      </c>
      <c r="AF106" s="746">
        <f t="shared" si="55"/>
        <v>0.60000000000000009</v>
      </c>
      <c r="AG106" s="746">
        <f t="shared" si="56"/>
        <v>1.4000000000000001</v>
      </c>
      <c r="AH106" s="746">
        <f t="shared" si="57"/>
        <v>6</v>
      </c>
      <c r="AI106" s="746">
        <f t="shared" si="58"/>
        <v>8.5</v>
      </c>
      <c r="AJ106" s="746">
        <f t="shared" si="59"/>
        <v>2</v>
      </c>
      <c r="AK106" s="746">
        <f t="shared" si="60"/>
        <v>1</v>
      </c>
      <c r="AL106" s="746">
        <f t="shared" si="61"/>
        <v>1</v>
      </c>
      <c r="AM106" s="746">
        <f t="shared" si="62"/>
        <v>0</v>
      </c>
      <c r="AN106" s="746">
        <f t="shared" si="63"/>
        <v>0</v>
      </c>
      <c r="AO106" s="746">
        <f t="shared" si="64"/>
        <v>0</v>
      </c>
      <c r="AP106" s="746">
        <f t="shared" si="65"/>
        <v>0</v>
      </c>
      <c r="AQ106" s="746">
        <f t="shared" si="66"/>
        <v>0</v>
      </c>
      <c r="AR106" s="746">
        <f t="shared" si="67"/>
        <v>0</v>
      </c>
    </row>
    <row r="107" spans="1:44">
      <c r="A107" s="746" t="s">
        <v>839</v>
      </c>
      <c r="B107" s="746">
        <v>854</v>
      </c>
      <c r="C107" s="747">
        <v>71.166666666666671</v>
      </c>
      <c r="D107" s="746">
        <f t="shared" si="70"/>
        <v>72</v>
      </c>
      <c r="E107" s="757">
        <f t="shared" si="71"/>
        <v>4.6036983043044579E-4</v>
      </c>
      <c r="F107" s="746">
        <v>26</v>
      </c>
      <c r="G107" s="746">
        <f t="shared" si="72"/>
        <v>3</v>
      </c>
      <c r="H107" s="746">
        <v>15</v>
      </c>
      <c r="I107" s="747">
        <f t="shared" si="43"/>
        <v>10.992643513064806</v>
      </c>
      <c r="J107" s="746">
        <f t="shared" si="73"/>
        <v>45</v>
      </c>
      <c r="K107" s="746">
        <v>600</v>
      </c>
      <c r="L107" s="746">
        <f t="shared" si="74"/>
        <v>1</v>
      </c>
      <c r="M107" s="746">
        <v>508</v>
      </c>
      <c r="N107" s="746">
        <v>430</v>
      </c>
      <c r="O107" s="746">
        <v>190</v>
      </c>
      <c r="P107" s="746">
        <v>1200</v>
      </c>
      <c r="Q107" s="746">
        <v>1080</v>
      </c>
      <c r="R107" s="746">
        <v>1200</v>
      </c>
      <c r="S107" s="746">
        <f t="shared" si="44"/>
        <v>6</v>
      </c>
      <c r="T107" s="746">
        <f t="shared" si="45"/>
        <v>2</v>
      </c>
      <c r="U107" s="746">
        <f t="shared" si="46"/>
        <v>2</v>
      </c>
      <c r="V107" s="746">
        <f t="shared" si="47"/>
        <v>6</v>
      </c>
      <c r="W107" s="746">
        <f t="shared" si="48"/>
        <v>24</v>
      </c>
      <c r="X107" s="758">
        <f t="shared" si="49"/>
        <v>263.82344431355534</v>
      </c>
      <c r="Y107" s="747">
        <f t="shared" si="50"/>
        <v>3.9370078740157481</v>
      </c>
      <c r="Z107" s="746">
        <f t="shared" si="51"/>
        <v>1</v>
      </c>
      <c r="AA107" s="746">
        <f t="shared" si="52"/>
        <v>41503600</v>
      </c>
      <c r="AB107" s="746">
        <f t="shared" si="53"/>
        <v>1.465685801741974</v>
      </c>
      <c r="AC107" s="759" t="s">
        <v>594</v>
      </c>
      <c r="AD107" s="746">
        <f t="shared" si="75"/>
        <v>5</v>
      </c>
      <c r="AE107" s="746">
        <f t="shared" si="54"/>
        <v>0.5</v>
      </c>
      <c r="AF107" s="746">
        <f t="shared" si="55"/>
        <v>0.60000000000000009</v>
      </c>
      <c r="AG107" s="746">
        <f t="shared" si="56"/>
        <v>1.4000000000000001</v>
      </c>
      <c r="AH107" s="746">
        <f t="shared" si="57"/>
        <v>6</v>
      </c>
      <c r="AI107" s="746">
        <f t="shared" si="58"/>
        <v>8.5</v>
      </c>
      <c r="AJ107" s="746">
        <f t="shared" si="59"/>
        <v>2</v>
      </c>
      <c r="AK107" s="746">
        <f t="shared" si="60"/>
        <v>1</v>
      </c>
      <c r="AL107" s="746">
        <f t="shared" si="61"/>
        <v>1</v>
      </c>
      <c r="AM107" s="746">
        <f t="shared" si="62"/>
        <v>0</v>
      </c>
      <c r="AN107" s="746">
        <f t="shared" si="63"/>
        <v>0</v>
      </c>
      <c r="AO107" s="746">
        <f t="shared" si="64"/>
        <v>0</v>
      </c>
      <c r="AP107" s="746">
        <f t="shared" si="65"/>
        <v>0</v>
      </c>
      <c r="AQ107" s="746">
        <f t="shared" si="66"/>
        <v>0</v>
      </c>
      <c r="AR107" s="746">
        <f t="shared" si="67"/>
        <v>0</v>
      </c>
    </row>
    <row r="108" spans="1:44">
      <c r="A108" s="746" t="s">
        <v>840</v>
      </c>
      <c r="B108" s="746">
        <v>850</v>
      </c>
      <c r="C108" s="747">
        <v>70.833333333333329</v>
      </c>
      <c r="D108" s="746">
        <f t="shared" si="70"/>
        <v>71</v>
      </c>
      <c r="E108" s="757">
        <f t="shared" si="71"/>
        <v>4.5397580500780072E-4</v>
      </c>
      <c r="F108" s="746">
        <v>26</v>
      </c>
      <c r="G108" s="746">
        <f t="shared" si="72"/>
        <v>3</v>
      </c>
      <c r="H108" s="746">
        <v>15</v>
      </c>
      <c r="I108" s="747">
        <f t="shared" si="43"/>
        <v>28.437500000000004</v>
      </c>
      <c r="J108" s="746">
        <f t="shared" si="73"/>
        <v>45</v>
      </c>
      <c r="K108" s="746">
        <v>600</v>
      </c>
      <c r="L108" s="746">
        <f t="shared" si="74"/>
        <v>1</v>
      </c>
      <c r="M108" s="746">
        <v>1066.8</v>
      </c>
      <c r="N108" s="746">
        <v>330.2</v>
      </c>
      <c r="O108" s="746">
        <v>304.8</v>
      </c>
      <c r="P108" s="746">
        <v>1200</v>
      </c>
      <c r="Q108" s="746">
        <v>1080</v>
      </c>
      <c r="R108" s="746">
        <v>1200</v>
      </c>
      <c r="S108" s="746">
        <f t="shared" si="44"/>
        <v>4</v>
      </c>
      <c r="T108" s="746">
        <f t="shared" si="45"/>
        <v>1</v>
      </c>
      <c r="U108" s="746">
        <f t="shared" si="46"/>
        <v>3</v>
      </c>
      <c r="V108" s="746">
        <f t="shared" si="47"/>
        <v>4</v>
      </c>
      <c r="W108" s="746">
        <f t="shared" si="48"/>
        <v>12</v>
      </c>
      <c r="X108" s="758">
        <f t="shared" si="49"/>
        <v>341.25000000000006</v>
      </c>
      <c r="Y108" s="747">
        <f t="shared" si="50"/>
        <v>3.9370078740157481</v>
      </c>
      <c r="Z108" s="746">
        <f t="shared" si="51"/>
        <v>1</v>
      </c>
      <c r="AA108" s="746">
        <f t="shared" si="52"/>
        <v>107368043.32799999</v>
      </c>
      <c r="AB108" s="746">
        <f t="shared" si="53"/>
        <v>3.791666666666667</v>
      </c>
      <c r="AC108" s="759" t="s">
        <v>594</v>
      </c>
      <c r="AD108" s="746">
        <f t="shared" si="75"/>
        <v>5</v>
      </c>
      <c r="AE108" s="746">
        <f t="shared" si="54"/>
        <v>0.5</v>
      </c>
      <c r="AF108" s="746">
        <f t="shared" si="55"/>
        <v>0.60000000000000009</v>
      </c>
      <c r="AG108" s="746">
        <f t="shared" si="56"/>
        <v>1.4000000000000001</v>
      </c>
      <c r="AH108" s="746">
        <f t="shared" si="57"/>
        <v>6</v>
      </c>
      <c r="AI108" s="746">
        <f t="shared" si="58"/>
        <v>8.5</v>
      </c>
      <c r="AJ108" s="746">
        <f t="shared" si="59"/>
        <v>2</v>
      </c>
      <c r="AK108" s="746">
        <f t="shared" si="60"/>
        <v>1</v>
      </c>
      <c r="AL108" s="746">
        <f t="shared" si="61"/>
        <v>1</v>
      </c>
      <c r="AM108" s="746">
        <f t="shared" si="62"/>
        <v>0</v>
      </c>
      <c r="AN108" s="746">
        <f t="shared" si="63"/>
        <v>0</v>
      </c>
      <c r="AO108" s="746">
        <f t="shared" si="64"/>
        <v>0</v>
      </c>
      <c r="AP108" s="746">
        <f t="shared" si="65"/>
        <v>1</v>
      </c>
      <c r="AQ108" s="746">
        <f t="shared" si="66"/>
        <v>0</v>
      </c>
      <c r="AR108" s="746">
        <f t="shared" si="67"/>
        <v>1</v>
      </c>
    </row>
    <row r="109" spans="1:44">
      <c r="A109" s="746" t="s">
        <v>841</v>
      </c>
      <c r="B109" s="746">
        <v>800</v>
      </c>
      <c r="C109" s="747">
        <v>66.666666666666671</v>
      </c>
      <c r="D109" s="746">
        <f t="shared" si="70"/>
        <v>67</v>
      </c>
      <c r="E109" s="757">
        <f t="shared" si="71"/>
        <v>4.2839970331722037E-4</v>
      </c>
      <c r="F109" s="746">
        <v>26</v>
      </c>
      <c r="G109" s="746">
        <f t="shared" si="72"/>
        <v>3</v>
      </c>
      <c r="H109" s="746">
        <v>15</v>
      </c>
      <c r="I109" s="747">
        <f t="shared" si="43"/>
        <v>69.270833333333314</v>
      </c>
      <c r="J109" s="746">
        <f t="shared" si="73"/>
        <v>45</v>
      </c>
      <c r="K109" s="746">
        <v>600</v>
      </c>
      <c r="L109" s="746">
        <f t="shared" si="74"/>
        <v>1</v>
      </c>
      <c r="M109" s="746">
        <v>965.19999999999993</v>
      </c>
      <c r="N109" s="746">
        <v>533.4</v>
      </c>
      <c r="O109" s="746">
        <v>508</v>
      </c>
      <c r="P109" s="746">
        <v>1200</v>
      </c>
      <c r="Q109" s="746">
        <v>1080</v>
      </c>
      <c r="R109" s="746">
        <v>1200</v>
      </c>
      <c r="S109" s="746">
        <f t="shared" si="44"/>
        <v>2</v>
      </c>
      <c r="T109" s="746">
        <f t="shared" si="45"/>
        <v>1</v>
      </c>
      <c r="U109" s="746">
        <f t="shared" si="46"/>
        <v>2</v>
      </c>
      <c r="V109" s="746">
        <f t="shared" si="47"/>
        <v>2</v>
      </c>
      <c r="W109" s="746">
        <f t="shared" si="48"/>
        <v>4</v>
      </c>
      <c r="X109" s="758">
        <f t="shared" si="49"/>
        <v>277.08333333333326</v>
      </c>
      <c r="Y109" s="747">
        <f t="shared" si="50"/>
        <v>3.9370078740157481</v>
      </c>
      <c r="Z109" s="746">
        <f t="shared" si="51"/>
        <v>1</v>
      </c>
      <c r="AA109" s="746">
        <f t="shared" si="52"/>
        <v>261537541.43999997</v>
      </c>
      <c r="AB109" s="746">
        <f t="shared" si="53"/>
        <v>9.2361111111111089</v>
      </c>
      <c r="AC109" s="759" t="s">
        <v>594</v>
      </c>
      <c r="AD109" s="746">
        <f t="shared" si="75"/>
        <v>5</v>
      </c>
      <c r="AE109" s="746">
        <f t="shared" si="54"/>
        <v>0.5</v>
      </c>
      <c r="AF109" s="746">
        <f t="shared" si="55"/>
        <v>0.60000000000000009</v>
      </c>
      <c r="AG109" s="746">
        <f t="shared" si="56"/>
        <v>1.4000000000000001</v>
      </c>
      <c r="AH109" s="746">
        <f t="shared" si="57"/>
        <v>6</v>
      </c>
      <c r="AI109" s="746">
        <f t="shared" si="58"/>
        <v>8.5</v>
      </c>
      <c r="AJ109" s="746">
        <f t="shared" si="59"/>
        <v>2</v>
      </c>
      <c r="AK109" s="746">
        <f t="shared" si="60"/>
        <v>1</v>
      </c>
      <c r="AL109" s="746">
        <f t="shared" si="61"/>
        <v>1</v>
      </c>
      <c r="AM109" s="746">
        <f t="shared" si="62"/>
        <v>0</v>
      </c>
      <c r="AN109" s="746">
        <f t="shared" si="63"/>
        <v>1</v>
      </c>
      <c r="AO109" s="746">
        <f t="shared" si="64"/>
        <v>1</v>
      </c>
      <c r="AP109" s="746">
        <f t="shared" si="65"/>
        <v>2</v>
      </c>
      <c r="AQ109" s="746">
        <f t="shared" si="66"/>
        <v>0</v>
      </c>
      <c r="AR109" s="746">
        <f t="shared" si="67"/>
        <v>4</v>
      </c>
    </row>
    <row r="110" spans="1:44">
      <c r="A110" s="746" t="s">
        <v>842</v>
      </c>
      <c r="B110" s="746">
        <v>780</v>
      </c>
      <c r="C110" s="747">
        <v>65</v>
      </c>
      <c r="D110" s="746">
        <f t="shared" si="70"/>
        <v>65</v>
      </c>
      <c r="E110" s="757">
        <f t="shared" si="71"/>
        <v>4.1561165247193025E-4</v>
      </c>
      <c r="F110" s="746">
        <v>26</v>
      </c>
      <c r="G110" s="746">
        <f t="shared" si="72"/>
        <v>3</v>
      </c>
      <c r="H110" s="746">
        <v>15</v>
      </c>
      <c r="I110" s="747">
        <f t="shared" si="43"/>
        <v>69.755416835787187</v>
      </c>
      <c r="J110" s="746">
        <f t="shared" si="73"/>
        <v>45</v>
      </c>
      <c r="K110" s="746">
        <v>600</v>
      </c>
      <c r="L110" s="746">
        <f t="shared" si="74"/>
        <v>1</v>
      </c>
      <c r="M110" s="746">
        <v>1015</v>
      </c>
      <c r="N110" s="746">
        <v>535</v>
      </c>
      <c r="O110" s="746">
        <v>485</v>
      </c>
      <c r="P110" s="746">
        <v>1200</v>
      </c>
      <c r="Q110" s="746">
        <v>1080</v>
      </c>
      <c r="R110" s="746">
        <v>1200</v>
      </c>
      <c r="S110" s="746">
        <f t="shared" si="44"/>
        <v>2</v>
      </c>
      <c r="T110" s="746">
        <f t="shared" si="45"/>
        <v>1</v>
      </c>
      <c r="U110" s="746">
        <f t="shared" si="46"/>
        <v>2</v>
      </c>
      <c r="V110" s="746">
        <f t="shared" si="47"/>
        <v>2</v>
      </c>
      <c r="W110" s="746">
        <f t="shared" si="48"/>
        <v>4</v>
      </c>
      <c r="X110" s="758">
        <f t="shared" si="49"/>
        <v>279.02166734314875</v>
      </c>
      <c r="Y110" s="747">
        <f t="shared" si="50"/>
        <v>3.9370078740157481</v>
      </c>
      <c r="Z110" s="746">
        <f t="shared" si="51"/>
        <v>1</v>
      </c>
      <c r="AA110" s="746">
        <f t="shared" si="52"/>
        <v>263367125</v>
      </c>
      <c r="AB110" s="746">
        <f t="shared" si="53"/>
        <v>9.3007222447716256</v>
      </c>
      <c r="AC110" s="759" t="s">
        <v>594</v>
      </c>
      <c r="AD110" s="746">
        <f t="shared" si="75"/>
        <v>5</v>
      </c>
      <c r="AE110" s="746">
        <f t="shared" si="54"/>
        <v>0.5</v>
      </c>
      <c r="AF110" s="746">
        <f t="shared" si="55"/>
        <v>0.60000000000000009</v>
      </c>
      <c r="AG110" s="746">
        <f t="shared" si="56"/>
        <v>1.4000000000000001</v>
      </c>
      <c r="AH110" s="746">
        <f t="shared" si="57"/>
        <v>6</v>
      </c>
      <c r="AI110" s="746">
        <f t="shared" si="58"/>
        <v>8.5</v>
      </c>
      <c r="AJ110" s="746">
        <f t="shared" si="59"/>
        <v>2</v>
      </c>
      <c r="AK110" s="746">
        <f t="shared" si="60"/>
        <v>1</v>
      </c>
      <c r="AL110" s="746">
        <f t="shared" si="61"/>
        <v>1</v>
      </c>
      <c r="AM110" s="746">
        <f t="shared" si="62"/>
        <v>0</v>
      </c>
      <c r="AN110" s="746">
        <f t="shared" si="63"/>
        <v>1</v>
      </c>
      <c r="AO110" s="746">
        <f t="shared" si="64"/>
        <v>1</v>
      </c>
      <c r="AP110" s="746">
        <f t="shared" si="65"/>
        <v>2</v>
      </c>
      <c r="AQ110" s="746">
        <f t="shared" si="66"/>
        <v>0</v>
      </c>
      <c r="AR110" s="746">
        <f t="shared" si="67"/>
        <v>4</v>
      </c>
    </row>
    <row r="111" spans="1:44">
      <c r="A111" s="746" t="s">
        <v>843</v>
      </c>
      <c r="B111" s="746">
        <v>649</v>
      </c>
      <c r="C111" s="747">
        <v>54.083333333333336</v>
      </c>
      <c r="D111" s="746">
        <f t="shared" si="70"/>
        <v>55</v>
      </c>
      <c r="E111" s="757">
        <f t="shared" si="71"/>
        <v>3.5167139824547941E-4</v>
      </c>
      <c r="F111" s="746">
        <v>26</v>
      </c>
      <c r="G111" s="746">
        <f t="shared" si="72"/>
        <v>3</v>
      </c>
      <c r="H111" s="746">
        <v>15</v>
      </c>
      <c r="I111" s="747">
        <f t="shared" si="43"/>
        <v>13.020833333333336</v>
      </c>
      <c r="J111" s="746">
        <f t="shared" si="73"/>
        <v>45</v>
      </c>
      <c r="K111" s="746">
        <v>600</v>
      </c>
      <c r="L111" s="746">
        <f t="shared" si="74"/>
        <v>1</v>
      </c>
      <c r="M111" s="746">
        <v>508</v>
      </c>
      <c r="N111" s="746">
        <v>381</v>
      </c>
      <c r="O111" s="746">
        <v>254</v>
      </c>
      <c r="P111" s="746">
        <v>1200</v>
      </c>
      <c r="Q111" s="746">
        <v>1080</v>
      </c>
      <c r="R111" s="746">
        <v>1200</v>
      </c>
      <c r="S111" s="746">
        <f t="shared" si="44"/>
        <v>5</v>
      </c>
      <c r="T111" s="746">
        <f t="shared" si="45"/>
        <v>2</v>
      </c>
      <c r="U111" s="746">
        <f t="shared" si="46"/>
        <v>2</v>
      </c>
      <c r="V111" s="746">
        <f t="shared" si="47"/>
        <v>5</v>
      </c>
      <c r="W111" s="746">
        <f t="shared" si="48"/>
        <v>20</v>
      </c>
      <c r="X111" s="758">
        <f t="shared" si="49"/>
        <v>260.41666666666674</v>
      </c>
      <c r="Y111" s="747">
        <f t="shared" si="50"/>
        <v>3.9370078740157481</v>
      </c>
      <c r="Z111" s="746">
        <f t="shared" si="51"/>
        <v>1</v>
      </c>
      <c r="AA111" s="746">
        <f t="shared" si="52"/>
        <v>49161192</v>
      </c>
      <c r="AB111" s="746">
        <f t="shared" si="53"/>
        <v>1.7361111111111114</v>
      </c>
      <c r="AC111" s="759" t="s">
        <v>594</v>
      </c>
      <c r="AD111" s="746">
        <f t="shared" si="75"/>
        <v>5</v>
      </c>
      <c r="AE111" s="746">
        <f t="shared" si="54"/>
        <v>0.5</v>
      </c>
      <c r="AF111" s="746">
        <f t="shared" si="55"/>
        <v>0.60000000000000009</v>
      </c>
      <c r="AG111" s="746">
        <f t="shared" si="56"/>
        <v>1.4000000000000001</v>
      </c>
      <c r="AH111" s="746">
        <f t="shared" si="57"/>
        <v>6</v>
      </c>
      <c r="AI111" s="746">
        <f t="shared" si="58"/>
        <v>8.5</v>
      </c>
      <c r="AJ111" s="746">
        <f t="shared" si="59"/>
        <v>2</v>
      </c>
      <c r="AK111" s="746">
        <f t="shared" si="60"/>
        <v>1</v>
      </c>
      <c r="AL111" s="746">
        <f t="shared" si="61"/>
        <v>1</v>
      </c>
      <c r="AM111" s="746">
        <f t="shared" si="62"/>
        <v>0</v>
      </c>
      <c r="AN111" s="746">
        <f t="shared" si="63"/>
        <v>0</v>
      </c>
      <c r="AO111" s="746">
        <f t="shared" si="64"/>
        <v>0</v>
      </c>
      <c r="AP111" s="746">
        <f t="shared" si="65"/>
        <v>0</v>
      </c>
      <c r="AQ111" s="746">
        <f t="shared" si="66"/>
        <v>0</v>
      </c>
      <c r="AR111" s="746">
        <f t="shared" si="67"/>
        <v>0</v>
      </c>
    </row>
    <row r="112" spans="1:44">
      <c r="A112" s="746" t="s">
        <v>844</v>
      </c>
      <c r="B112" s="746">
        <v>639</v>
      </c>
      <c r="C112" s="747">
        <v>53.25</v>
      </c>
      <c r="D112" s="746">
        <f t="shared" si="70"/>
        <v>54</v>
      </c>
      <c r="E112" s="757">
        <f t="shared" si="71"/>
        <v>3.4527737282283435E-4</v>
      </c>
      <c r="F112" s="746">
        <v>26</v>
      </c>
      <c r="G112" s="746">
        <f t="shared" si="72"/>
        <v>3</v>
      </c>
      <c r="H112" s="746">
        <v>15</v>
      </c>
      <c r="I112" s="747">
        <f t="shared" si="43"/>
        <v>3.5636913055322172</v>
      </c>
      <c r="J112" s="746">
        <f t="shared" si="73"/>
        <v>45</v>
      </c>
      <c r="K112" s="746">
        <v>600</v>
      </c>
      <c r="L112" s="746">
        <f t="shared" si="74"/>
        <v>1</v>
      </c>
      <c r="M112" s="746">
        <v>390</v>
      </c>
      <c r="N112" s="746">
        <v>230</v>
      </c>
      <c r="O112" s="746">
        <v>150</v>
      </c>
      <c r="P112" s="746">
        <v>1200</v>
      </c>
      <c r="Q112" s="746">
        <v>1080</v>
      </c>
      <c r="R112" s="746">
        <v>1200</v>
      </c>
      <c r="S112" s="746">
        <f t="shared" si="44"/>
        <v>8</v>
      </c>
      <c r="T112" s="746">
        <f t="shared" si="45"/>
        <v>3</v>
      </c>
      <c r="U112" s="746">
        <f t="shared" si="46"/>
        <v>4</v>
      </c>
      <c r="V112" s="746">
        <f t="shared" si="47"/>
        <v>8</v>
      </c>
      <c r="W112" s="746">
        <f t="shared" si="48"/>
        <v>96</v>
      </c>
      <c r="X112" s="758">
        <f t="shared" si="49"/>
        <v>342.11436533109287</v>
      </c>
      <c r="Y112" s="747">
        <f t="shared" si="50"/>
        <v>3.9370078740157481</v>
      </c>
      <c r="Z112" s="746">
        <f t="shared" si="51"/>
        <v>1</v>
      </c>
      <c r="AA112" s="746">
        <f t="shared" si="52"/>
        <v>13455000</v>
      </c>
      <c r="AB112" s="746">
        <f t="shared" si="53"/>
        <v>0.47515884073762898</v>
      </c>
      <c r="AC112" s="759" t="s">
        <v>594</v>
      </c>
      <c r="AD112" s="746">
        <f t="shared" si="75"/>
        <v>5</v>
      </c>
      <c r="AE112" s="746">
        <f t="shared" si="54"/>
        <v>0.5</v>
      </c>
      <c r="AF112" s="746">
        <f t="shared" si="55"/>
        <v>0.60000000000000009</v>
      </c>
      <c r="AG112" s="746">
        <f t="shared" si="56"/>
        <v>1.4000000000000001</v>
      </c>
      <c r="AH112" s="746">
        <f t="shared" si="57"/>
        <v>6</v>
      </c>
      <c r="AI112" s="746">
        <f t="shared" si="58"/>
        <v>8.5</v>
      </c>
      <c r="AJ112" s="746">
        <f t="shared" si="59"/>
        <v>2</v>
      </c>
      <c r="AK112" s="746">
        <f t="shared" si="60"/>
        <v>1</v>
      </c>
      <c r="AL112" s="746">
        <f t="shared" si="61"/>
        <v>1</v>
      </c>
      <c r="AM112" s="746">
        <f t="shared" si="62"/>
        <v>0</v>
      </c>
      <c r="AN112" s="746">
        <f t="shared" si="63"/>
        <v>0</v>
      </c>
      <c r="AO112" s="746">
        <f t="shared" si="64"/>
        <v>0</v>
      </c>
      <c r="AP112" s="746">
        <f t="shared" si="65"/>
        <v>0</v>
      </c>
      <c r="AQ112" s="746">
        <f t="shared" si="66"/>
        <v>0</v>
      </c>
      <c r="AR112" s="746">
        <f t="shared" si="67"/>
        <v>0</v>
      </c>
    </row>
    <row r="113" spans="1:44">
      <c r="A113" s="746" t="s">
        <v>845</v>
      </c>
      <c r="B113" s="746">
        <v>630</v>
      </c>
      <c r="C113" s="747">
        <v>52.5</v>
      </c>
      <c r="D113" s="746">
        <f t="shared" si="70"/>
        <v>53</v>
      </c>
      <c r="E113" s="757">
        <f t="shared" si="71"/>
        <v>3.3888334740018924E-4</v>
      </c>
      <c r="F113" s="746">
        <v>26</v>
      </c>
      <c r="G113" s="746">
        <f t="shared" si="72"/>
        <v>3</v>
      </c>
      <c r="H113" s="746">
        <v>15</v>
      </c>
      <c r="I113" s="747">
        <f t="shared" si="43"/>
        <v>18.275340028370344</v>
      </c>
      <c r="J113" s="746">
        <f t="shared" si="73"/>
        <v>45</v>
      </c>
      <c r="K113" s="746">
        <v>600</v>
      </c>
      <c r="L113" s="746">
        <f t="shared" si="74"/>
        <v>1</v>
      </c>
      <c r="M113" s="746">
        <v>750</v>
      </c>
      <c r="N113" s="746">
        <v>460</v>
      </c>
      <c r="O113" s="746">
        <v>200</v>
      </c>
      <c r="P113" s="746">
        <v>1200</v>
      </c>
      <c r="Q113" s="746">
        <v>1080</v>
      </c>
      <c r="R113" s="746">
        <v>1200</v>
      </c>
      <c r="S113" s="746">
        <f t="shared" si="44"/>
        <v>6</v>
      </c>
      <c r="T113" s="746">
        <f t="shared" si="45"/>
        <v>1</v>
      </c>
      <c r="U113" s="746">
        <f t="shared" si="46"/>
        <v>2</v>
      </c>
      <c r="V113" s="746">
        <f t="shared" si="47"/>
        <v>6</v>
      </c>
      <c r="W113" s="746">
        <f t="shared" si="48"/>
        <v>12</v>
      </c>
      <c r="X113" s="758">
        <f t="shared" si="49"/>
        <v>219.30408034044413</v>
      </c>
      <c r="Y113" s="747">
        <f t="shared" si="50"/>
        <v>3.9370078740157481</v>
      </c>
      <c r="Z113" s="746">
        <f t="shared" si="51"/>
        <v>1</v>
      </c>
      <c r="AA113" s="746">
        <f t="shared" si="52"/>
        <v>69000000</v>
      </c>
      <c r="AB113" s="746">
        <f t="shared" si="53"/>
        <v>2.4367120037827128</v>
      </c>
      <c r="AC113" s="759" t="s">
        <v>594</v>
      </c>
      <c r="AD113" s="746">
        <f t="shared" si="75"/>
        <v>5</v>
      </c>
      <c r="AE113" s="746">
        <f t="shared" si="54"/>
        <v>0.5</v>
      </c>
      <c r="AF113" s="746">
        <f t="shared" si="55"/>
        <v>0.60000000000000009</v>
      </c>
      <c r="AG113" s="746">
        <f t="shared" si="56"/>
        <v>1.4000000000000001</v>
      </c>
      <c r="AH113" s="746">
        <f t="shared" si="57"/>
        <v>6</v>
      </c>
      <c r="AI113" s="746">
        <f t="shared" si="58"/>
        <v>8.5</v>
      </c>
      <c r="AJ113" s="746">
        <f t="shared" si="59"/>
        <v>2</v>
      </c>
      <c r="AK113" s="746">
        <f t="shared" si="60"/>
        <v>1</v>
      </c>
      <c r="AL113" s="746">
        <f t="shared" si="61"/>
        <v>1</v>
      </c>
      <c r="AM113" s="746">
        <f t="shared" si="62"/>
        <v>0</v>
      </c>
      <c r="AN113" s="746">
        <f t="shared" si="63"/>
        <v>0</v>
      </c>
      <c r="AO113" s="746">
        <f t="shared" si="64"/>
        <v>0</v>
      </c>
      <c r="AP113" s="746">
        <f t="shared" si="65"/>
        <v>1</v>
      </c>
      <c r="AQ113" s="746">
        <f t="shared" si="66"/>
        <v>0</v>
      </c>
      <c r="AR113" s="746">
        <f t="shared" si="67"/>
        <v>1</v>
      </c>
    </row>
    <row r="114" spans="1:44">
      <c r="A114" s="746" t="s">
        <v>846</v>
      </c>
      <c r="B114" s="746">
        <v>600</v>
      </c>
      <c r="C114" s="747">
        <v>50</v>
      </c>
      <c r="D114" s="746">
        <f t="shared" si="70"/>
        <v>50</v>
      </c>
      <c r="E114" s="757">
        <f t="shared" si="71"/>
        <v>3.19701271132254E-4</v>
      </c>
      <c r="F114" s="746">
        <v>26</v>
      </c>
      <c r="G114" s="746">
        <f t="shared" si="72"/>
        <v>2</v>
      </c>
      <c r="H114" s="746">
        <v>15</v>
      </c>
      <c r="I114" s="747">
        <f t="shared" si="43"/>
        <v>83.333333333333329</v>
      </c>
      <c r="J114" s="746">
        <f t="shared" si="73"/>
        <v>30</v>
      </c>
      <c r="K114" s="746">
        <v>600</v>
      </c>
      <c r="L114" s="746">
        <f t="shared" si="74"/>
        <v>1</v>
      </c>
      <c r="M114" s="746">
        <v>1016</v>
      </c>
      <c r="N114" s="746">
        <v>609.6</v>
      </c>
      <c r="O114" s="746">
        <v>508</v>
      </c>
      <c r="P114" s="746">
        <v>1200</v>
      </c>
      <c r="Q114" s="746">
        <v>1080</v>
      </c>
      <c r="R114" s="746">
        <v>1200</v>
      </c>
      <c r="S114" s="746">
        <f t="shared" si="44"/>
        <v>2</v>
      </c>
      <c r="T114" s="746">
        <f t="shared" si="45"/>
        <v>1</v>
      </c>
      <c r="U114" s="746">
        <f t="shared" si="46"/>
        <v>1</v>
      </c>
      <c r="V114" s="746">
        <f t="shared" si="47"/>
        <v>2</v>
      </c>
      <c r="W114" s="746">
        <f t="shared" si="48"/>
        <v>2</v>
      </c>
      <c r="X114" s="758">
        <f t="shared" si="49"/>
        <v>166.66666666666666</v>
      </c>
      <c r="Y114" s="747">
        <f t="shared" si="50"/>
        <v>3.9370078740157481</v>
      </c>
      <c r="Z114" s="746">
        <f t="shared" si="51"/>
        <v>2</v>
      </c>
      <c r="AA114" s="746">
        <f t="shared" si="52"/>
        <v>314631628.80000001</v>
      </c>
      <c r="AB114" s="746">
        <f t="shared" si="53"/>
        <v>11.111111111111111</v>
      </c>
      <c r="AC114" s="759" t="s">
        <v>594</v>
      </c>
      <c r="AD114" s="746">
        <f t="shared" si="75"/>
        <v>10</v>
      </c>
      <c r="AE114" s="746">
        <f t="shared" si="54"/>
        <v>1</v>
      </c>
      <c r="AF114" s="746">
        <f t="shared" si="55"/>
        <v>1.2000000000000002</v>
      </c>
      <c r="AG114" s="746">
        <f t="shared" si="56"/>
        <v>2.8000000000000003</v>
      </c>
      <c r="AH114" s="746">
        <f t="shared" si="57"/>
        <v>12</v>
      </c>
      <c r="AI114" s="746">
        <f t="shared" si="58"/>
        <v>17</v>
      </c>
      <c r="AJ114" s="746">
        <f t="shared" si="59"/>
        <v>1</v>
      </c>
      <c r="AK114" s="746">
        <f t="shared" si="60"/>
        <v>0</v>
      </c>
      <c r="AL114" s="746">
        <f t="shared" si="61"/>
        <v>0</v>
      </c>
      <c r="AM114" s="746">
        <f t="shared" si="62"/>
        <v>0</v>
      </c>
      <c r="AN114" s="746">
        <f t="shared" si="63"/>
        <v>1</v>
      </c>
      <c r="AO114" s="746">
        <f t="shared" si="64"/>
        <v>0</v>
      </c>
      <c r="AP114" s="746">
        <f t="shared" si="65"/>
        <v>0</v>
      </c>
      <c r="AQ114" s="746">
        <f t="shared" si="66"/>
        <v>0</v>
      </c>
      <c r="AR114" s="746">
        <f t="shared" si="67"/>
        <v>1</v>
      </c>
    </row>
    <row r="115" spans="1:44">
      <c r="A115" s="746" t="s">
        <v>847</v>
      </c>
      <c r="B115" s="746">
        <v>590</v>
      </c>
      <c r="C115" s="747">
        <v>49.166666666666664</v>
      </c>
      <c r="D115" s="746">
        <f t="shared" si="70"/>
        <v>50</v>
      </c>
      <c r="E115" s="757">
        <f t="shared" si="71"/>
        <v>3.19701271132254E-4</v>
      </c>
      <c r="F115" s="746">
        <v>26</v>
      </c>
      <c r="G115" s="746">
        <f t="shared" si="72"/>
        <v>2</v>
      </c>
      <c r="H115" s="746">
        <v>15</v>
      </c>
      <c r="I115" s="747">
        <f t="shared" si="43"/>
        <v>43.333333333333336</v>
      </c>
      <c r="J115" s="746">
        <f t="shared" si="73"/>
        <v>30</v>
      </c>
      <c r="K115" s="746">
        <v>600</v>
      </c>
      <c r="L115" s="746">
        <f t="shared" si="74"/>
        <v>1</v>
      </c>
      <c r="M115" s="746">
        <v>660.4</v>
      </c>
      <c r="N115" s="746">
        <v>609.6</v>
      </c>
      <c r="O115" s="746">
        <v>406.4</v>
      </c>
      <c r="P115" s="746">
        <v>1200</v>
      </c>
      <c r="Q115" s="746">
        <v>1080</v>
      </c>
      <c r="R115" s="746">
        <v>1200</v>
      </c>
      <c r="S115" s="746">
        <f t="shared" si="44"/>
        <v>3</v>
      </c>
      <c r="T115" s="746">
        <f t="shared" si="45"/>
        <v>1</v>
      </c>
      <c r="U115" s="746">
        <f t="shared" si="46"/>
        <v>1</v>
      </c>
      <c r="V115" s="746">
        <f t="shared" si="47"/>
        <v>3</v>
      </c>
      <c r="W115" s="746">
        <f t="shared" si="48"/>
        <v>3</v>
      </c>
      <c r="X115" s="758">
        <f t="shared" si="49"/>
        <v>130</v>
      </c>
      <c r="Y115" s="747">
        <f t="shared" si="50"/>
        <v>3.9370078740157481</v>
      </c>
      <c r="Z115" s="746">
        <f t="shared" si="51"/>
        <v>1</v>
      </c>
      <c r="AA115" s="746">
        <f t="shared" si="52"/>
        <v>163608446.97600001</v>
      </c>
      <c r="AB115" s="746">
        <f t="shared" si="53"/>
        <v>5.7777777777777777</v>
      </c>
      <c r="AC115" s="759" t="s">
        <v>594</v>
      </c>
      <c r="AD115" s="746">
        <f t="shared" si="75"/>
        <v>5</v>
      </c>
      <c r="AE115" s="746">
        <f t="shared" si="54"/>
        <v>0.5</v>
      </c>
      <c r="AF115" s="746">
        <f t="shared" si="55"/>
        <v>0.60000000000000009</v>
      </c>
      <c r="AG115" s="746">
        <f t="shared" si="56"/>
        <v>1.4000000000000001</v>
      </c>
      <c r="AH115" s="746">
        <f t="shared" si="57"/>
        <v>6</v>
      </c>
      <c r="AI115" s="746">
        <f t="shared" si="58"/>
        <v>8.5</v>
      </c>
      <c r="AJ115" s="746">
        <f t="shared" si="59"/>
        <v>1</v>
      </c>
      <c r="AK115" s="746">
        <f t="shared" si="60"/>
        <v>0</v>
      </c>
      <c r="AL115" s="746">
        <f t="shared" si="61"/>
        <v>0</v>
      </c>
      <c r="AM115" s="746">
        <f t="shared" si="62"/>
        <v>0</v>
      </c>
      <c r="AN115" s="746">
        <f t="shared" si="63"/>
        <v>0</v>
      </c>
      <c r="AO115" s="746">
        <f t="shared" si="64"/>
        <v>0</v>
      </c>
      <c r="AP115" s="746">
        <f t="shared" si="65"/>
        <v>0</v>
      </c>
      <c r="AQ115" s="746">
        <f t="shared" si="66"/>
        <v>0</v>
      </c>
      <c r="AR115" s="746">
        <f t="shared" si="67"/>
        <v>0</v>
      </c>
    </row>
    <row r="116" spans="1:44">
      <c r="A116" s="763" t="s">
        <v>848</v>
      </c>
      <c r="B116" s="746">
        <v>527</v>
      </c>
      <c r="C116" s="747">
        <v>43.916666666666664</v>
      </c>
      <c r="D116" s="746">
        <f t="shared" si="70"/>
        <v>44</v>
      </c>
      <c r="E116" s="757">
        <f t="shared" si="71"/>
        <v>2.8133711859638352E-4</v>
      </c>
      <c r="F116" s="746">
        <v>26</v>
      </c>
      <c r="G116" s="746">
        <f t="shared" si="72"/>
        <v>2</v>
      </c>
      <c r="H116" s="746">
        <v>15</v>
      </c>
      <c r="I116" s="747">
        <f t="shared" si="43"/>
        <v>17.013888888888893</v>
      </c>
      <c r="J116" s="746">
        <f t="shared" si="73"/>
        <v>30</v>
      </c>
      <c r="K116" s="746">
        <v>600</v>
      </c>
      <c r="L116" s="746">
        <f t="shared" si="74"/>
        <v>1</v>
      </c>
      <c r="M116" s="746">
        <v>1422.4</v>
      </c>
      <c r="N116" s="746">
        <v>254</v>
      </c>
      <c r="O116" s="746">
        <v>177.8</v>
      </c>
      <c r="P116" s="746">
        <v>1500</v>
      </c>
      <c r="Q116" s="746">
        <v>1080</v>
      </c>
      <c r="R116" s="746">
        <v>1200</v>
      </c>
      <c r="S116" s="746">
        <f t="shared" si="44"/>
        <v>7</v>
      </c>
      <c r="T116" s="746">
        <f t="shared" si="45"/>
        <v>1</v>
      </c>
      <c r="U116" s="746">
        <f t="shared" si="46"/>
        <v>4</v>
      </c>
      <c r="V116" s="746">
        <f t="shared" si="47"/>
        <v>7</v>
      </c>
      <c r="W116" s="746">
        <f t="shared" si="48"/>
        <v>28</v>
      </c>
      <c r="X116" s="758">
        <f t="shared" si="49"/>
        <v>476.38888888888903</v>
      </c>
      <c r="Y116" s="747">
        <f t="shared" si="50"/>
        <v>3.9370078740157481</v>
      </c>
      <c r="Z116" s="746">
        <f t="shared" si="51"/>
        <v>1</v>
      </c>
      <c r="AA116" s="746">
        <f t="shared" si="52"/>
        <v>64237290.88000001</v>
      </c>
      <c r="AB116" s="746">
        <f t="shared" si="53"/>
        <v>2.268518518518519</v>
      </c>
      <c r="AC116" s="759" t="s">
        <v>595</v>
      </c>
      <c r="AD116" s="746">
        <f t="shared" si="68"/>
        <v>10</v>
      </c>
      <c r="AE116" s="746">
        <f t="shared" si="54"/>
        <v>0.5</v>
      </c>
      <c r="AF116" s="746">
        <f t="shared" si="55"/>
        <v>0.60000000000000009</v>
      </c>
      <c r="AG116" s="746">
        <f t="shared" si="56"/>
        <v>1.4000000000000001</v>
      </c>
      <c r="AH116" s="746">
        <f t="shared" si="57"/>
        <v>6</v>
      </c>
      <c r="AI116" s="746">
        <f t="shared" si="58"/>
        <v>8.5</v>
      </c>
      <c r="AJ116" s="746">
        <f t="shared" si="59"/>
        <v>1</v>
      </c>
      <c r="AK116" s="746">
        <f t="shared" si="60"/>
        <v>0</v>
      </c>
      <c r="AL116" s="746">
        <f t="shared" si="61"/>
        <v>0</v>
      </c>
      <c r="AM116" s="746">
        <f t="shared" si="62"/>
        <v>0</v>
      </c>
      <c r="AN116" s="746">
        <f t="shared" si="63"/>
        <v>0</v>
      </c>
      <c r="AO116" s="746">
        <f t="shared" si="64"/>
        <v>0</v>
      </c>
      <c r="AP116" s="746">
        <f t="shared" si="65"/>
        <v>0</v>
      </c>
      <c r="AQ116" s="746">
        <f t="shared" si="66"/>
        <v>0</v>
      </c>
      <c r="AR116" s="746">
        <f t="shared" si="67"/>
        <v>0</v>
      </c>
    </row>
    <row r="117" spans="1:44">
      <c r="A117" s="763" t="s">
        <v>849</v>
      </c>
      <c r="B117" s="746">
        <v>520</v>
      </c>
      <c r="C117" s="747">
        <v>43.333333333333329</v>
      </c>
      <c r="D117" s="746">
        <f t="shared" si="70"/>
        <v>44</v>
      </c>
      <c r="E117" s="757">
        <f t="shared" si="71"/>
        <v>2.8133711859638352E-4</v>
      </c>
      <c r="F117" s="746">
        <v>26</v>
      </c>
      <c r="G117" s="746">
        <f t="shared" si="72"/>
        <v>2</v>
      </c>
      <c r="H117" s="746">
        <v>15</v>
      </c>
      <c r="I117" s="747">
        <f t="shared" si="43"/>
        <v>114.90474369837629</v>
      </c>
      <c r="J117" s="746">
        <f t="shared" si="73"/>
        <v>30</v>
      </c>
      <c r="K117" s="746">
        <v>600</v>
      </c>
      <c r="L117" s="746">
        <f t="shared" si="74"/>
        <v>1</v>
      </c>
      <c r="M117" s="746">
        <v>1525</v>
      </c>
      <c r="N117" s="746">
        <v>560</v>
      </c>
      <c r="O117" s="746">
        <v>508</v>
      </c>
      <c r="P117" s="746">
        <v>1500</v>
      </c>
      <c r="Q117" s="746">
        <v>1080</v>
      </c>
      <c r="R117" s="746">
        <v>1200</v>
      </c>
      <c r="S117" s="746">
        <f t="shared" si="44"/>
        <v>2</v>
      </c>
      <c r="T117" s="746">
        <f>ROUNDUP(P117/M117,0)</f>
        <v>1</v>
      </c>
      <c r="U117" s="746">
        <f t="shared" si="46"/>
        <v>1</v>
      </c>
      <c r="V117" s="746">
        <f t="shared" si="47"/>
        <v>2</v>
      </c>
      <c r="W117" s="746">
        <f t="shared" si="48"/>
        <v>2</v>
      </c>
      <c r="X117" s="758">
        <f t="shared" si="49"/>
        <v>229.80948739675259</v>
      </c>
      <c r="Y117" s="747">
        <f t="shared" si="50"/>
        <v>3.9370078740157481</v>
      </c>
      <c r="Z117" s="746">
        <f t="shared" si="51"/>
        <v>2</v>
      </c>
      <c r="AA117" s="746">
        <f t="shared" si="52"/>
        <v>433832000</v>
      </c>
      <c r="AB117" s="746">
        <f t="shared" si="53"/>
        <v>15.32063249311684</v>
      </c>
      <c r="AC117" s="759" t="s">
        <v>595</v>
      </c>
      <c r="AD117" s="746">
        <f t="shared" si="68"/>
        <v>20</v>
      </c>
      <c r="AE117" s="746">
        <f t="shared" si="54"/>
        <v>1</v>
      </c>
      <c r="AF117" s="746">
        <f t="shared" si="55"/>
        <v>1.2000000000000002</v>
      </c>
      <c r="AG117" s="746">
        <f t="shared" si="56"/>
        <v>2.8000000000000003</v>
      </c>
      <c r="AH117" s="746">
        <f t="shared" si="57"/>
        <v>12</v>
      </c>
      <c r="AI117" s="746">
        <f t="shared" si="58"/>
        <v>17</v>
      </c>
      <c r="AJ117" s="746">
        <f t="shared" si="59"/>
        <v>1</v>
      </c>
      <c r="AK117" s="746">
        <f t="shared" si="60"/>
        <v>0</v>
      </c>
      <c r="AL117" s="746">
        <f t="shared" si="61"/>
        <v>0</v>
      </c>
      <c r="AM117" s="746">
        <f t="shared" si="62"/>
        <v>0</v>
      </c>
      <c r="AN117" s="746">
        <f t="shared" si="63"/>
        <v>1</v>
      </c>
      <c r="AO117" s="746">
        <f t="shared" si="64"/>
        <v>0</v>
      </c>
      <c r="AP117" s="746">
        <f t="shared" si="65"/>
        <v>0</v>
      </c>
      <c r="AQ117" s="746">
        <f t="shared" si="66"/>
        <v>0</v>
      </c>
      <c r="AR117" s="746">
        <f t="shared" si="67"/>
        <v>1</v>
      </c>
    </row>
    <row r="118" spans="1:44">
      <c r="A118" s="746" t="s">
        <v>850</v>
      </c>
      <c r="B118" s="746">
        <v>454</v>
      </c>
      <c r="C118" s="747">
        <v>37.833333333333336</v>
      </c>
      <c r="D118" s="746">
        <f t="shared" si="70"/>
        <v>38</v>
      </c>
      <c r="E118" s="757">
        <f t="shared" si="71"/>
        <v>2.4297296606051304E-4</v>
      </c>
      <c r="F118" s="746">
        <v>26</v>
      </c>
      <c r="G118" s="746">
        <f t="shared" si="72"/>
        <v>2</v>
      </c>
      <c r="H118" s="746">
        <v>15</v>
      </c>
      <c r="I118" s="747">
        <f t="shared" si="43"/>
        <v>77.074260119648855</v>
      </c>
      <c r="J118" s="746">
        <f t="shared" si="73"/>
        <v>30</v>
      </c>
      <c r="K118" s="746">
        <v>600</v>
      </c>
      <c r="L118" s="746">
        <f t="shared" si="74"/>
        <v>1</v>
      </c>
      <c r="M118" s="746">
        <v>970</v>
      </c>
      <c r="N118" s="746">
        <v>1000</v>
      </c>
      <c r="O118" s="746">
        <v>300</v>
      </c>
      <c r="P118" s="746">
        <v>1200</v>
      </c>
      <c r="Q118" s="746">
        <v>1080</v>
      </c>
      <c r="R118" s="746">
        <v>1200</v>
      </c>
      <c r="S118" s="746">
        <f t="shared" si="44"/>
        <v>4</v>
      </c>
      <c r="T118" s="746">
        <f t="shared" si="45"/>
        <v>1</v>
      </c>
      <c r="U118" s="746">
        <f t="shared" si="46"/>
        <v>1</v>
      </c>
      <c r="V118" s="746">
        <f t="shared" si="47"/>
        <v>4</v>
      </c>
      <c r="W118" s="746">
        <f t="shared" si="48"/>
        <v>4</v>
      </c>
      <c r="X118" s="758">
        <f t="shared" si="49"/>
        <v>308.29704047859542</v>
      </c>
      <c r="Y118" s="747">
        <f t="shared" si="50"/>
        <v>3.9370078740157481</v>
      </c>
      <c r="Z118" s="746">
        <f t="shared" si="51"/>
        <v>1</v>
      </c>
      <c r="AA118" s="746">
        <f t="shared" si="52"/>
        <v>291000000</v>
      </c>
      <c r="AB118" s="746">
        <f t="shared" si="53"/>
        <v>10.276568015953181</v>
      </c>
      <c r="AC118" s="759" t="s">
        <v>594</v>
      </c>
      <c r="AD118" s="746">
        <f t="shared" ref="AD118:AD122" si="76">Z118*5</f>
        <v>5</v>
      </c>
      <c r="AE118" s="746">
        <f t="shared" si="54"/>
        <v>0.5</v>
      </c>
      <c r="AF118" s="746">
        <f t="shared" si="55"/>
        <v>0.60000000000000009</v>
      </c>
      <c r="AG118" s="746">
        <f t="shared" si="56"/>
        <v>1.4000000000000001</v>
      </c>
      <c r="AH118" s="746">
        <f t="shared" si="57"/>
        <v>6</v>
      </c>
      <c r="AI118" s="746">
        <f t="shared" si="58"/>
        <v>8.5</v>
      </c>
      <c r="AJ118" s="746">
        <f t="shared" si="59"/>
        <v>1</v>
      </c>
      <c r="AK118" s="746">
        <f t="shared" si="60"/>
        <v>0</v>
      </c>
      <c r="AL118" s="746">
        <f t="shared" si="61"/>
        <v>0</v>
      </c>
      <c r="AM118" s="746">
        <f t="shared" si="62"/>
        <v>0</v>
      </c>
      <c r="AN118" s="746">
        <f t="shared" si="63"/>
        <v>0</v>
      </c>
      <c r="AO118" s="746">
        <f t="shared" si="64"/>
        <v>0</v>
      </c>
      <c r="AP118" s="746">
        <f t="shared" si="65"/>
        <v>0</v>
      </c>
      <c r="AQ118" s="746">
        <f t="shared" si="66"/>
        <v>0</v>
      </c>
      <c r="AR118" s="746">
        <f t="shared" si="67"/>
        <v>0</v>
      </c>
    </row>
    <row r="119" spans="1:44">
      <c r="A119" s="746" t="s">
        <v>851</v>
      </c>
      <c r="B119" s="746">
        <v>428</v>
      </c>
      <c r="C119" s="747">
        <v>35.666666666666664</v>
      </c>
      <c r="D119" s="746">
        <f t="shared" si="70"/>
        <v>36</v>
      </c>
      <c r="E119" s="757">
        <f t="shared" si="71"/>
        <v>2.3018491521522289E-4</v>
      </c>
      <c r="F119" s="746">
        <v>26</v>
      </c>
      <c r="G119" s="746">
        <f t="shared" si="72"/>
        <v>2</v>
      </c>
      <c r="H119" s="746">
        <v>15</v>
      </c>
      <c r="I119" s="747">
        <f t="shared" si="43"/>
        <v>9.140625</v>
      </c>
      <c r="J119" s="746">
        <f t="shared" si="73"/>
        <v>30</v>
      </c>
      <c r="K119" s="746">
        <v>600</v>
      </c>
      <c r="L119" s="746">
        <f t="shared" si="74"/>
        <v>1</v>
      </c>
      <c r="M119" s="746">
        <v>660.4</v>
      </c>
      <c r="N119" s="746">
        <v>228.6</v>
      </c>
      <c r="O119" s="746">
        <v>228.6</v>
      </c>
      <c r="P119" s="746">
        <v>1200</v>
      </c>
      <c r="Q119" s="746">
        <v>1080</v>
      </c>
      <c r="R119" s="746">
        <v>1200</v>
      </c>
      <c r="S119" s="746">
        <f t="shared" si="44"/>
        <v>5</v>
      </c>
      <c r="T119" s="746">
        <f t="shared" si="45"/>
        <v>1</v>
      </c>
      <c r="U119" s="746">
        <f t="shared" si="46"/>
        <v>4</v>
      </c>
      <c r="V119" s="746">
        <f t="shared" si="47"/>
        <v>5</v>
      </c>
      <c r="W119" s="746">
        <f t="shared" si="48"/>
        <v>20</v>
      </c>
      <c r="X119" s="758">
        <f t="shared" si="49"/>
        <v>182.8125</v>
      </c>
      <c r="Y119" s="747">
        <f t="shared" si="50"/>
        <v>3.9370078740157481</v>
      </c>
      <c r="Z119" s="746">
        <f t="shared" si="51"/>
        <v>1</v>
      </c>
      <c r="AA119" s="746">
        <f t="shared" si="52"/>
        <v>34511156.784000002</v>
      </c>
      <c r="AB119" s="746">
        <f t="shared" si="53"/>
        <v>1.21875</v>
      </c>
      <c r="AC119" s="759" t="s">
        <v>594</v>
      </c>
      <c r="AD119" s="746">
        <f t="shared" si="76"/>
        <v>5</v>
      </c>
      <c r="AE119" s="746">
        <f t="shared" si="54"/>
        <v>0.5</v>
      </c>
      <c r="AF119" s="746">
        <f t="shared" si="55"/>
        <v>0.60000000000000009</v>
      </c>
      <c r="AG119" s="746">
        <f t="shared" si="56"/>
        <v>1.4000000000000001</v>
      </c>
      <c r="AH119" s="746">
        <f t="shared" si="57"/>
        <v>6</v>
      </c>
      <c r="AI119" s="746">
        <f t="shared" si="58"/>
        <v>8.5</v>
      </c>
      <c r="AJ119" s="746">
        <f t="shared" si="59"/>
        <v>1</v>
      </c>
      <c r="AK119" s="746">
        <f t="shared" si="60"/>
        <v>0</v>
      </c>
      <c r="AL119" s="746">
        <f t="shared" si="61"/>
        <v>0</v>
      </c>
      <c r="AM119" s="746">
        <f t="shared" si="62"/>
        <v>0</v>
      </c>
      <c r="AN119" s="746">
        <f t="shared" si="63"/>
        <v>0</v>
      </c>
      <c r="AO119" s="746">
        <f t="shared" si="64"/>
        <v>0</v>
      </c>
      <c r="AP119" s="746">
        <f t="shared" si="65"/>
        <v>0</v>
      </c>
      <c r="AQ119" s="746">
        <f t="shared" si="66"/>
        <v>0</v>
      </c>
      <c r="AR119" s="746">
        <f t="shared" si="67"/>
        <v>0</v>
      </c>
    </row>
    <row r="120" spans="1:44">
      <c r="A120" s="746" t="s">
        <v>852</v>
      </c>
      <c r="B120" s="746">
        <v>412</v>
      </c>
      <c r="C120" s="747">
        <v>34.333333333333336</v>
      </c>
      <c r="D120" s="746">
        <f t="shared" si="70"/>
        <v>35</v>
      </c>
      <c r="E120" s="757">
        <f t="shared" si="71"/>
        <v>2.237908897925778E-4</v>
      </c>
      <c r="F120" s="746">
        <v>26</v>
      </c>
      <c r="G120" s="746">
        <f t="shared" si="72"/>
        <v>2</v>
      </c>
      <c r="H120" s="746">
        <v>15</v>
      </c>
      <c r="I120" s="747">
        <f t="shared" si="43"/>
        <v>3.9474734461279946</v>
      </c>
      <c r="J120" s="746">
        <f t="shared" si="73"/>
        <v>30</v>
      </c>
      <c r="K120" s="746">
        <v>600</v>
      </c>
      <c r="L120" s="746">
        <f t="shared" si="74"/>
        <v>1</v>
      </c>
      <c r="M120" s="746">
        <v>460</v>
      </c>
      <c r="N120" s="746">
        <v>270</v>
      </c>
      <c r="O120" s="746">
        <v>120</v>
      </c>
      <c r="P120" s="746">
        <v>1200</v>
      </c>
      <c r="Q120" s="746">
        <v>1080</v>
      </c>
      <c r="R120" s="746">
        <v>1200</v>
      </c>
      <c r="S120" s="746">
        <f t="shared" si="44"/>
        <v>10</v>
      </c>
      <c r="T120" s="746">
        <f t="shared" si="45"/>
        <v>2</v>
      </c>
      <c r="U120" s="746">
        <f t="shared" si="46"/>
        <v>4</v>
      </c>
      <c r="V120" s="746">
        <f t="shared" si="47"/>
        <v>10</v>
      </c>
      <c r="W120" s="746">
        <f t="shared" si="48"/>
        <v>80</v>
      </c>
      <c r="X120" s="758">
        <f t="shared" si="49"/>
        <v>315.79787569023955</v>
      </c>
      <c r="Y120" s="747">
        <f t="shared" si="50"/>
        <v>3.9370078740157481</v>
      </c>
      <c r="Z120" s="746">
        <f t="shared" si="51"/>
        <v>1</v>
      </c>
      <c r="AA120" s="746">
        <f t="shared" si="52"/>
        <v>14904000</v>
      </c>
      <c r="AB120" s="746">
        <f t="shared" si="53"/>
        <v>0.52632979281706593</v>
      </c>
      <c r="AC120" s="759" t="s">
        <v>594</v>
      </c>
      <c r="AD120" s="746">
        <f t="shared" si="76"/>
        <v>5</v>
      </c>
      <c r="AE120" s="746">
        <f t="shared" si="54"/>
        <v>0.5</v>
      </c>
      <c r="AF120" s="746">
        <f t="shared" si="55"/>
        <v>0.60000000000000009</v>
      </c>
      <c r="AG120" s="746">
        <f t="shared" si="56"/>
        <v>1.4000000000000001</v>
      </c>
      <c r="AH120" s="746">
        <f t="shared" si="57"/>
        <v>6</v>
      </c>
      <c r="AI120" s="746">
        <f t="shared" si="58"/>
        <v>8.5</v>
      </c>
      <c r="AJ120" s="746">
        <f t="shared" si="59"/>
        <v>1</v>
      </c>
      <c r="AK120" s="746">
        <f t="shared" si="60"/>
        <v>0</v>
      </c>
      <c r="AL120" s="746">
        <f t="shared" si="61"/>
        <v>0</v>
      </c>
      <c r="AM120" s="746">
        <f t="shared" si="62"/>
        <v>0</v>
      </c>
      <c r="AN120" s="746">
        <f t="shared" si="63"/>
        <v>0</v>
      </c>
      <c r="AO120" s="746">
        <f t="shared" si="64"/>
        <v>0</v>
      </c>
      <c r="AP120" s="746">
        <f t="shared" si="65"/>
        <v>0</v>
      </c>
      <c r="AQ120" s="746">
        <f t="shared" si="66"/>
        <v>0</v>
      </c>
      <c r="AR120" s="746">
        <f t="shared" si="67"/>
        <v>0</v>
      </c>
    </row>
    <row r="121" spans="1:44">
      <c r="A121" s="746" t="s">
        <v>853</v>
      </c>
      <c r="B121" s="746">
        <v>411</v>
      </c>
      <c r="C121" s="747">
        <v>34.25</v>
      </c>
      <c r="D121" s="746">
        <f t="shared" si="70"/>
        <v>35</v>
      </c>
      <c r="E121" s="757">
        <f t="shared" si="71"/>
        <v>2.237908897925778E-4</v>
      </c>
      <c r="F121" s="746">
        <v>26</v>
      </c>
      <c r="G121" s="746">
        <f t="shared" si="72"/>
        <v>2</v>
      </c>
      <c r="H121" s="746">
        <v>15</v>
      </c>
      <c r="I121" s="747">
        <f t="shared" si="43"/>
        <v>31.719057578740152</v>
      </c>
      <c r="J121" s="746">
        <f t="shared" si="73"/>
        <v>30</v>
      </c>
      <c r="K121" s="746">
        <v>600</v>
      </c>
      <c r="L121" s="746">
        <f t="shared" si="74"/>
        <v>1</v>
      </c>
      <c r="M121" s="746">
        <v>279.39999999999998</v>
      </c>
      <c r="N121" s="746">
        <v>1143</v>
      </c>
      <c r="O121" s="763">
        <v>375</v>
      </c>
      <c r="P121" s="746">
        <v>1200</v>
      </c>
      <c r="Q121" s="746">
        <v>1200</v>
      </c>
      <c r="R121" s="746">
        <v>1200</v>
      </c>
      <c r="S121" s="746">
        <f t="shared" si="44"/>
        <v>3</v>
      </c>
      <c r="T121" s="746">
        <f t="shared" si="45"/>
        <v>4</v>
      </c>
      <c r="U121" s="746">
        <f t="shared" si="46"/>
        <v>1</v>
      </c>
      <c r="V121" s="746">
        <f t="shared" si="47"/>
        <v>3</v>
      </c>
      <c r="W121" s="746">
        <f t="shared" si="48"/>
        <v>12</v>
      </c>
      <c r="X121" s="758">
        <f t="shared" si="49"/>
        <v>380.62869094488184</v>
      </c>
      <c r="Y121" s="747">
        <f t="shared" si="50"/>
        <v>3.9370078740157481</v>
      </c>
      <c r="Z121" s="746">
        <f t="shared" si="51"/>
        <v>1</v>
      </c>
      <c r="AA121" s="746">
        <f t="shared" si="52"/>
        <v>119757824.99999999</v>
      </c>
      <c r="AB121" s="746">
        <f t="shared" si="53"/>
        <v>4.2292076771653537</v>
      </c>
      <c r="AC121" s="759" t="s">
        <v>594</v>
      </c>
      <c r="AD121" s="746">
        <f t="shared" si="76"/>
        <v>5</v>
      </c>
      <c r="AE121" s="746">
        <f t="shared" si="54"/>
        <v>0.5</v>
      </c>
      <c r="AF121" s="746">
        <f t="shared" si="55"/>
        <v>0.60000000000000009</v>
      </c>
      <c r="AG121" s="746">
        <f t="shared" si="56"/>
        <v>1.4000000000000001</v>
      </c>
      <c r="AH121" s="746">
        <f t="shared" si="57"/>
        <v>6</v>
      </c>
      <c r="AI121" s="746">
        <f t="shared" si="58"/>
        <v>8.5</v>
      </c>
      <c r="AJ121" s="746">
        <f t="shared" si="59"/>
        <v>1</v>
      </c>
      <c r="AK121" s="746">
        <f t="shared" si="60"/>
        <v>0</v>
      </c>
      <c r="AL121" s="746">
        <f t="shared" si="61"/>
        <v>0</v>
      </c>
      <c r="AM121" s="746">
        <f t="shared" si="62"/>
        <v>0</v>
      </c>
      <c r="AN121" s="746">
        <f t="shared" si="63"/>
        <v>0</v>
      </c>
      <c r="AO121" s="746">
        <f t="shared" si="64"/>
        <v>0</v>
      </c>
      <c r="AP121" s="746">
        <f t="shared" si="65"/>
        <v>0</v>
      </c>
      <c r="AQ121" s="746">
        <f t="shared" si="66"/>
        <v>0</v>
      </c>
      <c r="AR121" s="746">
        <f t="shared" si="67"/>
        <v>0</v>
      </c>
    </row>
    <row r="122" spans="1:44">
      <c r="A122" s="746" t="s">
        <v>854</v>
      </c>
      <c r="B122" s="746">
        <v>395</v>
      </c>
      <c r="C122" s="747">
        <v>32.916666666666664</v>
      </c>
      <c r="D122" s="746">
        <f t="shared" si="70"/>
        <v>33</v>
      </c>
      <c r="E122" s="757">
        <f t="shared" si="71"/>
        <v>2.1100283894728765E-4</v>
      </c>
      <c r="F122" s="746">
        <v>26</v>
      </c>
      <c r="G122" s="746">
        <f t="shared" si="72"/>
        <v>2</v>
      </c>
      <c r="H122" s="746">
        <v>15</v>
      </c>
      <c r="I122" s="747">
        <f t="shared" si="43"/>
        <v>19.184027777777779</v>
      </c>
      <c r="J122" s="746">
        <f t="shared" si="73"/>
        <v>30</v>
      </c>
      <c r="K122" s="746">
        <v>600</v>
      </c>
      <c r="L122" s="746">
        <f t="shared" si="74"/>
        <v>1</v>
      </c>
      <c r="M122" s="746">
        <v>660.4</v>
      </c>
      <c r="N122" s="746">
        <v>431.8</v>
      </c>
      <c r="O122" s="746">
        <v>254</v>
      </c>
      <c r="P122" s="746">
        <v>1200</v>
      </c>
      <c r="Q122" s="746">
        <v>1080</v>
      </c>
      <c r="R122" s="746">
        <v>1200</v>
      </c>
      <c r="S122" s="746">
        <f t="shared" si="44"/>
        <v>5</v>
      </c>
      <c r="T122" s="746">
        <f t="shared" si="45"/>
        <v>1</v>
      </c>
      <c r="U122" s="746">
        <f t="shared" si="46"/>
        <v>2</v>
      </c>
      <c r="V122" s="746">
        <f t="shared" si="47"/>
        <v>5</v>
      </c>
      <c r="W122" s="746">
        <f t="shared" si="48"/>
        <v>10</v>
      </c>
      <c r="X122" s="758">
        <f t="shared" si="49"/>
        <v>191.84027777777777</v>
      </c>
      <c r="Y122" s="747">
        <f t="shared" si="50"/>
        <v>3.9370078740157481</v>
      </c>
      <c r="Z122" s="746">
        <f t="shared" si="51"/>
        <v>1</v>
      </c>
      <c r="AA122" s="746">
        <f t="shared" si="52"/>
        <v>72430822.879999995</v>
      </c>
      <c r="AB122" s="746">
        <f t="shared" si="53"/>
        <v>2.5578703703703707</v>
      </c>
      <c r="AC122" s="759" t="s">
        <v>594</v>
      </c>
      <c r="AD122" s="746">
        <f t="shared" si="76"/>
        <v>5</v>
      </c>
      <c r="AE122" s="746">
        <f t="shared" si="54"/>
        <v>0.5</v>
      </c>
      <c r="AF122" s="746">
        <f t="shared" si="55"/>
        <v>0.60000000000000009</v>
      </c>
      <c r="AG122" s="746">
        <f t="shared" si="56"/>
        <v>1.4000000000000001</v>
      </c>
      <c r="AH122" s="746">
        <f t="shared" si="57"/>
        <v>6</v>
      </c>
      <c r="AI122" s="746">
        <f t="shared" si="58"/>
        <v>8.5</v>
      </c>
      <c r="AJ122" s="746">
        <f t="shared" si="59"/>
        <v>1</v>
      </c>
      <c r="AK122" s="746">
        <f t="shared" si="60"/>
        <v>0</v>
      </c>
      <c r="AL122" s="746">
        <f t="shared" si="61"/>
        <v>0</v>
      </c>
      <c r="AM122" s="746">
        <f t="shared" si="62"/>
        <v>0</v>
      </c>
      <c r="AN122" s="746">
        <f t="shared" si="63"/>
        <v>0</v>
      </c>
      <c r="AO122" s="746">
        <f t="shared" si="64"/>
        <v>0</v>
      </c>
      <c r="AP122" s="746">
        <f t="shared" si="65"/>
        <v>0</v>
      </c>
      <c r="AQ122" s="746">
        <f t="shared" si="66"/>
        <v>0</v>
      </c>
      <c r="AR122" s="746">
        <f t="shared" si="67"/>
        <v>0</v>
      </c>
    </row>
    <row r="123" spans="1:44">
      <c r="A123" s="763" t="s">
        <v>855</v>
      </c>
      <c r="B123" s="746">
        <v>380</v>
      </c>
      <c r="C123" s="747">
        <v>31.666666666666668</v>
      </c>
      <c r="D123" s="746">
        <f t="shared" si="70"/>
        <v>32</v>
      </c>
      <c r="E123" s="757">
        <f t="shared" si="71"/>
        <v>2.0460881352464257E-4</v>
      </c>
      <c r="F123" s="746">
        <v>26</v>
      </c>
      <c r="G123" s="746">
        <f t="shared" si="72"/>
        <v>2</v>
      </c>
      <c r="H123" s="746">
        <v>15</v>
      </c>
      <c r="I123" s="747">
        <f t="shared" si="43"/>
        <v>30.988090328105415</v>
      </c>
      <c r="J123" s="746">
        <f t="shared" si="73"/>
        <v>30</v>
      </c>
      <c r="K123" s="746">
        <v>600</v>
      </c>
      <c r="L123" s="746">
        <f t="shared" si="74"/>
        <v>1</v>
      </c>
      <c r="M123" s="746">
        <v>1370</v>
      </c>
      <c r="N123" s="746">
        <v>305</v>
      </c>
      <c r="O123" s="746">
        <v>280</v>
      </c>
      <c r="P123" s="746">
        <v>1500</v>
      </c>
      <c r="Q123" s="746">
        <v>1080</v>
      </c>
      <c r="R123" s="746">
        <v>1200</v>
      </c>
      <c r="S123" s="746">
        <f t="shared" si="44"/>
        <v>4</v>
      </c>
      <c r="T123" s="746">
        <f t="shared" si="45"/>
        <v>1</v>
      </c>
      <c r="U123" s="746">
        <f t="shared" si="46"/>
        <v>3</v>
      </c>
      <c r="V123" s="746">
        <f t="shared" si="47"/>
        <v>4</v>
      </c>
      <c r="W123" s="746">
        <f t="shared" si="48"/>
        <v>12</v>
      </c>
      <c r="X123" s="758">
        <f t="shared" si="49"/>
        <v>371.85708393726497</v>
      </c>
      <c r="Y123" s="747">
        <f t="shared" si="50"/>
        <v>3.9370078740157481</v>
      </c>
      <c r="Z123" s="746">
        <f t="shared" si="51"/>
        <v>1</v>
      </c>
      <c r="AA123" s="746">
        <f t="shared" si="52"/>
        <v>116998000</v>
      </c>
      <c r="AB123" s="746">
        <f t="shared" si="53"/>
        <v>4.1317453770807218</v>
      </c>
      <c r="AC123" s="759" t="s">
        <v>595</v>
      </c>
      <c r="AD123" s="746">
        <f t="shared" si="68"/>
        <v>10</v>
      </c>
      <c r="AE123" s="746">
        <f t="shared" si="54"/>
        <v>0.5</v>
      </c>
      <c r="AF123" s="746">
        <f t="shared" si="55"/>
        <v>0.60000000000000009</v>
      </c>
      <c r="AG123" s="746">
        <f t="shared" si="56"/>
        <v>1.4000000000000001</v>
      </c>
      <c r="AH123" s="746">
        <f t="shared" si="57"/>
        <v>6</v>
      </c>
      <c r="AI123" s="746">
        <f t="shared" si="58"/>
        <v>8.5</v>
      </c>
      <c r="AJ123" s="746">
        <f t="shared" si="59"/>
        <v>1</v>
      </c>
      <c r="AK123" s="746">
        <f t="shared" si="60"/>
        <v>0</v>
      </c>
      <c r="AL123" s="746">
        <f t="shared" si="61"/>
        <v>0</v>
      </c>
      <c r="AM123" s="746">
        <f t="shared" si="62"/>
        <v>0</v>
      </c>
      <c r="AN123" s="746">
        <f t="shared" si="63"/>
        <v>0</v>
      </c>
      <c r="AO123" s="746">
        <f t="shared" si="64"/>
        <v>0</v>
      </c>
      <c r="AP123" s="746">
        <f t="shared" si="65"/>
        <v>0</v>
      </c>
      <c r="AQ123" s="746">
        <f t="shared" si="66"/>
        <v>0</v>
      </c>
      <c r="AR123" s="746">
        <f t="shared" si="67"/>
        <v>0</v>
      </c>
    </row>
    <row r="124" spans="1:44">
      <c r="A124" s="746" t="s">
        <v>856</v>
      </c>
      <c r="B124" s="746">
        <v>322</v>
      </c>
      <c r="C124" s="747">
        <v>26.833333333333332</v>
      </c>
      <c r="D124" s="746">
        <f t="shared" si="70"/>
        <v>27</v>
      </c>
      <c r="E124" s="757">
        <f t="shared" si="71"/>
        <v>1.7263868641141718E-4</v>
      </c>
      <c r="F124" s="746">
        <v>26</v>
      </c>
      <c r="G124" s="746">
        <f t="shared" si="72"/>
        <v>2</v>
      </c>
      <c r="H124" s="746">
        <v>15</v>
      </c>
      <c r="I124" s="747">
        <f t="shared" si="43"/>
        <v>17.329895770902652</v>
      </c>
      <c r="J124" s="746">
        <f t="shared" si="73"/>
        <v>30</v>
      </c>
      <c r="K124" s="746">
        <v>600</v>
      </c>
      <c r="L124" s="746">
        <f t="shared" si="74"/>
        <v>1</v>
      </c>
      <c r="M124" s="746">
        <v>560</v>
      </c>
      <c r="N124" s="746">
        <v>508</v>
      </c>
      <c r="O124" s="746">
        <v>230</v>
      </c>
      <c r="P124" s="746">
        <v>1200</v>
      </c>
      <c r="Q124" s="746">
        <v>1080</v>
      </c>
      <c r="R124" s="746">
        <v>1200</v>
      </c>
      <c r="S124" s="746">
        <f t="shared" si="44"/>
        <v>5</v>
      </c>
      <c r="T124" s="746">
        <f t="shared" si="45"/>
        <v>2</v>
      </c>
      <c r="U124" s="746">
        <f t="shared" si="46"/>
        <v>2</v>
      </c>
      <c r="V124" s="746">
        <f t="shared" si="47"/>
        <v>5</v>
      </c>
      <c r="W124" s="746">
        <f t="shared" si="48"/>
        <v>20</v>
      </c>
      <c r="X124" s="758">
        <f t="shared" si="49"/>
        <v>346.59791541805305</v>
      </c>
      <c r="Y124" s="747">
        <f t="shared" si="50"/>
        <v>3.9370078740157481</v>
      </c>
      <c r="Z124" s="746">
        <f t="shared" si="51"/>
        <v>1</v>
      </c>
      <c r="AA124" s="746">
        <f t="shared" si="52"/>
        <v>65430400</v>
      </c>
      <c r="AB124" s="746">
        <f t="shared" si="53"/>
        <v>2.3106527694536871</v>
      </c>
      <c r="AC124" s="759" t="s">
        <v>594</v>
      </c>
      <c r="AD124" s="746">
        <f t="shared" ref="AD124:AD132" si="77">Z124*5</f>
        <v>5</v>
      </c>
      <c r="AE124" s="746">
        <f t="shared" si="54"/>
        <v>0.5</v>
      </c>
      <c r="AF124" s="746">
        <f t="shared" si="55"/>
        <v>0.60000000000000009</v>
      </c>
      <c r="AG124" s="746">
        <f t="shared" si="56"/>
        <v>1.4000000000000001</v>
      </c>
      <c r="AH124" s="746">
        <f t="shared" si="57"/>
        <v>6</v>
      </c>
      <c r="AI124" s="746">
        <f t="shared" si="58"/>
        <v>8.5</v>
      </c>
      <c r="AJ124" s="746">
        <f t="shared" si="59"/>
        <v>1</v>
      </c>
      <c r="AK124" s="746">
        <f t="shared" si="60"/>
        <v>0</v>
      </c>
      <c r="AL124" s="746">
        <f t="shared" si="61"/>
        <v>0</v>
      </c>
      <c r="AM124" s="746">
        <f t="shared" si="62"/>
        <v>0</v>
      </c>
      <c r="AN124" s="746">
        <f t="shared" si="63"/>
        <v>0</v>
      </c>
      <c r="AO124" s="746">
        <f t="shared" si="64"/>
        <v>0</v>
      </c>
      <c r="AP124" s="746">
        <f t="shared" si="65"/>
        <v>0</v>
      </c>
      <c r="AQ124" s="746">
        <f t="shared" si="66"/>
        <v>0</v>
      </c>
      <c r="AR124" s="746">
        <f t="shared" si="67"/>
        <v>0</v>
      </c>
    </row>
    <row r="125" spans="1:44">
      <c r="A125" s="746" t="s">
        <v>857</v>
      </c>
      <c r="B125" s="746">
        <v>300</v>
      </c>
      <c r="C125" s="747">
        <v>25</v>
      </c>
      <c r="D125" s="746">
        <f t="shared" si="70"/>
        <v>25</v>
      </c>
      <c r="E125" s="757">
        <f t="shared" si="71"/>
        <v>1.59850635566127E-4</v>
      </c>
      <c r="F125" s="746">
        <v>26</v>
      </c>
      <c r="G125" s="746">
        <f t="shared" si="72"/>
        <v>1</v>
      </c>
      <c r="H125" s="746">
        <v>15</v>
      </c>
      <c r="I125" s="747">
        <f t="shared" si="43"/>
        <v>12.3046875</v>
      </c>
      <c r="J125" s="746">
        <f t="shared" si="73"/>
        <v>15</v>
      </c>
      <c r="K125" s="746">
        <v>600</v>
      </c>
      <c r="L125" s="746">
        <f t="shared" si="74"/>
        <v>1</v>
      </c>
      <c r="M125" s="746">
        <v>889</v>
      </c>
      <c r="N125" s="746">
        <v>228.6</v>
      </c>
      <c r="O125" s="746">
        <v>228.6</v>
      </c>
      <c r="P125" s="746">
        <v>1200</v>
      </c>
      <c r="Q125" s="746">
        <v>1080</v>
      </c>
      <c r="R125" s="746">
        <v>1200</v>
      </c>
      <c r="S125" s="746">
        <f t="shared" si="44"/>
        <v>5</v>
      </c>
      <c r="T125" s="746">
        <f t="shared" si="45"/>
        <v>1</v>
      </c>
      <c r="U125" s="746">
        <f t="shared" si="46"/>
        <v>4</v>
      </c>
      <c r="V125" s="746">
        <f t="shared" si="47"/>
        <v>5</v>
      </c>
      <c r="W125" s="746">
        <f t="shared" si="48"/>
        <v>20</v>
      </c>
      <c r="X125" s="758">
        <f t="shared" si="49"/>
        <v>246.09375</v>
      </c>
      <c r="Y125" s="747">
        <f t="shared" si="50"/>
        <v>3.9370078740157481</v>
      </c>
      <c r="Z125" s="746">
        <f t="shared" si="51"/>
        <v>1</v>
      </c>
      <c r="AA125" s="746">
        <f t="shared" si="52"/>
        <v>46457326.439999998</v>
      </c>
      <c r="AB125" s="746">
        <f t="shared" si="53"/>
        <v>1.640625</v>
      </c>
      <c r="AC125" s="759" t="s">
        <v>594</v>
      </c>
      <c r="AD125" s="746">
        <f t="shared" si="77"/>
        <v>5</v>
      </c>
      <c r="AE125" s="746">
        <f t="shared" si="54"/>
        <v>0.5</v>
      </c>
      <c r="AF125" s="746">
        <f t="shared" si="55"/>
        <v>0.60000000000000009</v>
      </c>
      <c r="AG125" s="746">
        <f t="shared" si="56"/>
        <v>1.4000000000000001</v>
      </c>
      <c r="AH125" s="746">
        <f t="shared" si="57"/>
        <v>6</v>
      </c>
      <c r="AI125" s="746">
        <f t="shared" si="58"/>
        <v>8.5</v>
      </c>
      <c r="AJ125" s="746">
        <f t="shared" si="59"/>
        <v>1</v>
      </c>
      <c r="AK125" s="746">
        <f t="shared" si="60"/>
        <v>0</v>
      </c>
      <c r="AL125" s="746">
        <f t="shared" si="61"/>
        <v>0</v>
      </c>
      <c r="AM125" s="746">
        <f t="shared" si="62"/>
        <v>0</v>
      </c>
      <c r="AN125" s="746">
        <f t="shared" si="63"/>
        <v>0</v>
      </c>
      <c r="AO125" s="746">
        <f t="shared" si="64"/>
        <v>0</v>
      </c>
      <c r="AP125" s="746">
        <f t="shared" si="65"/>
        <v>0</v>
      </c>
      <c r="AQ125" s="746">
        <f t="shared" si="66"/>
        <v>0</v>
      </c>
      <c r="AR125" s="746">
        <f t="shared" si="67"/>
        <v>0</v>
      </c>
    </row>
    <row r="126" spans="1:44">
      <c r="A126" s="746" t="s">
        <v>858</v>
      </c>
      <c r="B126" s="746">
        <v>300</v>
      </c>
      <c r="C126" s="747">
        <v>25</v>
      </c>
      <c r="D126" s="746">
        <f t="shared" si="70"/>
        <v>25</v>
      </c>
      <c r="E126" s="757">
        <f t="shared" si="71"/>
        <v>1.59850635566127E-4</v>
      </c>
      <c r="F126" s="746">
        <v>26</v>
      </c>
      <c r="G126" s="746">
        <f t="shared" si="72"/>
        <v>1</v>
      </c>
      <c r="H126" s="746">
        <v>15</v>
      </c>
      <c r="I126" s="747">
        <f t="shared" si="43"/>
        <v>7.4428308715541309</v>
      </c>
      <c r="J126" s="746">
        <f t="shared" si="73"/>
        <v>15</v>
      </c>
      <c r="K126" s="746">
        <v>600</v>
      </c>
      <c r="L126" s="746">
        <f t="shared" si="74"/>
        <v>1</v>
      </c>
      <c r="M126" s="746">
        <v>510</v>
      </c>
      <c r="N126" s="746">
        <v>380</v>
      </c>
      <c r="O126" s="746">
        <v>145</v>
      </c>
      <c r="P126" s="746">
        <v>1200</v>
      </c>
      <c r="Q126" s="746">
        <v>1080</v>
      </c>
      <c r="R126" s="746">
        <v>1200</v>
      </c>
      <c r="S126" s="746">
        <f t="shared" si="44"/>
        <v>8</v>
      </c>
      <c r="T126" s="746">
        <f t="shared" si="45"/>
        <v>2</v>
      </c>
      <c r="U126" s="746">
        <f t="shared" si="46"/>
        <v>2</v>
      </c>
      <c r="V126" s="746">
        <f t="shared" si="47"/>
        <v>8</v>
      </c>
      <c r="W126" s="746">
        <f t="shared" si="48"/>
        <v>32</v>
      </c>
      <c r="X126" s="758">
        <f t="shared" si="49"/>
        <v>238.17058788973219</v>
      </c>
      <c r="Y126" s="747">
        <f t="shared" si="50"/>
        <v>3.9370078740157481</v>
      </c>
      <c r="Z126" s="746">
        <f t="shared" si="51"/>
        <v>1</v>
      </c>
      <c r="AA126" s="746">
        <f t="shared" si="52"/>
        <v>28101000</v>
      </c>
      <c r="AB126" s="746">
        <f t="shared" si="53"/>
        <v>0.99237744954055085</v>
      </c>
      <c r="AC126" s="759" t="s">
        <v>594</v>
      </c>
      <c r="AD126" s="746">
        <f t="shared" si="77"/>
        <v>5</v>
      </c>
      <c r="AE126" s="746">
        <f t="shared" si="54"/>
        <v>0.5</v>
      </c>
      <c r="AF126" s="746">
        <f t="shared" si="55"/>
        <v>0.60000000000000009</v>
      </c>
      <c r="AG126" s="746">
        <f t="shared" si="56"/>
        <v>1.4000000000000001</v>
      </c>
      <c r="AH126" s="746">
        <f t="shared" si="57"/>
        <v>6</v>
      </c>
      <c r="AI126" s="746">
        <f t="shared" si="58"/>
        <v>8.5</v>
      </c>
      <c r="AJ126" s="746">
        <f t="shared" si="59"/>
        <v>1</v>
      </c>
      <c r="AK126" s="746">
        <f t="shared" si="60"/>
        <v>0</v>
      </c>
      <c r="AL126" s="746">
        <f t="shared" si="61"/>
        <v>0</v>
      </c>
      <c r="AM126" s="746">
        <f t="shared" si="62"/>
        <v>0</v>
      </c>
      <c r="AN126" s="746">
        <f t="shared" si="63"/>
        <v>0</v>
      </c>
      <c r="AO126" s="746">
        <f t="shared" si="64"/>
        <v>0</v>
      </c>
      <c r="AP126" s="746">
        <f t="shared" si="65"/>
        <v>0</v>
      </c>
      <c r="AQ126" s="746">
        <f t="shared" si="66"/>
        <v>0</v>
      </c>
      <c r="AR126" s="746">
        <f t="shared" si="67"/>
        <v>0</v>
      </c>
    </row>
    <row r="127" spans="1:44">
      <c r="A127" s="746" t="s">
        <v>859</v>
      </c>
      <c r="B127" s="746">
        <v>296</v>
      </c>
      <c r="C127" s="747">
        <v>24.666666666666668</v>
      </c>
      <c r="D127" s="746">
        <f t="shared" si="70"/>
        <v>25</v>
      </c>
      <c r="E127" s="757">
        <f t="shared" si="71"/>
        <v>1.59850635566127E-4</v>
      </c>
      <c r="F127" s="746">
        <v>26</v>
      </c>
      <c r="G127" s="746">
        <f t="shared" si="72"/>
        <v>1</v>
      </c>
      <c r="H127" s="746">
        <v>15</v>
      </c>
      <c r="I127" s="747">
        <f t="shared" si="43"/>
        <v>11.926645818514736</v>
      </c>
      <c r="J127" s="746">
        <f t="shared" si="73"/>
        <v>15</v>
      </c>
      <c r="K127" s="746">
        <v>600</v>
      </c>
      <c r="L127" s="746">
        <f t="shared" si="74"/>
        <v>1</v>
      </c>
      <c r="M127" s="746">
        <v>790</v>
      </c>
      <c r="N127" s="746">
        <v>380</v>
      </c>
      <c r="O127" s="746">
        <v>150</v>
      </c>
      <c r="P127" s="746">
        <v>1200</v>
      </c>
      <c r="Q127" s="746">
        <v>1080</v>
      </c>
      <c r="R127" s="746">
        <v>1200</v>
      </c>
      <c r="S127" s="746">
        <f t="shared" si="44"/>
        <v>8</v>
      </c>
      <c r="T127" s="746">
        <f t="shared" si="45"/>
        <v>1</v>
      </c>
      <c r="U127" s="746">
        <f t="shared" si="46"/>
        <v>2</v>
      </c>
      <c r="V127" s="746">
        <f t="shared" si="47"/>
        <v>8</v>
      </c>
      <c r="W127" s="746">
        <f t="shared" si="48"/>
        <v>16</v>
      </c>
      <c r="X127" s="758">
        <f t="shared" si="49"/>
        <v>190.82633309623577</v>
      </c>
      <c r="Y127" s="747">
        <f t="shared" si="50"/>
        <v>3.9370078740157481</v>
      </c>
      <c r="Z127" s="746">
        <f t="shared" si="51"/>
        <v>1</v>
      </c>
      <c r="AA127" s="746">
        <f t="shared" si="52"/>
        <v>45030000</v>
      </c>
      <c r="AB127" s="746">
        <f t="shared" si="53"/>
        <v>1.5902194424686313</v>
      </c>
      <c r="AC127" s="759" t="s">
        <v>594</v>
      </c>
      <c r="AD127" s="746">
        <f t="shared" si="77"/>
        <v>5</v>
      </c>
      <c r="AE127" s="746">
        <f t="shared" si="54"/>
        <v>0.5</v>
      </c>
      <c r="AF127" s="746">
        <f t="shared" si="55"/>
        <v>0.60000000000000009</v>
      </c>
      <c r="AG127" s="746">
        <f t="shared" si="56"/>
        <v>1.4000000000000001</v>
      </c>
      <c r="AH127" s="746">
        <f t="shared" si="57"/>
        <v>6</v>
      </c>
      <c r="AI127" s="746">
        <f t="shared" si="58"/>
        <v>8.5</v>
      </c>
      <c r="AJ127" s="746">
        <f t="shared" si="59"/>
        <v>1</v>
      </c>
      <c r="AK127" s="746">
        <f t="shared" si="60"/>
        <v>0</v>
      </c>
      <c r="AL127" s="746">
        <f t="shared" si="61"/>
        <v>0</v>
      </c>
      <c r="AM127" s="746">
        <f t="shared" si="62"/>
        <v>0</v>
      </c>
      <c r="AN127" s="746">
        <f t="shared" si="63"/>
        <v>0</v>
      </c>
      <c r="AO127" s="746">
        <f t="shared" si="64"/>
        <v>0</v>
      </c>
      <c r="AP127" s="746">
        <f t="shared" si="65"/>
        <v>0</v>
      </c>
      <c r="AQ127" s="746">
        <f t="shared" si="66"/>
        <v>0</v>
      </c>
      <c r="AR127" s="746">
        <f t="shared" si="67"/>
        <v>0</v>
      </c>
    </row>
    <row r="128" spans="1:44">
      <c r="A128" s="746" t="s">
        <v>860</v>
      </c>
      <c r="B128" s="746">
        <v>295</v>
      </c>
      <c r="C128" s="747">
        <v>24.583333333333332</v>
      </c>
      <c r="D128" s="746">
        <f t="shared" si="70"/>
        <v>25</v>
      </c>
      <c r="E128" s="757">
        <f t="shared" si="71"/>
        <v>1.59850635566127E-4</v>
      </c>
      <c r="F128" s="746">
        <v>26</v>
      </c>
      <c r="G128" s="746">
        <f t="shared" si="72"/>
        <v>1</v>
      </c>
      <c r="H128" s="746">
        <v>15</v>
      </c>
      <c r="I128" s="747">
        <f t="shared" si="43"/>
        <v>23.324895936209199</v>
      </c>
      <c r="J128" s="746">
        <f t="shared" si="73"/>
        <v>15</v>
      </c>
      <c r="K128" s="746">
        <v>600</v>
      </c>
      <c r="L128" s="746">
        <f t="shared" si="74"/>
        <v>1</v>
      </c>
      <c r="M128" s="746">
        <v>900</v>
      </c>
      <c r="N128" s="746">
        <v>515</v>
      </c>
      <c r="O128" s="746">
        <v>190</v>
      </c>
      <c r="P128" s="746">
        <v>1200</v>
      </c>
      <c r="Q128" s="746">
        <v>1080</v>
      </c>
      <c r="R128" s="746">
        <v>1200</v>
      </c>
      <c r="S128" s="746">
        <f t="shared" si="44"/>
        <v>6</v>
      </c>
      <c r="T128" s="746">
        <f t="shared" si="45"/>
        <v>1</v>
      </c>
      <c r="U128" s="746">
        <f t="shared" si="46"/>
        <v>2</v>
      </c>
      <c r="V128" s="746">
        <f t="shared" si="47"/>
        <v>6</v>
      </c>
      <c r="W128" s="746">
        <f t="shared" si="48"/>
        <v>12</v>
      </c>
      <c r="X128" s="758">
        <f t="shared" si="49"/>
        <v>279.89875123451037</v>
      </c>
      <c r="Y128" s="747">
        <f t="shared" si="50"/>
        <v>3.9370078740157481</v>
      </c>
      <c r="Z128" s="746">
        <f t="shared" si="51"/>
        <v>1</v>
      </c>
      <c r="AA128" s="746">
        <f t="shared" si="52"/>
        <v>88065000</v>
      </c>
      <c r="AB128" s="746">
        <f t="shared" si="53"/>
        <v>3.1099861248278931</v>
      </c>
      <c r="AC128" s="759" t="s">
        <v>594</v>
      </c>
      <c r="AD128" s="746">
        <f t="shared" si="77"/>
        <v>5</v>
      </c>
      <c r="AE128" s="746">
        <f t="shared" si="54"/>
        <v>0.5</v>
      </c>
      <c r="AF128" s="746">
        <f t="shared" si="55"/>
        <v>0.60000000000000009</v>
      </c>
      <c r="AG128" s="746">
        <f t="shared" si="56"/>
        <v>1.4000000000000001</v>
      </c>
      <c r="AH128" s="746">
        <f t="shared" si="57"/>
        <v>6</v>
      </c>
      <c r="AI128" s="746">
        <f t="shared" si="58"/>
        <v>8.5</v>
      </c>
      <c r="AJ128" s="746">
        <f t="shared" si="59"/>
        <v>1</v>
      </c>
      <c r="AK128" s="746">
        <f t="shared" si="60"/>
        <v>0</v>
      </c>
      <c r="AL128" s="746">
        <f t="shared" si="61"/>
        <v>0</v>
      </c>
      <c r="AM128" s="746">
        <f t="shared" si="62"/>
        <v>0</v>
      </c>
      <c r="AN128" s="746">
        <f t="shared" si="63"/>
        <v>0</v>
      </c>
      <c r="AO128" s="746">
        <f t="shared" si="64"/>
        <v>0</v>
      </c>
      <c r="AP128" s="746">
        <f t="shared" si="65"/>
        <v>0</v>
      </c>
      <c r="AQ128" s="746">
        <f t="shared" si="66"/>
        <v>0</v>
      </c>
      <c r="AR128" s="746">
        <f t="shared" si="67"/>
        <v>0</v>
      </c>
    </row>
    <row r="129" spans="1:44">
      <c r="A129" s="746" t="s">
        <v>861</v>
      </c>
      <c r="B129" s="746">
        <v>287</v>
      </c>
      <c r="C129" s="747">
        <v>23.916666666666668</v>
      </c>
      <c r="D129" s="746">
        <f t="shared" si="70"/>
        <v>24</v>
      </c>
      <c r="E129" s="757">
        <f t="shared" si="71"/>
        <v>1.5345661014348194E-4</v>
      </c>
      <c r="F129" s="746">
        <v>26</v>
      </c>
      <c r="G129" s="746">
        <f t="shared" si="72"/>
        <v>1</v>
      </c>
      <c r="H129" s="746">
        <v>15</v>
      </c>
      <c r="I129" s="747">
        <f t="shared" si="43"/>
        <v>13.460185220895376</v>
      </c>
      <c r="J129" s="746">
        <f t="shared" si="73"/>
        <v>15</v>
      </c>
      <c r="K129" s="746">
        <v>600</v>
      </c>
      <c r="L129" s="746">
        <f t="shared" si="74"/>
        <v>1</v>
      </c>
      <c r="M129" s="746">
        <v>770</v>
      </c>
      <c r="N129" s="746">
        <v>330</v>
      </c>
      <c r="O129" s="746">
        <v>200</v>
      </c>
      <c r="P129" s="746">
        <v>1200</v>
      </c>
      <c r="Q129" s="746">
        <v>1080</v>
      </c>
      <c r="R129" s="746">
        <v>1200</v>
      </c>
      <c r="S129" s="746">
        <f t="shared" si="44"/>
        <v>6</v>
      </c>
      <c r="T129" s="746">
        <f t="shared" si="45"/>
        <v>1</v>
      </c>
      <c r="U129" s="746">
        <f t="shared" si="46"/>
        <v>3</v>
      </c>
      <c r="V129" s="746">
        <f t="shared" si="47"/>
        <v>6</v>
      </c>
      <c r="W129" s="746">
        <f t="shared" si="48"/>
        <v>18</v>
      </c>
      <c r="X129" s="758">
        <f t="shared" si="49"/>
        <v>242.28333397611675</v>
      </c>
      <c r="Y129" s="747">
        <f t="shared" si="50"/>
        <v>3.9370078740157481</v>
      </c>
      <c r="Z129" s="746">
        <f t="shared" si="51"/>
        <v>1</v>
      </c>
      <c r="AA129" s="746">
        <f t="shared" si="52"/>
        <v>50820000</v>
      </c>
      <c r="AB129" s="746">
        <f t="shared" si="53"/>
        <v>1.7946913627860501</v>
      </c>
      <c r="AC129" s="759" t="s">
        <v>594</v>
      </c>
      <c r="AD129" s="746">
        <f t="shared" si="77"/>
        <v>5</v>
      </c>
      <c r="AE129" s="746">
        <f t="shared" si="54"/>
        <v>0.5</v>
      </c>
      <c r="AF129" s="746">
        <f t="shared" si="55"/>
        <v>0.60000000000000009</v>
      </c>
      <c r="AG129" s="746">
        <f t="shared" si="56"/>
        <v>1.4000000000000001</v>
      </c>
      <c r="AH129" s="746">
        <f t="shared" si="57"/>
        <v>6</v>
      </c>
      <c r="AI129" s="746">
        <f t="shared" si="58"/>
        <v>8.5</v>
      </c>
      <c r="AJ129" s="746">
        <f t="shared" si="59"/>
        <v>1</v>
      </c>
      <c r="AK129" s="746">
        <f t="shared" si="60"/>
        <v>0</v>
      </c>
      <c r="AL129" s="746">
        <f t="shared" si="61"/>
        <v>0</v>
      </c>
      <c r="AM129" s="746">
        <f t="shared" si="62"/>
        <v>0</v>
      </c>
      <c r="AN129" s="746">
        <f t="shared" si="63"/>
        <v>0</v>
      </c>
      <c r="AO129" s="746">
        <f t="shared" si="64"/>
        <v>0</v>
      </c>
      <c r="AP129" s="746">
        <f t="shared" si="65"/>
        <v>0</v>
      </c>
      <c r="AQ129" s="746">
        <f t="shared" si="66"/>
        <v>0</v>
      </c>
      <c r="AR129" s="746">
        <f t="shared" si="67"/>
        <v>0</v>
      </c>
    </row>
    <row r="130" spans="1:44">
      <c r="A130" s="746" t="s">
        <v>862</v>
      </c>
      <c r="B130" s="746">
        <v>250</v>
      </c>
      <c r="C130" s="747">
        <v>20.833333333333336</v>
      </c>
      <c r="D130" s="746">
        <f t="shared" si="70"/>
        <v>21</v>
      </c>
      <c r="E130" s="757">
        <f t="shared" si="71"/>
        <v>1.342745338755467E-4</v>
      </c>
      <c r="F130" s="746">
        <v>26</v>
      </c>
      <c r="G130" s="746">
        <f t="shared" si="72"/>
        <v>1</v>
      </c>
      <c r="H130" s="746">
        <v>15</v>
      </c>
      <c r="I130" s="747">
        <f t="shared" si="43"/>
        <v>10.467267216249219</v>
      </c>
      <c r="J130" s="746">
        <f t="shared" si="73"/>
        <v>15</v>
      </c>
      <c r="K130" s="746">
        <v>600</v>
      </c>
      <c r="L130" s="746">
        <f t="shared" si="74"/>
        <v>1</v>
      </c>
      <c r="M130" s="746">
        <v>650</v>
      </c>
      <c r="N130" s="746">
        <v>380</v>
      </c>
      <c r="O130" s="746">
        <v>160</v>
      </c>
      <c r="P130" s="746">
        <v>1200</v>
      </c>
      <c r="Q130" s="746">
        <v>1080</v>
      </c>
      <c r="R130" s="746">
        <v>1200</v>
      </c>
      <c r="S130" s="746">
        <f t="shared" si="44"/>
        <v>8</v>
      </c>
      <c r="T130" s="746">
        <f t="shared" si="45"/>
        <v>1</v>
      </c>
      <c r="U130" s="746">
        <f t="shared" si="46"/>
        <v>2</v>
      </c>
      <c r="V130" s="746">
        <f t="shared" si="47"/>
        <v>8</v>
      </c>
      <c r="W130" s="746">
        <f t="shared" si="48"/>
        <v>16</v>
      </c>
      <c r="X130" s="758">
        <f t="shared" si="49"/>
        <v>167.47627545998751</v>
      </c>
      <c r="Y130" s="747">
        <f t="shared" si="50"/>
        <v>3.9370078740157481</v>
      </c>
      <c r="Z130" s="746">
        <f t="shared" si="51"/>
        <v>1</v>
      </c>
      <c r="AA130" s="746">
        <f t="shared" si="52"/>
        <v>39520000</v>
      </c>
      <c r="AB130" s="746">
        <f t="shared" si="53"/>
        <v>1.3956356288332292</v>
      </c>
      <c r="AC130" s="759" t="s">
        <v>594</v>
      </c>
      <c r="AD130" s="746">
        <f t="shared" si="77"/>
        <v>5</v>
      </c>
      <c r="AE130" s="746">
        <f t="shared" si="54"/>
        <v>0.5</v>
      </c>
      <c r="AF130" s="746">
        <f t="shared" si="55"/>
        <v>0.60000000000000009</v>
      </c>
      <c r="AG130" s="746">
        <f t="shared" si="56"/>
        <v>1.4000000000000001</v>
      </c>
      <c r="AH130" s="746">
        <f t="shared" si="57"/>
        <v>6</v>
      </c>
      <c r="AI130" s="746">
        <f t="shared" si="58"/>
        <v>8.5</v>
      </c>
      <c r="AJ130" s="746">
        <f t="shared" si="59"/>
        <v>1</v>
      </c>
      <c r="AK130" s="746">
        <f t="shared" si="60"/>
        <v>0</v>
      </c>
      <c r="AL130" s="746">
        <f t="shared" si="61"/>
        <v>0</v>
      </c>
      <c r="AM130" s="746">
        <f t="shared" si="62"/>
        <v>0</v>
      </c>
      <c r="AN130" s="746">
        <f t="shared" si="63"/>
        <v>0</v>
      </c>
      <c r="AO130" s="746">
        <f t="shared" si="64"/>
        <v>0</v>
      </c>
      <c r="AP130" s="746">
        <f t="shared" si="65"/>
        <v>0</v>
      </c>
      <c r="AQ130" s="746">
        <f t="shared" si="66"/>
        <v>0</v>
      </c>
      <c r="AR130" s="746">
        <f t="shared" si="67"/>
        <v>0</v>
      </c>
    </row>
    <row r="131" spans="1:44">
      <c r="A131" s="746" t="s">
        <v>863</v>
      </c>
      <c r="B131" s="746">
        <v>242</v>
      </c>
      <c r="C131" s="747">
        <v>20.166666666666668</v>
      </c>
      <c r="D131" s="746">
        <f t="shared" ref="D131:D148" si="78">ROUNDUP(C131,0)</f>
        <v>21</v>
      </c>
      <c r="E131" s="757">
        <f t="shared" ref="E131:E148" si="79">D131/$D$1</f>
        <v>1.342745338755467E-4</v>
      </c>
      <c r="F131" s="746">
        <v>26</v>
      </c>
      <c r="G131" s="746">
        <f t="shared" ref="G131:G148" si="80">ROUNDUP(D131/F131,0)</f>
        <v>1</v>
      </c>
      <c r="H131" s="746">
        <v>15</v>
      </c>
      <c r="I131" s="747">
        <f t="shared" si="43"/>
        <v>7.6994802119525492</v>
      </c>
      <c r="J131" s="746">
        <f t="shared" ref="J131:J148" si="81">G131*H131</f>
        <v>15</v>
      </c>
      <c r="K131" s="746">
        <v>600</v>
      </c>
      <c r="L131" s="746">
        <f t="shared" ref="L131:L148" si="82">ROUNDUP(J131/K131,0)</f>
        <v>1</v>
      </c>
      <c r="M131" s="746">
        <v>570</v>
      </c>
      <c r="N131" s="746">
        <v>340</v>
      </c>
      <c r="O131" s="746">
        <v>150</v>
      </c>
      <c r="P131" s="746">
        <v>1200</v>
      </c>
      <c r="Q131" s="746">
        <v>1080</v>
      </c>
      <c r="R131" s="746">
        <v>1200</v>
      </c>
      <c r="S131" s="746">
        <f t="shared" si="44"/>
        <v>8</v>
      </c>
      <c r="T131" s="746">
        <f t="shared" si="45"/>
        <v>2</v>
      </c>
      <c r="U131" s="746">
        <f t="shared" si="46"/>
        <v>3</v>
      </c>
      <c r="V131" s="746">
        <f t="shared" si="47"/>
        <v>8</v>
      </c>
      <c r="W131" s="746">
        <f t="shared" si="48"/>
        <v>48</v>
      </c>
      <c r="X131" s="758">
        <f t="shared" si="49"/>
        <v>369.57505017372239</v>
      </c>
      <c r="Y131" s="747">
        <f t="shared" si="50"/>
        <v>3.9370078740157481</v>
      </c>
      <c r="Z131" s="746">
        <f t="shared" si="51"/>
        <v>1</v>
      </c>
      <c r="AA131" s="746">
        <f t="shared" si="52"/>
        <v>29070000</v>
      </c>
      <c r="AB131" s="746">
        <f t="shared" si="53"/>
        <v>1.0265973615936732</v>
      </c>
      <c r="AC131" s="759" t="s">
        <v>594</v>
      </c>
      <c r="AD131" s="746">
        <f t="shared" si="77"/>
        <v>5</v>
      </c>
      <c r="AE131" s="746">
        <f t="shared" si="54"/>
        <v>0.5</v>
      </c>
      <c r="AF131" s="746">
        <f t="shared" si="55"/>
        <v>0.60000000000000009</v>
      </c>
      <c r="AG131" s="746">
        <f t="shared" si="56"/>
        <v>1.4000000000000001</v>
      </c>
      <c r="AH131" s="746">
        <f t="shared" si="57"/>
        <v>6</v>
      </c>
      <c r="AI131" s="746">
        <f t="shared" si="58"/>
        <v>8.5</v>
      </c>
      <c r="AJ131" s="746">
        <f t="shared" si="59"/>
        <v>1</v>
      </c>
      <c r="AK131" s="746">
        <f t="shared" si="60"/>
        <v>0</v>
      </c>
      <c r="AL131" s="746">
        <f t="shared" si="61"/>
        <v>0</v>
      </c>
      <c r="AM131" s="746">
        <f t="shared" si="62"/>
        <v>0</v>
      </c>
      <c r="AN131" s="746">
        <f t="shared" si="63"/>
        <v>0</v>
      </c>
      <c r="AO131" s="746">
        <f t="shared" si="64"/>
        <v>0</v>
      </c>
      <c r="AP131" s="746">
        <f t="shared" si="65"/>
        <v>0</v>
      </c>
      <c r="AQ131" s="746">
        <f t="shared" si="66"/>
        <v>0</v>
      </c>
      <c r="AR131" s="746">
        <f t="shared" si="67"/>
        <v>0</v>
      </c>
    </row>
    <row r="132" spans="1:44">
      <c r="A132" s="746" t="s">
        <v>864</v>
      </c>
      <c r="B132" s="746">
        <v>163</v>
      </c>
      <c r="C132" s="747">
        <v>13.583333333333334</v>
      </c>
      <c r="D132" s="746">
        <f t="shared" si="78"/>
        <v>14</v>
      </c>
      <c r="E132" s="757">
        <f t="shared" si="79"/>
        <v>8.9516355917031133E-5</v>
      </c>
      <c r="F132" s="746">
        <v>26</v>
      </c>
      <c r="G132" s="746">
        <f t="shared" si="80"/>
        <v>1</v>
      </c>
      <c r="H132" s="746">
        <v>15</v>
      </c>
      <c r="I132" s="747">
        <f t="shared" ref="I132:I148" si="83">AB132*7.5</f>
        <v>9.8388868652737322</v>
      </c>
      <c r="J132" s="746">
        <f t="shared" si="81"/>
        <v>15</v>
      </c>
      <c r="K132" s="746">
        <v>600</v>
      </c>
      <c r="L132" s="746">
        <f t="shared" si="82"/>
        <v>1</v>
      </c>
      <c r="M132" s="746">
        <v>635</v>
      </c>
      <c r="N132" s="746">
        <v>390</v>
      </c>
      <c r="O132" s="746">
        <v>150</v>
      </c>
      <c r="P132" s="746">
        <v>1200</v>
      </c>
      <c r="Q132" s="746">
        <v>1080</v>
      </c>
      <c r="R132" s="746">
        <v>1200</v>
      </c>
      <c r="S132" s="746">
        <f t="shared" ref="S132:S148" si="84">V132</f>
        <v>8</v>
      </c>
      <c r="T132" s="746">
        <f t="shared" ref="T132:T148" si="85">ROUNDDOWN(P132/M132,0)</f>
        <v>1</v>
      </c>
      <c r="U132" s="746">
        <f t="shared" ref="U132:U148" si="86">ROUNDDOWN(Q132/N132,0)</f>
        <v>2</v>
      </c>
      <c r="V132" s="746">
        <f t="shared" ref="V132:V148" si="87">ROUND(R132/O132,0)</f>
        <v>8</v>
      </c>
      <c r="W132" s="746">
        <f t="shared" ref="W132:W148" si="88">T132*U132*V132</f>
        <v>16</v>
      </c>
      <c r="X132" s="758">
        <f t="shared" ref="X132:X148" si="89">I132*W132</f>
        <v>157.42218984437972</v>
      </c>
      <c r="Y132" s="747">
        <f t="shared" ref="Y132:Y148" si="90">CONVERT(R132,"mm","ft")</f>
        <v>3.9370078740157481</v>
      </c>
      <c r="Z132" s="746">
        <f t="shared" ref="Z132:Z148" si="91">IFERROR(ROUNDUP(G132/W132*1.05,0),0)</f>
        <v>1</v>
      </c>
      <c r="AA132" s="746">
        <f t="shared" ref="AA132:AA148" si="92">M132*N132*O132</f>
        <v>37147500</v>
      </c>
      <c r="AB132" s="746">
        <f t="shared" ref="AB132:AB148" si="93">CONVERT(AA132,"mm^3","ft^3")</f>
        <v>1.3118515820364975</v>
      </c>
      <c r="AC132" s="759" t="s">
        <v>594</v>
      </c>
      <c r="AD132" s="746">
        <f t="shared" si="77"/>
        <v>5</v>
      </c>
      <c r="AE132" s="746">
        <f t="shared" ref="AE132:AE148" si="94">(Z132*$AE$2)*$AE$1</f>
        <v>0.5</v>
      </c>
      <c r="AF132" s="746">
        <f t="shared" ref="AF132:AF148" si="95">(Z132*$AF$2)*$AF$1</f>
        <v>0.60000000000000009</v>
      </c>
      <c r="AG132" s="746">
        <f t="shared" ref="AG132:AG148" si="96">(Z132*$AG$2)*$AG$1</f>
        <v>1.4000000000000001</v>
      </c>
      <c r="AH132" s="746">
        <f t="shared" ref="AH132:AH148" si="97">(Z132*$AH$2)*$AH$1</f>
        <v>6</v>
      </c>
      <c r="AI132" s="746">
        <f t="shared" ref="AI132:AI148" si="98">SUM(AE132:AH132)</f>
        <v>8.5</v>
      </c>
      <c r="AJ132" s="746">
        <f t="shared" ref="AJ132:AJ148" si="99">ROUND(G132*$AJ$1,0)</f>
        <v>1</v>
      </c>
      <c r="AK132" s="746">
        <f t="shared" ref="AK132:AK148" si="100">ROUND(G132*$AK$1,0)</f>
        <v>0</v>
      </c>
      <c r="AL132" s="746">
        <f t="shared" ref="AL132:AL148" si="101">ROUND(G132*$AL$1,0)</f>
        <v>0</v>
      </c>
      <c r="AM132" s="746">
        <f t="shared" ref="AM132:AM148" si="102">ROUND(G132*$AM$1,0)</f>
        <v>0</v>
      </c>
      <c r="AN132" s="746">
        <f t="shared" ref="AN132:AN148" si="103">IFERROR(ROUND(AJ132/W132*$AN$1,0),0)</f>
        <v>0</v>
      </c>
      <c r="AO132" s="746">
        <f t="shared" ref="AO132:AO148" si="104">IFERROR(ROUND(AK132/W132*$AO$1,0),0)</f>
        <v>0</v>
      </c>
      <c r="AP132" s="746">
        <f t="shared" ref="AP132:AP148" si="105">IFERROR(ROUND(AL132/W132*$AP$1,0),0)</f>
        <v>0</v>
      </c>
      <c r="AQ132" s="746">
        <f t="shared" ref="AQ132:AQ148" si="106">IFERROR(ROUND(AM132/W132*$AQ$1,0),0)</f>
        <v>0</v>
      </c>
      <c r="AR132" s="746">
        <f t="shared" ref="AR132:AR148" si="107">SUM(AN132:AQ132)</f>
        <v>0</v>
      </c>
    </row>
    <row r="133" spans="1:44">
      <c r="A133" s="763" t="s">
        <v>865</v>
      </c>
      <c r="B133" s="746">
        <v>153</v>
      </c>
      <c r="C133" s="747">
        <v>12.75</v>
      </c>
      <c r="D133" s="746">
        <f t="shared" si="78"/>
        <v>13</v>
      </c>
      <c r="E133" s="757">
        <f t="shared" si="79"/>
        <v>8.3122330494386044E-5</v>
      </c>
      <c r="F133" s="746">
        <v>26</v>
      </c>
      <c r="G133" s="746">
        <f t="shared" si="80"/>
        <v>1</v>
      </c>
      <c r="H133" s="746">
        <v>15</v>
      </c>
      <c r="I133" s="747">
        <f t="shared" si="83"/>
        <v>42.52380278601327</v>
      </c>
      <c r="J133" s="746">
        <f t="shared" si="81"/>
        <v>15</v>
      </c>
      <c r="K133" s="746">
        <v>600</v>
      </c>
      <c r="L133" s="746">
        <f t="shared" si="82"/>
        <v>1</v>
      </c>
      <c r="M133" s="746">
        <v>1880</v>
      </c>
      <c r="N133" s="746">
        <v>305</v>
      </c>
      <c r="O133" s="746">
        <v>280</v>
      </c>
      <c r="P133" s="746">
        <v>2000</v>
      </c>
      <c r="Q133" s="746">
        <v>1080</v>
      </c>
      <c r="R133" s="746">
        <v>1200</v>
      </c>
      <c r="S133" s="746">
        <f t="shared" si="84"/>
        <v>4</v>
      </c>
      <c r="T133" s="746">
        <f t="shared" si="85"/>
        <v>1</v>
      </c>
      <c r="U133" s="746">
        <f t="shared" si="86"/>
        <v>3</v>
      </c>
      <c r="V133" s="746">
        <f t="shared" si="87"/>
        <v>4</v>
      </c>
      <c r="W133" s="746">
        <f t="shared" si="88"/>
        <v>12</v>
      </c>
      <c r="X133" s="758">
        <f t="shared" si="89"/>
        <v>510.28563343215922</v>
      </c>
      <c r="Y133" s="747">
        <f t="shared" si="90"/>
        <v>3.9370078740157481</v>
      </c>
      <c r="Z133" s="746">
        <f t="shared" si="91"/>
        <v>1</v>
      </c>
      <c r="AA133" s="746">
        <f t="shared" si="92"/>
        <v>160552000</v>
      </c>
      <c r="AB133" s="746">
        <f t="shared" si="93"/>
        <v>5.6698403714684362</v>
      </c>
      <c r="AC133" s="759" t="s">
        <v>596</v>
      </c>
      <c r="AD133" s="746">
        <f t="shared" ref="AD133:AD145" si="108">Z133*10</f>
        <v>10</v>
      </c>
      <c r="AE133" s="746">
        <f t="shared" si="94"/>
        <v>0.5</v>
      </c>
      <c r="AF133" s="746">
        <f t="shared" si="95"/>
        <v>0.60000000000000009</v>
      </c>
      <c r="AG133" s="746">
        <f t="shared" si="96"/>
        <v>1.4000000000000001</v>
      </c>
      <c r="AH133" s="746">
        <f t="shared" si="97"/>
        <v>6</v>
      </c>
      <c r="AI133" s="746">
        <f t="shared" si="98"/>
        <v>8.5</v>
      </c>
      <c r="AJ133" s="746">
        <f t="shared" si="99"/>
        <v>1</v>
      </c>
      <c r="AK133" s="746">
        <f t="shared" si="100"/>
        <v>0</v>
      </c>
      <c r="AL133" s="746">
        <f t="shared" si="101"/>
        <v>0</v>
      </c>
      <c r="AM133" s="746">
        <f t="shared" si="102"/>
        <v>0</v>
      </c>
      <c r="AN133" s="746">
        <f t="shared" si="103"/>
        <v>0</v>
      </c>
      <c r="AO133" s="746">
        <f t="shared" si="104"/>
        <v>0</v>
      </c>
      <c r="AP133" s="746">
        <f t="shared" si="105"/>
        <v>0</v>
      </c>
      <c r="AQ133" s="746">
        <f t="shared" si="106"/>
        <v>0</v>
      </c>
      <c r="AR133" s="746">
        <f t="shared" si="107"/>
        <v>0</v>
      </c>
    </row>
    <row r="134" spans="1:44">
      <c r="A134" s="746" t="s">
        <v>866</v>
      </c>
      <c r="B134" s="746">
        <v>152</v>
      </c>
      <c r="C134" s="747">
        <v>12.666666666666666</v>
      </c>
      <c r="D134" s="746">
        <f t="shared" si="78"/>
        <v>13</v>
      </c>
      <c r="E134" s="757">
        <f t="shared" si="79"/>
        <v>8.3122330494386044E-5</v>
      </c>
      <c r="F134" s="746">
        <v>26</v>
      </c>
      <c r="G134" s="746">
        <f t="shared" si="80"/>
        <v>1</v>
      </c>
      <c r="H134" s="746">
        <v>15</v>
      </c>
      <c r="I134" s="747">
        <f t="shared" si="83"/>
        <v>7.1614583333333321</v>
      </c>
      <c r="J134" s="746">
        <f t="shared" si="81"/>
        <v>15</v>
      </c>
      <c r="K134" s="746">
        <v>600</v>
      </c>
      <c r="L134" s="746">
        <f t="shared" si="82"/>
        <v>1</v>
      </c>
      <c r="M134" s="746">
        <v>279.39999999999998</v>
      </c>
      <c r="N134" s="746">
        <v>381</v>
      </c>
      <c r="O134" s="746">
        <v>254</v>
      </c>
      <c r="P134" s="746">
        <v>1200</v>
      </c>
      <c r="Q134" s="746">
        <v>1080</v>
      </c>
      <c r="R134" s="746">
        <v>1200</v>
      </c>
      <c r="S134" s="746">
        <f t="shared" si="84"/>
        <v>5</v>
      </c>
      <c r="T134" s="746">
        <f t="shared" si="85"/>
        <v>4</v>
      </c>
      <c r="U134" s="746">
        <f t="shared" si="86"/>
        <v>2</v>
      </c>
      <c r="V134" s="746">
        <f t="shared" si="87"/>
        <v>5</v>
      </c>
      <c r="W134" s="746">
        <f t="shared" si="88"/>
        <v>40</v>
      </c>
      <c r="X134" s="758">
        <f t="shared" si="89"/>
        <v>286.45833333333326</v>
      </c>
      <c r="Y134" s="747">
        <f t="shared" si="90"/>
        <v>3.9370078740157481</v>
      </c>
      <c r="Z134" s="746">
        <f t="shared" si="91"/>
        <v>1</v>
      </c>
      <c r="AA134" s="746">
        <f t="shared" si="92"/>
        <v>27038655.599999998</v>
      </c>
      <c r="AB134" s="746">
        <f t="shared" si="93"/>
        <v>0.95486111111111094</v>
      </c>
      <c r="AC134" s="759" t="s">
        <v>594</v>
      </c>
      <c r="AD134" s="746">
        <f t="shared" ref="AD134:AD135" si="109">Z134*5</f>
        <v>5</v>
      </c>
      <c r="AE134" s="746">
        <f t="shared" si="94"/>
        <v>0.5</v>
      </c>
      <c r="AF134" s="746">
        <f t="shared" si="95"/>
        <v>0.60000000000000009</v>
      </c>
      <c r="AG134" s="746">
        <f t="shared" si="96"/>
        <v>1.4000000000000001</v>
      </c>
      <c r="AH134" s="746">
        <f t="shared" si="97"/>
        <v>6</v>
      </c>
      <c r="AI134" s="746">
        <f t="shared" si="98"/>
        <v>8.5</v>
      </c>
      <c r="AJ134" s="746">
        <f t="shared" si="99"/>
        <v>1</v>
      </c>
      <c r="AK134" s="746">
        <f t="shared" si="100"/>
        <v>0</v>
      </c>
      <c r="AL134" s="746">
        <f t="shared" si="101"/>
        <v>0</v>
      </c>
      <c r="AM134" s="746">
        <f t="shared" si="102"/>
        <v>0</v>
      </c>
      <c r="AN134" s="746">
        <f t="shared" si="103"/>
        <v>0</v>
      </c>
      <c r="AO134" s="746">
        <f t="shared" si="104"/>
        <v>0</v>
      </c>
      <c r="AP134" s="746">
        <f t="shared" si="105"/>
        <v>0</v>
      </c>
      <c r="AQ134" s="746">
        <f t="shared" si="106"/>
        <v>0</v>
      </c>
      <c r="AR134" s="746">
        <f t="shared" si="107"/>
        <v>0</v>
      </c>
    </row>
    <row r="135" spans="1:44">
      <c r="A135" s="746" t="s">
        <v>867</v>
      </c>
      <c r="B135" s="746">
        <v>150</v>
      </c>
      <c r="C135" s="747">
        <v>12.5</v>
      </c>
      <c r="D135" s="746">
        <f t="shared" si="78"/>
        <v>13</v>
      </c>
      <c r="E135" s="757">
        <f t="shared" si="79"/>
        <v>8.3122330494386044E-5</v>
      </c>
      <c r="F135" s="746">
        <v>26</v>
      </c>
      <c r="G135" s="746">
        <f t="shared" si="80"/>
        <v>1</v>
      </c>
      <c r="H135" s="746">
        <v>15</v>
      </c>
      <c r="I135" s="747">
        <f t="shared" si="83"/>
        <v>38.139840059207678</v>
      </c>
      <c r="J135" s="746">
        <f t="shared" si="81"/>
        <v>15</v>
      </c>
      <c r="K135" s="746">
        <v>600</v>
      </c>
      <c r="L135" s="746">
        <f t="shared" si="82"/>
        <v>1</v>
      </c>
      <c r="M135" s="746">
        <v>960</v>
      </c>
      <c r="N135" s="746">
        <v>500</v>
      </c>
      <c r="O135" s="746">
        <v>300</v>
      </c>
      <c r="P135" s="746">
        <v>1200</v>
      </c>
      <c r="Q135" s="746">
        <v>1080</v>
      </c>
      <c r="R135" s="746">
        <v>1200</v>
      </c>
      <c r="S135" s="746">
        <f t="shared" si="84"/>
        <v>4</v>
      </c>
      <c r="T135" s="746">
        <f t="shared" si="85"/>
        <v>1</v>
      </c>
      <c r="U135" s="746">
        <f t="shared" si="86"/>
        <v>2</v>
      </c>
      <c r="V135" s="746">
        <f t="shared" si="87"/>
        <v>4</v>
      </c>
      <c r="W135" s="746">
        <f t="shared" si="88"/>
        <v>8</v>
      </c>
      <c r="X135" s="758">
        <f t="shared" si="89"/>
        <v>305.11872047366143</v>
      </c>
      <c r="Y135" s="747">
        <f t="shared" si="90"/>
        <v>3.9370078740157481</v>
      </c>
      <c r="Z135" s="746">
        <f t="shared" si="91"/>
        <v>1</v>
      </c>
      <c r="AA135" s="746">
        <f t="shared" si="92"/>
        <v>144000000</v>
      </c>
      <c r="AB135" s="746">
        <f t="shared" si="93"/>
        <v>5.0853120078943572</v>
      </c>
      <c r="AC135" s="759" t="s">
        <v>594</v>
      </c>
      <c r="AD135" s="746">
        <f t="shared" si="109"/>
        <v>5</v>
      </c>
      <c r="AE135" s="746">
        <f t="shared" si="94"/>
        <v>0.5</v>
      </c>
      <c r="AF135" s="746">
        <f t="shared" si="95"/>
        <v>0.60000000000000009</v>
      </c>
      <c r="AG135" s="746">
        <f t="shared" si="96"/>
        <v>1.4000000000000001</v>
      </c>
      <c r="AH135" s="746">
        <f t="shared" si="97"/>
        <v>6</v>
      </c>
      <c r="AI135" s="746">
        <f t="shared" si="98"/>
        <v>8.5</v>
      </c>
      <c r="AJ135" s="746">
        <f t="shared" si="99"/>
        <v>1</v>
      </c>
      <c r="AK135" s="746">
        <f t="shared" si="100"/>
        <v>0</v>
      </c>
      <c r="AL135" s="746">
        <f t="shared" si="101"/>
        <v>0</v>
      </c>
      <c r="AM135" s="746">
        <f t="shared" si="102"/>
        <v>0</v>
      </c>
      <c r="AN135" s="746">
        <f t="shared" si="103"/>
        <v>0</v>
      </c>
      <c r="AO135" s="746">
        <f t="shared" si="104"/>
        <v>0</v>
      </c>
      <c r="AP135" s="746">
        <f t="shared" si="105"/>
        <v>0</v>
      </c>
      <c r="AQ135" s="746">
        <f t="shared" si="106"/>
        <v>0</v>
      </c>
      <c r="AR135" s="746">
        <f t="shared" si="107"/>
        <v>0</v>
      </c>
    </row>
    <row r="136" spans="1:44">
      <c r="A136" s="763" t="s">
        <v>868</v>
      </c>
      <c r="B136" s="746">
        <v>150</v>
      </c>
      <c r="C136" s="747">
        <v>12.5</v>
      </c>
      <c r="D136" s="746">
        <f t="shared" si="78"/>
        <v>13</v>
      </c>
      <c r="E136" s="757">
        <f t="shared" si="79"/>
        <v>8.3122330494386044E-5</v>
      </c>
      <c r="F136" s="746">
        <v>26</v>
      </c>
      <c r="G136" s="746">
        <f t="shared" si="80"/>
        <v>1</v>
      </c>
      <c r="H136" s="746">
        <v>15</v>
      </c>
      <c r="I136" s="747">
        <f t="shared" si="83"/>
        <v>12.395448019242496</v>
      </c>
      <c r="J136" s="746">
        <f t="shared" si="81"/>
        <v>15</v>
      </c>
      <c r="K136" s="746">
        <v>600</v>
      </c>
      <c r="L136" s="746">
        <f t="shared" si="82"/>
        <v>1</v>
      </c>
      <c r="M136" s="746">
        <v>1560</v>
      </c>
      <c r="N136" s="746">
        <v>200</v>
      </c>
      <c r="O136" s="746">
        <v>150</v>
      </c>
      <c r="P136" s="746">
        <v>1500</v>
      </c>
      <c r="Q136" s="746">
        <v>1080</v>
      </c>
      <c r="R136" s="746">
        <v>1200</v>
      </c>
      <c r="S136" s="746">
        <f t="shared" si="84"/>
        <v>8</v>
      </c>
      <c r="T136" s="746">
        <f>ROUNDUP(P136/M136,0)</f>
        <v>1</v>
      </c>
      <c r="U136" s="746">
        <f t="shared" si="86"/>
        <v>5</v>
      </c>
      <c r="V136" s="746">
        <f t="shared" si="87"/>
        <v>8</v>
      </c>
      <c r="W136" s="746">
        <f t="shared" si="88"/>
        <v>40</v>
      </c>
      <c r="X136" s="758">
        <f t="shared" si="89"/>
        <v>495.81792076969981</v>
      </c>
      <c r="Y136" s="747">
        <f t="shared" si="90"/>
        <v>3.9370078740157481</v>
      </c>
      <c r="Z136" s="746">
        <f t="shared" si="91"/>
        <v>1</v>
      </c>
      <c r="AA136" s="746">
        <f t="shared" si="92"/>
        <v>46800000</v>
      </c>
      <c r="AB136" s="746">
        <f t="shared" si="93"/>
        <v>1.6527264025656661</v>
      </c>
      <c r="AC136" s="759" t="s">
        <v>595</v>
      </c>
      <c r="AD136" s="746">
        <f t="shared" si="108"/>
        <v>10</v>
      </c>
      <c r="AE136" s="746">
        <f t="shared" si="94"/>
        <v>0.5</v>
      </c>
      <c r="AF136" s="746">
        <f t="shared" si="95"/>
        <v>0.60000000000000009</v>
      </c>
      <c r="AG136" s="746">
        <f t="shared" si="96"/>
        <v>1.4000000000000001</v>
      </c>
      <c r="AH136" s="746">
        <f t="shared" si="97"/>
        <v>6</v>
      </c>
      <c r="AI136" s="746">
        <f t="shared" si="98"/>
        <v>8.5</v>
      </c>
      <c r="AJ136" s="746">
        <f t="shared" si="99"/>
        <v>1</v>
      </c>
      <c r="AK136" s="746">
        <f t="shared" si="100"/>
        <v>0</v>
      </c>
      <c r="AL136" s="746">
        <f t="shared" si="101"/>
        <v>0</v>
      </c>
      <c r="AM136" s="746">
        <f t="shared" si="102"/>
        <v>0</v>
      </c>
      <c r="AN136" s="746">
        <f t="shared" si="103"/>
        <v>0</v>
      </c>
      <c r="AO136" s="746">
        <f t="shared" si="104"/>
        <v>0</v>
      </c>
      <c r="AP136" s="746">
        <f t="shared" si="105"/>
        <v>0</v>
      </c>
      <c r="AQ136" s="746">
        <f t="shared" si="106"/>
        <v>0</v>
      </c>
      <c r="AR136" s="746">
        <f t="shared" si="107"/>
        <v>0</v>
      </c>
    </row>
    <row r="137" spans="1:44">
      <c r="A137" s="763" t="s">
        <v>869</v>
      </c>
      <c r="B137" s="746">
        <v>150</v>
      </c>
      <c r="C137" s="747">
        <v>12.5</v>
      </c>
      <c r="D137" s="746">
        <f t="shared" si="78"/>
        <v>13</v>
      </c>
      <c r="E137" s="757">
        <f t="shared" si="79"/>
        <v>8.3122330494386044E-5</v>
      </c>
      <c r="F137" s="746">
        <v>26</v>
      </c>
      <c r="G137" s="746">
        <f t="shared" si="80"/>
        <v>1</v>
      </c>
      <c r="H137" s="746">
        <v>15</v>
      </c>
      <c r="I137" s="747">
        <f t="shared" si="83"/>
        <v>62.828433922533861</v>
      </c>
      <c r="J137" s="746">
        <f t="shared" si="81"/>
        <v>15</v>
      </c>
      <c r="K137" s="746">
        <v>600</v>
      </c>
      <c r="L137" s="746">
        <f t="shared" si="82"/>
        <v>1</v>
      </c>
      <c r="M137" s="746">
        <v>1525</v>
      </c>
      <c r="N137" s="746">
        <v>610</v>
      </c>
      <c r="O137" s="746">
        <v>255</v>
      </c>
      <c r="P137" s="746">
        <v>1500</v>
      </c>
      <c r="Q137" s="746">
        <v>1080</v>
      </c>
      <c r="R137" s="746">
        <v>1200</v>
      </c>
      <c r="S137" s="746">
        <f t="shared" si="84"/>
        <v>5</v>
      </c>
      <c r="T137" s="746">
        <f>ROUNDUP(P137/M137,0)</f>
        <v>1</v>
      </c>
      <c r="U137" s="746">
        <f t="shared" si="86"/>
        <v>1</v>
      </c>
      <c r="V137" s="746">
        <f t="shared" si="87"/>
        <v>5</v>
      </c>
      <c r="W137" s="746">
        <f t="shared" si="88"/>
        <v>5</v>
      </c>
      <c r="X137" s="758">
        <f t="shared" si="89"/>
        <v>314.14216961266931</v>
      </c>
      <c r="Y137" s="747">
        <f t="shared" si="90"/>
        <v>3.9370078740157481</v>
      </c>
      <c r="Z137" s="746">
        <f t="shared" si="91"/>
        <v>1</v>
      </c>
      <c r="AA137" s="746">
        <f t="shared" si="92"/>
        <v>237213750</v>
      </c>
      <c r="AB137" s="746">
        <f t="shared" si="93"/>
        <v>8.3771245230045146</v>
      </c>
      <c r="AC137" s="759" t="s">
        <v>595</v>
      </c>
      <c r="AD137" s="746">
        <f t="shared" si="108"/>
        <v>10</v>
      </c>
      <c r="AE137" s="746">
        <f t="shared" si="94"/>
        <v>0.5</v>
      </c>
      <c r="AF137" s="746">
        <f t="shared" si="95"/>
        <v>0.60000000000000009</v>
      </c>
      <c r="AG137" s="746">
        <f t="shared" si="96"/>
        <v>1.4000000000000001</v>
      </c>
      <c r="AH137" s="746">
        <f t="shared" si="97"/>
        <v>6</v>
      </c>
      <c r="AI137" s="746">
        <f t="shared" si="98"/>
        <v>8.5</v>
      </c>
      <c r="AJ137" s="746">
        <f t="shared" si="99"/>
        <v>1</v>
      </c>
      <c r="AK137" s="746">
        <f t="shared" si="100"/>
        <v>0</v>
      </c>
      <c r="AL137" s="746">
        <f t="shared" si="101"/>
        <v>0</v>
      </c>
      <c r="AM137" s="746">
        <f t="shared" si="102"/>
        <v>0</v>
      </c>
      <c r="AN137" s="746">
        <f t="shared" si="103"/>
        <v>0</v>
      </c>
      <c r="AO137" s="746">
        <f t="shared" si="104"/>
        <v>0</v>
      </c>
      <c r="AP137" s="746">
        <f t="shared" si="105"/>
        <v>0</v>
      </c>
      <c r="AQ137" s="746">
        <f t="shared" si="106"/>
        <v>0</v>
      </c>
      <c r="AR137" s="746">
        <f t="shared" si="107"/>
        <v>0</v>
      </c>
    </row>
    <row r="138" spans="1:44">
      <c r="A138" s="746" t="s">
        <v>870</v>
      </c>
      <c r="B138" s="746">
        <v>149</v>
      </c>
      <c r="C138" s="747">
        <v>12.416666666666666</v>
      </c>
      <c r="D138" s="746">
        <f t="shared" si="78"/>
        <v>13</v>
      </c>
      <c r="E138" s="757">
        <f t="shared" si="79"/>
        <v>8.3122330494386044E-5</v>
      </c>
      <c r="F138" s="746">
        <v>26</v>
      </c>
      <c r="G138" s="746">
        <f t="shared" si="80"/>
        <v>1</v>
      </c>
      <c r="H138" s="746">
        <v>15</v>
      </c>
      <c r="I138" s="747">
        <f t="shared" si="83"/>
        <v>19.999999999999996</v>
      </c>
      <c r="J138" s="746">
        <f t="shared" si="81"/>
        <v>15</v>
      </c>
      <c r="K138" s="746">
        <v>600</v>
      </c>
      <c r="L138" s="746">
        <f t="shared" si="82"/>
        <v>1</v>
      </c>
      <c r="M138" s="746">
        <v>914.4</v>
      </c>
      <c r="N138" s="746">
        <v>406.4</v>
      </c>
      <c r="O138" s="746">
        <v>203.2</v>
      </c>
      <c r="P138" s="746">
        <v>1200</v>
      </c>
      <c r="Q138" s="746">
        <v>1080</v>
      </c>
      <c r="R138" s="746">
        <v>1200</v>
      </c>
      <c r="S138" s="746">
        <f t="shared" si="84"/>
        <v>6</v>
      </c>
      <c r="T138" s="746">
        <f t="shared" si="85"/>
        <v>1</v>
      </c>
      <c r="U138" s="746">
        <f t="shared" si="86"/>
        <v>2</v>
      </c>
      <c r="V138" s="746">
        <f t="shared" si="87"/>
        <v>6</v>
      </c>
      <c r="W138" s="746">
        <f t="shared" si="88"/>
        <v>12</v>
      </c>
      <c r="X138" s="758">
        <f t="shared" si="89"/>
        <v>239.99999999999994</v>
      </c>
      <c r="Y138" s="747">
        <f t="shared" si="90"/>
        <v>3.9370078740157481</v>
      </c>
      <c r="Z138" s="746">
        <f t="shared" si="91"/>
        <v>1</v>
      </c>
      <c r="AA138" s="746">
        <f t="shared" si="92"/>
        <v>75511590.911999986</v>
      </c>
      <c r="AB138" s="746">
        <f t="shared" si="93"/>
        <v>2.6666666666666661</v>
      </c>
      <c r="AC138" s="759" t="s">
        <v>594</v>
      </c>
      <c r="AD138" s="746">
        <f t="shared" ref="AD138:AD142" si="110">Z138*5</f>
        <v>5</v>
      </c>
      <c r="AE138" s="746">
        <f t="shared" si="94"/>
        <v>0.5</v>
      </c>
      <c r="AF138" s="746">
        <f t="shared" si="95"/>
        <v>0.60000000000000009</v>
      </c>
      <c r="AG138" s="746">
        <f t="shared" si="96"/>
        <v>1.4000000000000001</v>
      </c>
      <c r="AH138" s="746">
        <f t="shared" si="97"/>
        <v>6</v>
      </c>
      <c r="AI138" s="746">
        <f t="shared" si="98"/>
        <v>8.5</v>
      </c>
      <c r="AJ138" s="746">
        <f t="shared" si="99"/>
        <v>1</v>
      </c>
      <c r="AK138" s="746">
        <f t="shared" si="100"/>
        <v>0</v>
      </c>
      <c r="AL138" s="746">
        <f t="shared" si="101"/>
        <v>0</v>
      </c>
      <c r="AM138" s="746">
        <f t="shared" si="102"/>
        <v>0</v>
      </c>
      <c r="AN138" s="746">
        <f t="shared" si="103"/>
        <v>0</v>
      </c>
      <c r="AO138" s="746">
        <f t="shared" si="104"/>
        <v>0</v>
      </c>
      <c r="AP138" s="746">
        <f t="shared" si="105"/>
        <v>0</v>
      </c>
      <c r="AQ138" s="746">
        <f t="shared" si="106"/>
        <v>0</v>
      </c>
      <c r="AR138" s="746">
        <f t="shared" si="107"/>
        <v>0</v>
      </c>
    </row>
    <row r="139" spans="1:44">
      <c r="A139" s="746" t="s">
        <v>871</v>
      </c>
      <c r="B139" s="746">
        <v>149</v>
      </c>
      <c r="C139" s="747">
        <v>12.416666666666666</v>
      </c>
      <c r="D139" s="746">
        <f t="shared" si="78"/>
        <v>13</v>
      </c>
      <c r="E139" s="757">
        <f t="shared" si="79"/>
        <v>8.3122330494386044E-5</v>
      </c>
      <c r="F139" s="746">
        <v>26</v>
      </c>
      <c r="G139" s="746">
        <f t="shared" si="80"/>
        <v>1</v>
      </c>
      <c r="H139" s="746">
        <v>15</v>
      </c>
      <c r="I139" s="747">
        <f t="shared" si="83"/>
        <v>21.203963267916691</v>
      </c>
      <c r="J139" s="746">
        <f t="shared" si="81"/>
        <v>15</v>
      </c>
      <c r="K139" s="746">
        <v>600</v>
      </c>
      <c r="L139" s="746">
        <f t="shared" si="82"/>
        <v>1</v>
      </c>
      <c r="M139" s="746">
        <v>765</v>
      </c>
      <c r="N139" s="746">
        <v>455</v>
      </c>
      <c r="O139" s="746">
        <v>230</v>
      </c>
      <c r="P139" s="746">
        <v>1200</v>
      </c>
      <c r="Q139" s="746">
        <v>1080</v>
      </c>
      <c r="R139" s="746">
        <v>1200</v>
      </c>
      <c r="S139" s="746">
        <f t="shared" si="84"/>
        <v>5</v>
      </c>
      <c r="T139" s="746">
        <f t="shared" si="85"/>
        <v>1</v>
      </c>
      <c r="U139" s="746">
        <f t="shared" si="86"/>
        <v>2</v>
      </c>
      <c r="V139" s="746">
        <f t="shared" si="87"/>
        <v>5</v>
      </c>
      <c r="W139" s="746">
        <f t="shared" si="88"/>
        <v>10</v>
      </c>
      <c r="X139" s="758">
        <f t="shared" si="89"/>
        <v>212.03963267916691</v>
      </c>
      <c r="Y139" s="747">
        <f t="shared" si="90"/>
        <v>3.9370078740157481</v>
      </c>
      <c r="Z139" s="746">
        <f t="shared" si="91"/>
        <v>1</v>
      </c>
      <c r="AA139" s="746">
        <f t="shared" si="92"/>
        <v>80057250</v>
      </c>
      <c r="AB139" s="746">
        <f t="shared" si="93"/>
        <v>2.8271951023888922</v>
      </c>
      <c r="AC139" s="759" t="s">
        <v>594</v>
      </c>
      <c r="AD139" s="746">
        <f t="shared" si="110"/>
        <v>5</v>
      </c>
      <c r="AE139" s="746">
        <f t="shared" si="94"/>
        <v>0.5</v>
      </c>
      <c r="AF139" s="746">
        <f t="shared" si="95"/>
        <v>0.60000000000000009</v>
      </c>
      <c r="AG139" s="746">
        <f t="shared" si="96"/>
        <v>1.4000000000000001</v>
      </c>
      <c r="AH139" s="746">
        <f t="shared" si="97"/>
        <v>6</v>
      </c>
      <c r="AI139" s="746">
        <f t="shared" si="98"/>
        <v>8.5</v>
      </c>
      <c r="AJ139" s="746">
        <f t="shared" si="99"/>
        <v>1</v>
      </c>
      <c r="AK139" s="746">
        <f t="shared" si="100"/>
        <v>0</v>
      </c>
      <c r="AL139" s="746">
        <f t="shared" si="101"/>
        <v>0</v>
      </c>
      <c r="AM139" s="746">
        <f t="shared" si="102"/>
        <v>0</v>
      </c>
      <c r="AN139" s="746">
        <f t="shared" si="103"/>
        <v>0</v>
      </c>
      <c r="AO139" s="746">
        <f t="shared" si="104"/>
        <v>0</v>
      </c>
      <c r="AP139" s="746">
        <f t="shared" si="105"/>
        <v>0</v>
      </c>
      <c r="AQ139" s="746">
        <f t="shared" si="106"/>
        <v>0</v>
      </c>
      <c r="AR139" s="746">
        <f t="shared" si="107"/>
        <v>0</v>
      </c>
    </row>
    <row r="140" spans="1:44">
      <c r="A140" s="746" t="s">
        <v>872</v>
      </c>
      <c r="B140" s="746">
        <v>120</v>
      </c>
      <c r="C140" s="747">
        <v>10</v>
      </c>
      <c r="D140" s="746">
        <f t="shared" si="78"/>
        <v>10</v>
      </c>
      <c r="E140" s="757">
        <f t="shared" si="79"/>
        <v>6.3940254226450805E-5</v>
      </c>
      <c r="F140" s="746">
        <v>26</v>
      </c>
      <c r="G140" s="746">
        <f t="shared" si="80"/>
        <v>1</v>
      </c>
      <c r="H140" s="746">
        <v>15</v>
      </c>
      <c r="I140" s="747">
        <f t="shared" si="83"/>
        <v>4.6912003272825444</v>
      </c>
      <c r="J140" s="746">
        <f t="shared" si="81"/>
        <v>15</v>
      </c>
      <c r="K140" s="746">
        <v>600</v>
      </c>
      <c r="L140" s="746">
        <f t="shared" si="82"/>
        <v>1</v>
      </c>
      <c r="M140" s="746">
        <v>410</v>
      </c>
      <c r="N140" s="746">
        <v>240</v>
      </c>
      <c r="O140" s="746">
        <v>180</v>
      </c>
      <c r="P140" s="746">
        <v>1200</v>
      </c>
      <c r="Q140" s="746">
        <v>1080</v>
      </c>
      <c r="R140" s="746">
        <v>1200</v>
      </c>
      <c r="S140" s="746">
        <f t="shared" si="84"/>
        <v>7</v>
      </c>
      <c r="T140" s="746">
        <f t="shared" si="85"/>
        <v>2</v>
      </c>
      <c r="U140" s="746">
        <f t="shared" si="86"/>
        <v>4</v>
      </c>
      <c r="V140" s="746">
        <f t="shared" si="87"/>
        <v>7</v>
      </c>
      <c r="W140" s="746">
        <f t="shared" si="88"/>
        <v>56</v>
      </c>
      <c r="X140" s="758">
        <f t="shared" si="89"/>
        <v>262.70721832782249</v>
      </c>
      <c r="Y140" s="747">
        <f t="shared" si="90"/>
        <v>3.9370078740157481</v>
      </c>
      <c r="Z140" s="746">
        <f t="shared" si="91"/>
        <v>1</v>
      </c>
      <c r="AA140" s="746">
        <f t="shared" si="92"/>
        <v>17712000</v>
      </c>
      <c r="AB140" s="746">
        <f t="shared" si="93"/>
        <v>0.62549337697100593</v>
      </c>
      <c r="AC140" s="759" t="s">
        <v>594</v>
      </c>
      <c r="AD140" s="746">
        <f t="shared" si="110"/>
        <v>5</v>
      </c>
      <c r="AE140" s="746">
        <f t="shared" si="94"/>
        <v>0.5</v>
      </c>
      <c r="AF140" s="746">
        <f t="shared" si="95"/>
        <v>0.60000000000000009</v>
      </c>
      <c r="AG140" s="746">
        <f t="shared" si="96"/>
        <v>1.4000000000000001</v>
      </c>
      <c r="AH140" s="746">
        <f t="shared" si="97"/>
        <v>6</v>
      </c>
      <c r="AI140" s="746">
        <f t="shared" si="98"/>
        <v>8.5</v>
      </c>
      <c r="AJ140" s="746">
        <f t="shared" si="99"/>
        <v>1</v>
      </c>
      <c r="AK140" s="746">
        <f t="shared" si="100"/>
        <v>0</v>
      </c>
      <c r="AL140" s="746">
        <f t="shared" si="101"/>
        <v>0</v>
      </c>
      <c r="AM140" s="746">
        <f t="shared" si="102"/>
        <v>0</v>
      </c>
      <c r="AN140" s="746">
        <f t="shared" si="103"/>
        <v>0</v>
      </c>
      <c r="AO140" s="746">
        <f t="shared" si="104"/>
        <v>0</v>
      </c>
      <c r="AP140" s="746">
        <f t="shared" si="105"/>
        <v>0</v>
      </c>
      <c r="AQ140" s="746">
        <f t="shared" si="106"/>
        <v>0</v>
      </c>
      <c r="AR140" s="746">
        <f t="shared" si="107"/>
        <v>0</v>
      </c>
    </row>
    <row r="141" spans="1:44">
      <c r="A141" s="746" t="s">
        <v>873</v>
      </c>
      <c r="B141" s="746">
        <v>100</v>
      </c>
      <c r="C141" s="747">
        <v>8.3333333333333339</v>
      </c>
      <c r="D141" s="746">
        <f t="shared" si="78"/>
        <v>9</v>
      </c>
      <c r="E141" s="757">
        <f t="shared" si="79"/>
        <v>5.7546228803805723E-5</v>
      </c>
      <c r="F141" s="746">
        <v>26</v>
      </c>
      <c r="G141" s="746">
        <f t="shared" si="80"/>
        <v>1</v>
      </c>
      <c r="H141" s="746">
        <v>15</v>
      </c>
      <c r="I141" s="747">
        <f t="shared" si="83"/>
        <v>38.139840059207678</v>
      </c>
      <c r="J141" s="746">
        <f t="shared" si="81"/>
        <v>15</v>
      </c>
      <c r="K141" s="746">
        <v>600</v>
      </c>
      <c r="L141" s="746">
        <f t="shared" si="82"/>
        <v>1</v>
      </c>
      <c r="M141" s="746">
        <v>960</v>
      </c>
      <c r="N141" s="746">
        <v>500</v>
      </c>
      <c r="O141" s="746">
        <v>300</v>
      </c>
      <c r="P141" s="746">
        <v>1200</v>
      </c>
      <c r="Q141" s="746">
        <v>1080</v>
      </c>
      <c r="R141" s="746">
        <v>1200</v>
      </c>
      <c r="S141" s="746">
        <f t="shared" si="84"/>
        <v>4</v>
      </c>
      <c r="T141" s="746">
        <f t="shared" si="85"/>
        <v>1</v>
      </c>
      <c r="U141" s="746">
        <f t="shared" si="86"/>
        <v>2</v>
      </c>
      <c r="V141" s="746">
        <f t="shared" si="87"/>
        <v>4</v>
      </c>
      <c r="W141" s="746">
        <f t="shared" si="88"/>
        <v>8</v>
      </c>
      <c r="X141" s="758">
        <f t="shared" si="89"/>
        <v>305.11872047366143</v>
      </c>
      <c r="Y141" s="747">
        <f t="shared" si="90"/>
        <v>3.9370078740157481</v>
      </c>
      <c r="Z141" s="746">
        <f t="shared" si="91"/>
        <v>1</v>
      </c>
      <c r="AA141" s="746">
        <f t="shared" si="92"/>
        <v>144000000</v>
      </c>
      <c r="AB141" s="746">
        <f t="shared" si="93"/>
        <v>5.0853120078943572</v>
      </c>
      <c r="AC141" s="759" t="s">
        <v>594</v>
      </c>
      <c r="AD141" s="746">
        <f t="shared" si="110"/>
        <v>5</v>
      </c>
      <c r="AE141" s="746">
        <f t="shared" si="94"/>
        <v>0.5</v>
      </c>
      <c r="AF141" s="746">
        <f t="shared" si="95"/>
        <v>0.60000000000000009</v>
      </c>
      <c r="AG141" s="746">
        <f t="shared" si="96"/>
        <v>1.4000000000000001</v>
      </c>
      <c r="AH141" s="746">
        <f t="shared" si="97"/>
        <v>6</v>
      </c>
      <c r="AI141" s="746">
        <f t="shared" si="98"/>
        <v>8.5</v>
      </c>
      <c r="AJ141" s="746">
        <f t="shared" si="99"/>
        <v>1</v>
      </c>
      <c r="AK141" s="746">
        <f t="shared" si="100"/>
        <v>0</v>
      </c>
      <c r="AL141" s="746">
        <f t="shared" si="101"/>
        <v>0</v>
      </c>
      <c r="AM141" s="746">
        <f t="shared" si="102"/>
        <v>0</v>
      </c>
      <c r="AN141" s="746">
        <f t="shared" si="103"/>
        <v>0</v>
      </c>
      <c r="AO141" s="746">
        <f t="shared" si="104"/>
        <v>0</v>
      </c>
      <c r="AP141" s="746">
        <f t="shared" si="105"/>
        <v>0</v>
      </c>
      <c r="AQ141" s="746">
        <f t="shared" si="106"/>
        <v>0</v>
      </c>
      <c r="AR141" s="746">
        <f t="shared" si="107"/>
        <v>0</v>
      </c>
    </row>
    <row r="142" spans="1:44">
      <c r="A142" s="746" t="s">
        <v>874</v>
      </c>
      <c r="B142" s="746">
        <v>100</v>
      </c>
      <c r="C142" s="747">
        <v>8.3333333333333339</v>
      </c>
      <c r="D142" s="746">
        <f t="shared" si="78"/>
        <v>9</v>
      </c>
      <c r="E142" s="757">
        <f t="shared" si="79"/>
        <v>5.7546228803805723E-5</v>
      </c>
      <c r="F142" s="746">
        <v>26</v>
      </c>
      <c r="G142" s="746">
        <f t="shared" si="80"/>
        <v>1</v>
      </c>
      <c r="H142" s="746">
        <v>15</v>
      </c>
      <c r="I142" s="747">
        <f t="shared" si="83"/>
        <v>21.203963267916691</v>
      </c>
      <c r="J142" s="746">
        <f t="shared" si="81"/>
        <v>15</v>
      </c>
      <c r="K142" s="746">
        <v>600</v>
      </c>
      <c r="L142" s="746">
        <f t="shared" si="82"/>
        <v>1</v>
      </c>
      <c r="M142" s="746">
        <v>765</v>
      </c>
      <c r="N142" s="746">
        <v>455</v>
      </c>
      <c r="O142" s="746">
        <v>230</v>
      </c>
      <c r="P142" s="746">
        <v>1200</v>
      </c>
      <c r="Q142" s="746">
        <v>1080</v>
      </c>
      <c r="R142" s="746">
        <v>1200</v>
      </c>
      <c r="S142" s="746">
        <f t="shared" si="84"/>
        <v>5</v>
      </c>
      <c r="T142" s="746">
        <f t="shared" si="85"/>
        <v>1</v>
      </c>
      <c r="U142" s="746">
        <f t="shared" si="86"/>
        <v>2</v>
      </c>
      <c r="V142" s="746">
        <f t="shared" si="87"/>
        <v>5</v>
      </c>
      <c r="W142" s="746">
        <f t="shared" si="88"/>
        <v>10</v>
      </c>
      <c r="X142" s="758">
        <f t="shared" si="89"/>
        <v>212.03963267916691</v>
      </c>
      <c r="Y142" s="747">
        <f t="shared" si="90"/>
        <v>3.9370078740157481</v>
      </c>
      <c r="Z142" s="746">
        <f t="shared" si="91"/>
        <v>1</v>
      </c>
      <c r="AA142" s="746">
        <f t="shared" si="92"/>
        <v>80057250</v>
      </c>
      <c r="AB142" s="746">
        <f t="shared" si="93"/>
        <v>2.8271951023888922</v>
      </c>
      <c r="AC142" s="759" t="s">
        <v>594</v>
      </c>
      <c r="AD142" s="746">
        <f t="shared" si="110"/>
        <v>5</v>
      </c>
      <c r="AE142" s="746">
        <f t="shared" si="94"/>
        <v>0.5</v>
      </c>
      <c r="AF142" s="746">
        <f t="shared" si="95"/>
        <v>0.60000000000000009</v>
      </c>
      <c r="AG142" s="746">
        <f t="shared" si="96"/>
        <v>1.4000000000000001</v>
      </c>
      <c r="AH142" s="746">
        <f t="shared" si="97"/>
        <v>6</v>
      </c>
      <c r="AI142" s="746">
        <f t="shared" si="98"/>
        <v>8.5</v>
      </c>
      <c r="AJ142" s="746">
        <f t="shared" si="99"/>
        <v>1</v>
      </c>
      <c r="AK142" s="746">
        <f t="shared" si="100"/>
        <v>0</v>
      </c>
      <c r="AL142" s="746">
        <f t="shared" si="101"/>
        <v>0</v>
      </c>
      <c r="AM142" s="746">
        <f t="shared" si="102"/>
        <v>0</v>
      </c>
      <c r="AN142" s="746">
        <f t="shared" si="103"/>
        <v>0</v>
      </c>
      <c r="AO142" s="746">
        <f t="shared" si="104"/>
        <v>0</v>
      </c>
      <c r="AP142" s="746">
        <f t="shared" si="105"/>
        <v>0</v>
      </c>
      <c r="AQ142" s="746">
        <f t="shared" si="106"/>
        <v>0</v>
      </c>
      <c r="AR142" s="746">
        <f t="shared" si="107"/>
        <v>0</v>
      </c>
    </row>
    <row r="143" spans="1:44">
      <c r="A143" s="763" t="s">
        <v>875</v>
      </c>
      <c r="B143" s="746">
        <v>60</v>
      </c>
      <c r="C143" s="747">
        <v>5</v>
      </c>
      <c r="D143" s="746">
        <f t="shared" si="78"/>
        <v>5</v>
      </c>
      <c r="E143" s="757">
        <f t="shared" si="79"/>
        <v>3.1970127113225403E-5</v>
      </c>
      <c r="F143" s="746">
        <v>26</v>
      </c>
      <c r="G143" s="746">
        <f t="shared" si="80"/>
        <v>1</v>
      </c>
      <c r="H143" s="746">
        <v>15</v>
      </c>
      <c r="I143" s="747">
        <f t="shared" si="83"/>
        <v>30.9375</v>
      </c>
      <c r="J143" s="746">
        <f t="shared" si="81"/>
        <v>15</v>
      </c>
      <c r="K143" s="746">
        <v>600</v>
      </c>
      <c r="L143" s="746">
        <f t="shared" si="82"/>
        <v>1</v>
      </c>
      <c r="M143" s="746">
        <v>1371.6</v>
      </c>
      <c r="N143" s="746">
        <v>304.8</v>
      </c>
      <c r="O143" s="746">
        <v>279.39999999999998</v>
      </c>
      <c r="P143" s="746">
        <v>1500</v>
      </c>
      <c r="Q143" s="746">
        <v>1080</v>
      </c>
      <c r="R143" s="746">
        <v>1200</v>
      </c>
      <c r="S143" s="746">
        <f t="shared" si="84"/>
        <v>4</v>
      </c>
      <c r="T143" s="746">
        <f t="shared" si="85"/>
        <v>1</v>
      </c>
      <c r="U143" s="746">
        <f t="shared" si="86"/>
        <v>3</v>
      </c>
      <c r="V143" s="746">
        <f t="shared" si="87"/>
        <v>4</v>
      </c>
      <c r="W143" s="746">
        <f t="shared" si="88"/>
        <v>12</v>
      </c>
      <c r="X143" s="758">
        <f t="shared" si="89"/>
        <v>371.25</v>
      </c>
      <c r="Y143" s="747">
        <f t="shared" si="90"/>
        <v>3.9370078740157481</v>
      </c>
      <c r="Z143" s="746">
        <f t="shared" si="91"/>
        <v>1</v>
      </c>
      <c r="AA143" s="746">
        <f t="shared" si="92"/>
        <v>116806992.19199999</v>
      </c>
      <c r="AB143" s="746">
        <f t="shared" si="93"/>
        <v>4.125</v>
      </c>
      <c r="AC143" s="759" t="s">
        <v>595</v>
      </c>
      <c r="AD143" s="746">
        <f t="shared" si="108"/>
        <v>10</v>
      </c>
      <c r="AE143" s="746">
        <f t="shared" si="94"/>
        <v>0.5</v>
      </c>
      <c r="AF143" s="746">
        <f t="shared" si="95"/>
        <v>0.60000000000000009</v>
      </c>
      <c r="AG143" s="746">
        <f t="shared" si="96"/>
        <v>1.4000000000000001</v>
      </c>
      <c r="AH143" s="746">
        <f t="shared" si="97"/>
        <v>6</v>
      </c>
      <c r="AI143" s="746">
        <f t="shared" si="98"/>
        <v>8.5</v>
      </c>
      <c r="AJ143" s="746">
        <f t="shared" si="99"/>
        <v>1</v>
      </c>
      <c r="AK143" s="746">
        <f t="shared" si="100"/>
        <v>0</v>
      </c>
      <c r="AL143" s="746">
        <f t="shared" si="101"/>
        <v>0</v>
      </c>
      <c r="AM143" s="746">
        <f t="shared" si="102"/>
        <v>0</v>
      </c>
      <c r="AN143" s="746">
        <f t="shared" si="103"/>
        <v>0</v>
      </c>
      <c r="AO143" s="746">
        <f t="shared" si="104"/>
        <v>0</v>
      </c>
      <c r="AP143" s="746">
        <f t="shared" si="105"/>
        <v>0</v>
      </c>
      <c r="AQ143" s="746">
        <f t="shared" si="106"/>
        <v>0</v>
      </c>
      <c r="AR143" s="746">
        <f t="shared" si="107"/>
        <v>0</v>
      </c>
    </row>
    <row r="144" spans="1:44">
      <c r="A144" s="763" t="s">
        <v>876</v>
      </c>
      <c r="B144" s="746">
        <v>60</v>
      </c>
      <c r="C144" s="747">
        <v>5</v>
      </c>
      <c r="D144" s="746">
        <f t="shared" si="78"/>
        <v>5</v>
      </c>
      <c r="E144" s="757">
        <f t="shared" si="79"/>
        <v>3.1970127113225403E-5</v>
      </c>
      <c r="F144" s="746">
        <v>26</v>
      </c>
      <c r="G144" s="746">
        <f t="shared" si="80"/>
        <v>1</v>
      </c>
      <c r="H144" s="746">
        <v>15</v>
      </c>
      <c r="I144" s="747">
        <f t="shared" si="83"/>
        <v>52.864583333333329</v>
      </c>
      <c r="J144" s="746">
        <f t="shared" si="81"/>
        <v>15</v>
      </c>
      <c r="K144" s="746">
        <v>600</v>
      </c>
      <c r="L144" s="746">
        <f t="shared" si="82"/>
        <v>1</v>
      </c>
      <c r="M144" s="746">
        <v>1473.2</v>
      </c>
      <c r="N144" s="746">
        <v>533.4</v>
      </c>
      <c r="O144" s="746">
        <v>254</v>
      </c>
      <c r="P144" s="746">
        <v>1500</v>
      </c>
      <c r="Q144" s="746">
        <v>1080</v>
      </c>
      <c r="R144" s="746">
        <v>1200</v>
      </c>
      <c r="S144" s="746">
        <f t="shared" si="84"/>
        <v>5</v>
      </c>
      <c r="T144" s="746">
        <f t="shared" si="85"/>
        <v>1</v>
      </c>
      <c r="U144" s="746">
        <f t="shared" si="86"/>
        <v>2</v>
      </c>
      <c r="V144" s="746">
        <f t="shared" si="87"/>
        <v>5</v>
      </c>
      <c r="W144" s="746">
        <f t="shared" si="88"/>
        <v>10</v>
      </c>
      <c r="X144" s="758">
        <f t="shared" si="89"/>
        <v>528.64583333333326</v>
      </c>
      <c r="Y144" s="747">
        <f t="shared" si="90"/>
        <v>3.9370078740157481</v>
      </c>
      <c r="Z144" s="746">
        <f t="shared" si="91"/>
        <v>1</v>
      </c>
      <c r="AA144" s="746">
        <f t="shared" si="92"/>
        <v>199594439.52000001</v>
      </c>
      <c r="AB144" s="746">
        <f t="shared" si="93"/>
        <v>7.0486111111111107</v>
      </c>
      <c r="AC144" s="759" t="s">
        <v>595</v>
      </c>
      <c r="AD144" s="746">
        <f t="shared" si="108"/>
        <v>10</v>
      </c>
      <c r="AE144" s="746">
        <f t="shared" si="94"/>
        <v>0.5</v>
      </c>
      <c r="AF144" s="746">
        <f t="shared" si="95"/>
        <v>0.60000000000000009</v>
      </c>
      <c r="AG144" s="746">
        <f t="shared" si="96"/>
        <v>1.4000000000000001</v>
      </c>
      <c r="AH144" s="746">
        <f t="shared" si="97"/>
        <v>6</v>
      </c>
      <c r="AI144" s="746">
        <f t="shared" si="98"/>
        <v>8.5</v>
      </c>
      <c r="AJ144" s="746">
        <f t="shared" si="99"/>
        <v>1</v>
      </c>
      <c r="AK144" s="746">
        <f t="shared" si="100"/>
        <v>0</v>
      </c>
      <c r="AL144" s="746">
        <f t="shared" si="101"/>
        <v>0</v>
      </c>
      <c r="AM144" s="746">
        <f t="shared" si="102"/>
        <v>0</v>
      </c>
      <c r="AN144" s="746">
        <f t="shared" si="103"/>
        <v>0</v>
      </c>
      <c r="AO144" s="746">
        <f t="shared" si="104"/>
        <v>0</v>
      </c>
      <c r="AP144" s="746">
        <f t="shared" si="105"/>
        <v>0</v>
      </c>
      <c r="AQ144" s="746">
        <f t="shared" si="106"/>
        <v>0</v>
      </c>
      <c r="AR144" s="746">
        <f t="shared" si="107"/>
        <v>0</v>
      </c>
    </row>
    <row r="145" spans="1:44">
      <c r="A145" s="763" t="s">
        <v>877</v>
      </c>
      <c r="B145" s="746">
        <v>55</v>
      </c>
      <c r="C145" s="747">
        <v>4.583333333333333</v>
      </c>
      <c r="D145" s="746">
        <f t="shared" si="78"/>
        <v>5</v>
      </c>
      <c r="E145" s="757">
        <f t="shared" si="79"/>
        <v>3.1970127113225403E-5</v>
      </c>
      <c r="F145" s="746">
        <v>26</v>
      </c>
      <c r="G145" s="746">
        <f t="shared" si="80"/>
        <v>1</v>
      </c>
      <c r="H145" s="746">
        <v>15</v>
      </c>
      <c r="I145" s="747">
        <f t="shared" si="83"/>
        <v>62.500000000000007</v>
      </c>
      <c r="J145" s="746">
        <f t="shared" si="81"/>
        <v>15</v>
      </c>
      <c r="K145" s="746">
        <v>600</v>
      </c>
      <c r="L145" s="746">
        <f t="shared" si="82"/>
        <v>1</v>
      </c>
      <c r="M145" s="746">
        <v>1524</v>
      </c>
      <c r="N145" s="746">
        <v>609.6</v>
      </c>
      <c r="O145" s="746">
        <v>254</v>
      </c>
      <c r="P145" s="746">
        <v>1500</v>
      </c>
      <c r="Q145" s="746">
        <v>1080</v>
      </c>
      <c r="R145" s="746">
        <v>1200</v>
      </c>
      <c r="S145" s="746">
        <f t="shared" si="84"/>
        <v>5</v>
      </c>
      <c r="T145" s="746">
        <f>ROUNDUP(P145/M145,0)</f>
        <v>1</v>
      </c>
      <c r="U145" s="746">
        <f t="shared" si="86"/>
        <v>1</v>
      </c>
      <c r="V145" s="746">
        <f t="shared" si="87"/>
        <v>5</v>
      </c>
      <c r="W145" s="746">
        <f t="shared" si="88"/>
        <v>5</v>
      </c>
      <c r="X145" s="758">
        <f t="shared" si="89"/>
        <v>312.50000000000006</v>
      </c>
      <c r="Y145" s="747">
        <f t="shared" si="90"/>
        <v>3.9370078740157481</v>
      </c>
      <c r="Z145" s="746">
        <f t="shared" si="91"/>
        <v>1</v>
      </c>
      <c r="AA145" s="746">
        <f t="shared" si="92"/>
        <v>235973721.59999999</v>
      </c>
      <c r="AB145" s="746">
        <f t="shared" si="93"/>
        <v>8.3333333333333339</v>
      </c>
      <c r="AC145" s="759" t="s">
        <v>595</v>
      </c>
      <c r="AD145" s="746">
        <f t="shared" si="108"/>
        <v>10</v>
      </c>
      <c r="AE145" s="746">
        <f t="shared" si="94"/>
        <v>0.5</v>
      </c>
      <c r="AF145" s="746">
        <f t="shared" si="95"/>
        <v>0.60000000000000009</v>
      </c>
      <c r="AG145" s="746">
        <f t="shared" si="96"/>
        <v>1.4000000000000001</v>
      </c>
      <c r="AH145" s="746">
        <f t="shared" si="97"/>
        <v>6</v>
      </c>
      <c r="AI145" s="746">
        <f t="shared" si="98"/>
        <v>8.5</v>
      </c>
      <c r="AJ145" s="746">
        <f t="shared" si="99"/>
        <v>1</v>
      </c>
      <c r="AK145" s="746">
        <f t="shared" si="100"/>
        <v>0</v>
      </c>
      <c r="AL145" s="746">
        <f t="shared" si="101"/>
        <v>0</v>
      </c>
      <c r="AM145" s="746">
        <f t="shared" si="102"/>
        <v>0</v>
      </c>
      <c r="AN145" s="746">
        <f t="shared" si="103"/>
        <v>0</v>
      </c>
      <c r="AO145" s="746">
        <f t="shared" si="104"/>
        <v>0</v>
      </c>
      <c r="AP145" s="746">
        <f t="shared" si="105"/>
        <v>0</v>
      </c>
      <c r="AQ145" s="746">
        <f t="shared" si="106"/>
        <v>0</v>
      </c>
      <c r="AR145" s="746">
        <f t="shared" si="107"/>
        <v>0</v>
      </c>
    </row>
    <row r="146" spans="1:44">
      <c r="A146" s="746" t="s">
        <v>878</v>
      </c>
      <c r="B146" s="746">
        <v>53</v>
      </c>
      <c r="C146" s="747">
        <v>4.416666666666667</v>
      </c>
      <c r="D146" s="746">
        <f t="shared" si="78"/>
        <v>5</v>
      </c>
      <c r="E146" s="757">
        <f t="shared" si="79"/>
        <v>3.1970127113225403E-5</v>
      </c>
      <c r="F146" s="746">
        <v>26</v>
      </c>
      <c r="G146" s="746">
        <f t="shared" si="80"/>
        <v>1</v>
      </c>
      <c r="H146" s="746">
        <v>15</v>
      </c>
      <c r="I146" s="747">
        <f t="shared" si="83"/>
        <v>64.527456528871397</v>
      </c>
      <c r="J146" s="746">
        <f t="shared" si="81"/>
        <v>15</v>
      </c>
      <c r="K146" s="746">
        <v>600</v>
      </c>
      <c r="L146" s="746">
        <f t="shared" si="82"/>
        <v>1</v>
      </c>
      <c r="M146" s="746">
        <v>482.59999999999997</v>
      </c>
      <c r="N146" s="746">
        <v>1346.2</v>
      </c>
      <c r="O146" s="763">
        <v>375</v>
      </c>
      <c r="P146" s="746">
        <v>1200</v>
      </c>
      <c r="Q146" s="746">
        <v>1300</v>
      </c>
      <c r="R146" s="746">
        <v>1200</v>
      </c>
      <c r="S146" s="746">
        <f t="shared" si="84"/>
        <v>3</v>
      </c>
      <c r="T146" s="746">
        <f t="shared" si="85"/>
        <v>2</v>
      </c>
      <c r="U146" s="746">
        <f>ROUND(Q146/N146,0)</f>
        <v>1</v>
      </c>
      <c r="V146" s="746">
        <f t="shared" si="87"/>
        <v>3</v>
      </c>
      <c r="W146" s="746">
        <f t="shared" si="88"/>
        <v>6</v>
      </c>
      <c r="X146" s="758">
        <f t="shared" si="89"/>
        <v>387.16473917322838</v>
      </c>
      <c r="Y146" s="747">
        <f t="shared" si="90"/>
        <v>3.9370078740157481</v>
      </c>
      <c r="Z146" s="746">
        <f t="shared" si="91"/>
        <v>1</v>
      </c>
      <c r="AA146" s="746">
        <f t="shared" si="92"/>
        <v>243628545</v>
      </c>
      <c r="AB146" s="746">
        <f t="shared" si="93"/>
        <v>8.6036608705161868</v>
      </c>
      <c r="AC146" s="759" t="s">
        <v>594</v>
      </c>
      <c r="AD146" s="746">
        <f t="shared" ref="AD146:AD148" si="111">Z146*5</f>
        <v>5</v>
      </c>
      <c r="AE146" s="746">
        <f t="shared" si="94"/>
        <v>0.5</v>
      </c>
      <c r="AF146" s="746">
        <f t="shared" si="95"/>
        <v>0.60000000000000009</v>
      </c>
      <c r="AG146" s="746">
        <f t="shared" si="96"/>
        <v>1.4000000000000001</v>
      </c>
      <c r="AH146" s="746">
        <f t="shared" si="97"/>
        <v>6</v>
      </c>
      <c r="AI146" s="746">
        <f t="shared" si="98"/>
        <v>8.5</v>
      </c>
      <c r="AJ146" s="746">
        <f t="shared" si="99"/>
        <v>1</v>
      </c>
      <c r="AK146" s="746">
        <f t="shared" si="100"/>
        <v>0</v>
      </c>
      <c r="AL146" s="746">
        <f t="shared" si="101"/>
        <v>0</v>
      </c>
      <c r="AM146" s="746">
        <f t="shared" si="102"/>
        <v>0</v>
      </c>
      <c r="AN146" s="746">
        <f t="shared" si="103"/>
        <v>0</v>
      </c>
      <c r="AO146" s="746">
        <f t="shared" si="104"/>
        <v>0</v>
      </c>
      <c r="AP146" s="746">
        <f t="shared" si="105"/>
        <v>0</v>
      </c>
      <c r="AQ146" s="746">
        <f t="shared" si="106"/>
        <v>0</v>
      </c>
      <c r="AR146" s="746">
        <f t="shared" si="107"/>
        <v>0</v>
      </c>
    </row>
    <row r="147" spans="1:44">
      <c r="A147" s="746" t="s">
        <v>879</v>
      </c>
      <c r="B147" s="746">
        <v>20</v>
      </c>
      <c r="C147" s="747">
        <v>1.6666666666666667</v>
      </c>
      <c r="D147" s="746">
        <f t="shared" si="78"/>
        <v>2</v>
      </c>
      <c r="E147" s="757">
        <f t="shared" si="79"/>
        <v>1.278805084529016E-5</v>
      </c>
      <c r="F147" s="746">
        <v>26</v>
      </c>
      <c r="G147" s="746">
        <f t="shared" si="80"/>
        <v>1</v>
      </c>
      <c r="H147" s="746">
        <v>15</v>
      </c>
      <c r="I147" s="747">
        <f t="shared" si="83"/>
        <v>117.51838218243367</v>
      </c>
      <c r="J147" s="746">
        <f t="shared" si="81"/>
        <v>15</v>
      </c>
      <c r="K147" s="746">
        <v>600</v>
      </c>
      <c r="L147" s="746">
        <f t="shared" si="82"/>
        <v>1</v>
      </c>
      <c r="M147" s="746">
        <v>1160</v>
      </c>
      <c r="N147" s="746">
        <v>1020</v>
      </c>
      <c r="O147" s="763">
        <v>375</v>
      </c>
      <c r="P147" s="746">
        <v>1200</v>
      </c>
      <c r="Q147" s="746">
        <v>1080</v>
      </c>
      <c r="R147" s="746">
        <v>1200</v>
      </c>
      <c r="S147" s="746">
        <f t="shared" si="84"/>
        <v>3</v>
      </c>
      <c r="T147" s="746">
        <f t="shared" si="85"/>
        <v>1</v>
      </c>
      <c r="U147" s="746">
        <f t="shared" si="86"/>
        <v>1</v>
      </c>
      <c r="V147" s="746">
        <f t="shared" si="87"/>
        <v>3</v>
      </c>
      <c r="W147" s="746">
        <f t="shared" si="88"/>
        <v>3</v>
      </c>
      <c r="X147" s="758">
        <f t="shared" si="89"/>
        <v>352.55514654730098</v>
      </c>
      <c r="Y147" s="747">
        <f t="shared" si="90"/>
        <v>3.9370078740157481</v>
      </c>
      <c r="Z147" s="746">
        <f t="shared" si="91"/>
        <v>1</v>
      </c>
      <c r="AA147" s="746">
        <f t="shared" si="92"/>
        <v>443700000</v>
      </c>
      <c r="AB147" s="746">
        <f t="shared" si="93"/>
        <v>15.669117624324489</v>
      </c>
      <c r="AC147" s="759" t="s">
        <v>594</v>
      </c>
      <c r="AD147" s="746">
        <f t="shared" si="111"/>
        <v>5</v>
      </c>
      <c r="AE147" s="746">
        <f t="shared" si="94"/>
        <v>0.5</v>
      </c>
      <c r="AF147" s="746">
        <f t="shared" si="95"/>
        <v>0.60000000000000009</v>
      </c>
      <c r="AG147" s="746">
        <f t="shared" si="96"/>
        <v>1.4000000000000001</v>
      </c>
      <c r="AH147" s="746">
        <f t="shared" si="97"/>
        <v>6</v>
      </c>
      <c r="AI147" s="746">
        <f t="shared" si="98"/>
        <v>8.5</v>
      </c>
      <c r="AJ147" s="746">
        <f t="shared" si="99"/>
        <v>1</v>
      </c>
      <c r="AK147" s="746">
        <f t="shared" si="100"/>
        <v>0</v>
      </c>
      <c r="AL147" s="746">
        <f t="shared" si="101"/>
        <v>0</v>
      </c>
      <c r="AM147" s="746">
        <f t="shared" si="102"/>
        <v>0</v>
      </c>
      <c r="AN147" s="746">
        <f t="shared" si="103"/>
        <v>0</v>
      </c>
      <c r="AO147" s="746">
        <f t="shared" si="104"/>
        <v>0</v>
      </c>
      <c r="AP147" s="746">
        <f t="shared" si="105"/>
        <v>0</v>
      </c>
      <c r="AQ147" s="746">
        <f t="shared" si="106"/>
        <v>0</v>
      </c>
      <c r="AR147" s="746">
        <f t="shared" si="107"/>
        <v>0</v>
      </c>
    </row>
    <row r="148" spans="1:44">
      <c r="A148" s="746" t="s">
        <v>880</v>
      </c>
      <c r="B148" s="746">
        <v>10</v>
      </c>
      <c r="C148" s="747">
        <v>0.83333333333333337</v>
      </c>
      <c r="D148" s="746">
        <f t="shared" si="78"/>
        <v>1</v>
      </c>
      <c r="E148" s="757">
        <f t="shared" si="79"/>
        <v>6.3940254226450802E-6</v>
      </c>
      <c r="F148" s="746">
        <v>26</v>
      </c>
      <c r="G148" s="746">
        <f t="shared" si="80"/>
        <v>1</v>
      </c>
      <c r="H148" s="746">
        <v>15</v>
      </c>
      <c r="I148" s="747">
        <f t="shared" si="83"/>
        <v>151.10051135456601</v>
      </c>
      <c r="J148" s="746">
        <f t="shared" si="81"/>
        <v>15</v>
      </c>
      <c r="K148" s="746">
        <v>600</v>
      </c>
      <c r="L148" s="746">
        <f t="shared" si="82"/>
        <v>1</v>
      </c>
      <c r="M148" s="746">
        <v>1170</v>
      </c>
      <c r="N148" s="746">
        <v>1060</v>
      </c>
      <c r="O148" s="746">
        <v>460</v>
      </c>
      <c r="P148" s="746">
        <v>1200</v>
      </c>
      <c r="Q148" s="746">
        <v>1080</v>
      </c>
      <c r="R148" s="746">
        <v>1200</v>
      </c>
      <c r="S148" s="746">
        <f t="shared" si="84"/>
        <v>3</v>
      </c>
      <c r="T148" s="746">
        <f t="shared" si="85"/>
        <v>1</v>
      </c>
      <c r="U148" s="746">
        <f t="shared" si="86"/>
        <v>1</v>
      </c>
      <c r="V148" s="746">
        <f t="shared" si="87"/>
        <v>3</v>
      </c>
      <c r="W148" s="746">
        <f t="shared" si="88"/>
        <v>3</v>
      </c>
      <c r="X148" s="758">
        <f t="shared" si="89"/>
        <v>453.301534063698</v>
      </c>
      <c r="Y148" s="747">
        <f t="shared" si="90"/>
        <v>3.9370078740157481</v>
      </c>
      <c r="Z148" s="746">
        <f t="shared" si="91"/>
        <v>1</v>
      </c>
      <c r="AA148" s="746">
        <f t="shared" si="92"/>
        <v>570492000</v>
      </c>
      <c r="AB148" s="746">
        <f t="shared" si="93"/>
        <v>20.146734847275468</v>
      </c>
      <c r="AC148" s="759" t="s">
        <v>594</v>
      </c>
      <c r="AD148" s="746">
        <f t="shared" si="111"/>
        <v>5</v>
      </c>
      <c r="AE148" s="746">
        <f t="shared" si="94"/>
        <v>0.5</v>
      </c>
      <c r="AF148" s="746">
        <f t="shared" si="95"/>
        <v>0.60000000000000009</v>
      </c>
      <c r="AG148" s="746">
        <f t="shared" si="96"/>
        <v>1.4000000000000001</v>
      </c>
      <c r="AH148" s="746">
        <f t="shared" si="97"/>
        <v>6</v>
      </c>
      <c r="AI148" s="746">
        <f t="shared" si="98"/>
        <v>8.5</v>
      </c>
      <c r="AJ148" s="746">
        <f t="shared" si="99"/>
        <v>1</v>
      </c>
      <c r="AK148" s="746">
        <f t="shared" si="100"/>
        <v>0</v>
      </c>
      <c r="AL148" s="746">
        <f t="shared" si="101"/>
        <v>0</v>
      </c>
      <c r="AM148" s="746">
        <f t="shared" si="102"/>
        <v>0</v>
      </c>
      <c r="AN148" s="746">
        <f t="shared" si="103"/>
        <v>0</v>
      </c>
      <c r="AO148" s="746">
        <f t="shared" si="104"/>
        <v>0</v>
      </c>
      <c r="AP148" s="746">
        <f t="shared" si="105"/>
        <v>0</v>
      </c>
      <c r="AQ148" s="746">
        <f t="shared" si="106"/>
        <v>0</v>
      </c>
      <c r="AR148" s="746">
        <f t="shared" si="107"/>
        <v>0</v>
      </c>
    </row>
    <row r="149" spans="1:44">
      <c r="A149" s="764" t="s">
        <v>229</v>
      </c>
      <c r="B149" s="764">
        <f>SUM(B3:B148)</f>
        <v>1875950</v>
      </c>
      <c r="C149" s="764">
        <f>SUM(C3:C148)</f>
        <v>156329.16666666672</v>
      </c>
      <c r="D149" s="764">
        <f>SUM(D3:D148)</f>
        <v>156396</v>
      </c>
      <c r="E149" s="764"/>
      <c r="F149" s="764"/>
      <c r="G149" s="764">
        <f>SUM(G3:G148)</f>
        <v>6083</v>
      </c>
      <c r="H149" s="764"/>
      <c r="I149" s="764"/>
      <c r="J149" s="764">
        <f>SUM(J3:J148)</f>
        <v>91245</v>
      </c>
      <c r="K149" s="764"/>
      <c r="L149" s="764">
        <f>SUM(L3:L148)</f>
        <v>256</v>
      </c>
      <c r="M149" s="765"/>
      <c r="N149" s="765"/>
      <c r="O149" s="765"/>
      <c r="P149" s="765"/>
      <c r="Q149" s="765"/>
      <c r="R149" s="765"/>
      <c r="S149" s="765"/>
      <c r="T149" s="765"/>
      <c r="U149" s="765"/>
      <c r="V149" s="765"/>
      <c r="W149" s="765"/>
      <c r="X149" s="765"/>
      <c r="Y149" s="765"/>
      <c r="Z149" s="764">
        <f>SUM(Z3:Z148)</f>
        <v>497</v>
      </c>
      <c r="AA149" s="746"/>
      <c r="AB149" s="746">
        <f>MEDIAN(AB3:AB148)</f>
        <v>2.024634410252343</v>
      </c>
      <c r="AC149" s="746"/>
      <c r="AD149" s="746"/>
      <c r="AE149" s="746"/>
      <c r="AF149" s="746"/>
      <c r="AG149" s="746"/>
      <c r="AH149" s="746"/>
      <c r="AI149" s="746"/>
      <c r="AJ149" s="746"/>
      <c r="AK149" s="746"/>
      <c r="AL149" s="746"/>
      <c r="AM149" s="746"/>
      <c r="AN149" s="746"/>
      <c r="AO149" s="746"/>
      <c r="AP149" s="746"/>
      <c r="AQ149" s="746"/>
      <c r="AR149" s="746"/>
    </row>
    <row r="150" spans="1:44">
      <c r="A150" s="775"/>
      <c r="B150" s="775"/>
      <c r="C150" s="775"/>
      <c r="D150" s="775"/>
      <c r="E150" s="775"/>
      <c r="F150" s="775"/>
      <c r="G150" s="775"/>
      <c r="H150" s="775"/>
      <c r="I150" s="775"/>
      <c r="J150" s="775"/>
      <c r="K150" s="775"/>
      <c r="L150" s="775"/>
      <c r="M150" s="775"/>
      <c r="N150" s="775"/>
      <c r="O150" s="775"/>
      <c r="P150" s="775"/>
      <c r="Q150" s="775"/>
      <c r="R150" s="775"/>
      <c r="S150" s="775"/>
      <c r="T150" s="775"/>
      <c r="U150" s="775"/>
      <c r="V150" s="775"/>
      <c r="W150" s="775"/>
      <c r="X150" s="775"/>
      <c r="Y150" s="775"/>
      <c r="Z150" s="775"/>
      <c r="AA150" s="775"/>
      <c r="AB150" s="775">
        <f>AB149*7</f>
        <v>14.172440871766401</v>
      </c>
      <c r="AC150" s="775"/>
      <c r="AD150" s="775"/>
      <c r="AE150" s="775"/>
      <c r="AF150" s="775"/>
      <c r="AG150" s="775"/>
      <c r="AH150" s="775"/>
      <c r="AI150" s="775"/>
    </row>
  </sheetData>
  <mergeCells count="4">
    <mergeCell ref="M1:O1"/>
    <mergeCell ref="P1:R1"/>
    <mergeCell ref="AV2:AW2"/>
    <mergeCell ref="AV10:AW10"/>
  </mergeCells>
  <pageMargins left="0.7" right="0.7" top="0.75" bottom="0.75" header="0.3" footer="0.3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7A8D-6601-4588-A857-6AD75ADADDA9}">
  <dimension ref="A1:D18"/>
  <sheetViews>
    <sheetView workbookViewId="0">
      <selection activeCell="A2" sqref="A2"/>
    </sheetView>
  </sheetViews>
  <sheetFormatPr defaultRowHeight="15"/>
  <cols>
    <col min="1" max="1" width="10.625" bestFit="1" customWidth="1"/>
    <col min="2" max="2" width="11.125" bestFit="1" customWidth="1"/>
    <col min="3" max="3" width="12" bestFit="1" customWidth="1"/>
    <col min="4" max="4" width="12.875" bestFit="1" customWidth="1"/>
  </cols>
  <sheetData>
    <row r="1" spans="1:4">
      <c r="B1">
        <f>SUBTOTAL(9,B3:B18)</f>
        <v>1875950</v>
      </c>
      <c r="C1">
        <f>SUBTOTAL(9,C3:C18)</f>
        <v>258385.48672716177</v>
      </c>
      <c r="D1">
        <f>SUBTOTAL(9,D3:D18)</f>
        <v>258394</v>
      </c>
    </row>
    <row r="2" spans="1:4">
      <c r="A2" s="764" t="s">
        <v>921</v>
      </c>
      <c r="B2" s="764" t="s">
        <v>522</v>
      </c>
      <c r="C2" s="764" t="s">
        <v>710</v>
      </c>
      <c r="D2" s="764" t="s">
        <v>711</v>
      </c>
    </row>
    <row r="3" spans="1:4">
      <c r="A3" s="746" t="s">
        <v>902</v>
      </c>
      <c r="B3" s="746">
        <v>153382</v>
      </c>
      <c r="C3" s="746">
        <v>14465.816200466201</v>
      </c>
      <c r="D3" s="746">
        <f>ROUNDUP(C3,0)</f>
        <v>14466</v>
      </c>
    </row>
    <row r="4" spans="1:4">
      <c r="A4" s="746" t="s">
        <v>905</v>
      </c>
      <c r="B4" s="746">
        <v>167260</v>
      </c>
      <c r="C4" s="746">
        <v>24427.077422577422</v>
      </c>
      <c r="D4" s="746">
        <f t="shared" ref="D4:D18" si="0">ROUNDUP(C4,0)</f>
        <v>24428</v>
      </c>
    </row>
    <row r="5" spans="1:4">
      <c r="A5" s="746" t="s">
        <v>912</v>
      </c>
      <c r="B5" s="746">
        <v>117223</v>
      </c>
      <c r="C5" s="746">
        <v>24457.064102564102</v>
      </c>
      <c r="D5" s="746">
        <f t="shared" si="0"/>
        <v>24458</v>
      </c>
    </row>
    <row r="6" spans="1:4">
      <c r="A6" s="746" t="s">
        <v>910</v>
      </c>
      <c r="B6" s="746">
        <v>102585</v>
      </c>
      <c r="C6" s="746">
        <v>17656.936172161171</v>
      </c>
      <c r="D6" s="746">
        <f t="shared" si="0"/>
        <v>17657</v>
      </c>
    </row>
    <row r="7" spans="1:4">
      <c r="A7" s="746" t="s">
        <v>900</v>
      </c>
      <c r="B7" s="746">
        <v>89525</v>
      </c>
      <c r="C7" s="746">
        <v>11258.127106227106</v>
      </c>
      <c r="D7" s="746">
        <f t="shared" si="0"/>
        <v>11259</v>
      </c>
    </row>
    <row r="8" spans="1:4">
      <c r="A8" s="746" t="s">
        <v>911</v>
      </c>
      <c r="B8" s="746">
        <v>74166</v>
      </c>
      <c r="C8" s="746">
        <v>11059.068026418028</v>
      </c>
      <c r="D8" s="746">
        <f t="shared" si="0"/>
        <v>11060</v>
      </c>
    </row>
    <row r="9" spans="1:4">
      <c r="A9" s="746" t="s">
        <v>906</v>
      </c>
      <c r="B9" s="746">
        <v>323403</v>
      </c>
      <c r="C9" s="746">
        <v>39472.679292929293</v>
      </c>
      <c r="D9" s="746">
        <f t="shared" si="0"/>
        <v>39473</v>
      </c>
    </row>
    <row r="10" spans="1:4">
      <c r="A10" s="746" t="s">
        <v>907</v>
      </c>
      <c r="B10" s="746">
        <v>208500</v>
      </c>
      <c r="C10" s="746">
        <v>25797.086305361307</v>
      </c>
      <c r="D10" s="746">
        <f t="shared" si="0"/>
        <v>25798</v>
      </c>
    </row>
    <row r="11" spans="1:4">
      <c r="A11" s="746" t="s">
        <v>909</v>
      </c>
      <c r="B11" s="746">
        <v>149759</v>
      </c>
      <c r="C11" s="746">
        <v>18311.555111555113</v>
      </c>
      <c r="D11" s="746">
        <f t="shared" si="0"/>
        <v>18312</v>
      </c>
    </row>
    <row r="12" spans="1:4">
      <c r="A12" s="746" t="s">
        <v>916</v>
      </c>
      <c r="B12" s="746">
        <v>78924</v>
      </c>
      <c r="C12" s="746">
        <v>7726.6439393939399</v>
      </c>
      <c r="D12" s="746">
        <f t="shared" si="0"/>
        <v>7727</v>
      </c>
    </row>
    <row r="13" spans="1:4">
      <c r="A13" s="746" t="s">
        <v>913</v>
      </c>
      <c r="B13" s="746">
        <v>1440</v>
      </c>
      <c r="C13" s="746">
        <v>510</v>
      </c>
      <c r="D13" s="746">
        <f t="shared" si="0"/>
        <v>510</v>
      </c>
    </row>
    <row r="14" spans="1:4">
      <c r="A14" s="746" t="s">
        <v>901</v>
      </c>
      <c r="B14" s="746">
        <v>49779</v>
      </c>
      <c r="C14" s="746">
        <v>9772.3209956709979</v>
      </c>
      <c r="D14" s="746">
        <f t="shared" si="0"/>
        <v>9773</v>
      </c>
    </row>
    <row r="15" spans="1:4">
      <c r="A15" s="746" t="s">
        <v>904</v>
      </c>
      <c r="B15" s="746">
        <v>165817</v>
      </c>
      <c r="C15" s="746">
        <v>26034.584615384618</v>
      </c>
      <c r="D15" s="746">
        <f t="shared" si="0"/>
        <v>26035</v>
      </c>
    </row>
    <row r="16" spans="1:4">
      <c r="A16" s="746" t="s">
        <v>908</v>
      </c>
      <c r="B16" s="746">
        <v>78213</v>
      </c>
      <c r="C16" s="746">
        <v>9138.5512820512831</v>
      </c>
      <c r="D16" s="746">
        <f t="shared" si="0"/>
        <v>9139</v>
      </c>
    </row>
    <row r="17" spans="1:4">
      <c r="A17" s="746" t="s">
        <v>903</v>
      </c>
      <c r="B17" s="746">
        <v>102739</v>
      </c>
      <c r="C17" s="746">
        <v>15870.85277777778</v>
      </c>
      <c r="D17" s="746">
        <f t="shared" si="0"/>
        <v>15871</v>
      </c>
    </row>
    <row r="18" spans="1:4">
      <c r="A18" s="746" t="s">
        <v>898</v>
      </c>
      <c r="B18" s="746">
        <v>13235</v>
      </c>
      <c r="C18" s="746">
        <v>2427.1233766233763</v>
      </c>
      <c r="D18" s="746">
        <f t="shared" si="0"/>
        <v>2428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0F9E-C402-45B1-8B7D-E6EB666EAEBD}">
  <dimension ref="A1:W10"/>
  <sheetViews>
    <sheetView topLeftCell="P4" workbookViewId="0">
      <selection activeCell="X14" sqref="X14"/>
    </sheetView>
  </sheetViews>
  <sheetFormatPr defaultRowHeight="15"/>
  <cols>
    <col min="1" max="1" width="5.75" bestFit="1" customWidth="1"/>
    <col min="2" max="2" width="21.125" bestFit="1" customWidth="1"/>
    <col min="3" max="3" width="23.625" customWidth="1"/>
    <col min="4" max="4" width="35.125" customWidth="1"/>
    <col min="5" max="8" width="9" bestFit="1" customWidth="1"/>
    <col min="9" max="9" width="5.75" bestFit="1" customWidth="1"/>
    <col min="10" max="10" width="7.875" bestFit="1" customWidth="1"/>
    <col min="11" max="11" width="9" bestFit="1" customWidth="1"/>
    <col min="12" max="12" width="6.375" bestFit="1" customWidth="1"/>
    <col min="13" max="14" width="6.875" bestFit="1" customWidth="1"/>
    <col min="15" max="15" width="6.25" bestFit="1" customWidth="1"/>
    <col min="16" max="16" width="6.625" bestFit="1" customWidth="1"/>
    <col min="17" max="17" width="7.25" bestFit="1" customWidth="1"/>
    <col min="20" max="20" width="34" bestFit="1" customWidth="1"/>
    <col min="21" max="21" width="21.125" bestFit="1" customWidth="1"/>
    <col min="22" max="22" width="12" bestFit="1" customWidth="1"/>
    <col min="23" max="23" width="15" bestFit="1" customWidth="1"/>
    <col min="24" max="24" width="19.375" bestFit="1" customWidth="1"/>
    <col min="25" max="25" width="13.125" bestFit="1" customWidth="1"/>
    <col min="26" max="26" width="13.75" bestFit="1" customWidth="1"/>
    <col min="27" max="27" width="12.625" bestFit="1" customWidth="1"/>
    <col min="28" max="28" width="13.25" bestFit="1" customWidth="1"/>
    <col min="29" max="29" width="12.875" bestFit="1" customWidth="1"/>
    <col min="30" max="30" width="12.375" bestFit="1" customWidth="1"/>
    <col min="31" max="31" width="12.875" bestFit="1" customWidth="1"/>
    <col min="32" max="33" width="13.25" bestFit="1" customWidth="1"/>
  </cols>
  <sheetData>
    <row r="1" spans="1:23" ht="15.75">
      <c r="A1" s="776" t="s">
        <v>922</v>
      </c>
      <c r="B1" s="776" t="s">
        <v>117</v>
      </c>
      <c r="C1" s="777" t="s">
        <v>923</v>
      </c>
      <c r="D1" s="776" t="s">
        <v>924</v>
      </c>
      <c r="E1" s="778" t="s">
        <v>925</v>
      </c>
      <c r="F1" s="778" t="s">
        <v>926</v>
      </c>
      <c r="G1" s="778" t="s">
        <v>927</v>
      </c>
      <c r="H1" s="778" t="s">
        <v>928</v>
      </c>
      <c r="I1" s="778" t="s">
        <v>929</v>
      </c>
      <c r="J1" s="778" t="s">
        <v>930</v>
      </c>
      <c r="K1" s="778" t="s">
        <v>931</v>
      </c>
      <c r="L1" s="778" t="s">
        <v>932</v>
      </c>
      <c r="M1" s="778" t="s">
        <v>933</v>
      </c>
      <c r="N1" s="778" t="s">
        <v>934</v>
      </c>
      <c r="O1" s="778" t="s">
        <v>935</v>
      </c>
      <c r="P1" s="778" t="s">
        <v>936</v>
      </c>
      <c r="Q1" s="778" t="s">
        <v>937</v>
      </c>
      <c r="R1" s="778" t="s">
        <v>229</v>
      </c>
      <c r="S1" s="778" t="s">
        <v>710</v>
      </c>
      <c r="T1" s="750"/>
      <c r="U1" s="240" t="s">
        <v>709</v>
      </c>
      <c r="V1" t="s">
        <v>938</v>
      </c>
      <c r="W1" t="s">
        <v>897</v>
      </c>
    </row>
    <row r="2" spans="1:23" ht="47.25">
      <c r="A2" s="769">
        <v>1</v>
      </c>
      <c r="B2" s="761" t="s">
        <v>939</v>
      </c>
      <c r="C2" s="779" t="s">
        <v>940</v>
      </c>
      <c r="D2" s="780" t="s">
        <v>941</v>
      </c>
      <c r="E2" s="781">
        <v>2010</v>
      </c>
      <c r="F2" s="781">
        <v>1942</v>
      </c>
      <c r="G2" s="781">
        <v>2154</v>
      </c>
      <c r="H2" s="781">
        <v>2433</v>
      </c>
      <c r="I2" s="781">
        <v>2310</v>
      </c>
      <c r="J2" s="781">
        <v>2204</v>
      </c>
      <c r="K2" s="781">
        <v>2372</v>
      </c>
      <c r="L2" s="781">
        <v>2470</v>
      </c>
      <c r="M2" s="781">
        <v>2823</v>
      </c>
      <c r="N2" s="781">
        <v>1699</v>
      </c>
      <c r="O2" s="781">
        <v>2389</v>
      </c>
      <c r="P2" s="781">
        <v>2619</v>
      </c>
      <c r="Q2" s="781">
        <v>2308</v>
      </c>
      <c r="R2" s="746">
        <f>SUM(E2:Q2)</f>
        <v>29733</v>
      </c>
      <c r="S2" s="746">
        <f>R2/12</f>
        <v>2477.75</v>
      </c>
      <c r="U2" s="6" t="s">
        <v>939</v>
      </c>
      <c r="V2">
        <v>29733</v>
      </c>
      <c r="W2">
        <v>2477.75</v>
      </c>
    </row>
    <row r="3" spans="1:23" ht="47.25">
      <c r="A3" s="769">
        <v>2</v>
      </c>
      <c r="B3" s="761" t="s">
        <v>942</v>
      </c>
      <c r="C3" s="779" t="s">
        <v>943</v>
      </c>
      <c r="D3" s="782" t="s">
        <v>944</v>
      </c>
      <c r="E3" s="781">
        <v>6133</v>
      </c>
      <c r="F3" s="781">
        <v>5071</v>
      </c>
      <c r="G3" s="781">
        <v>7095</v>
      </c>
      <c r="H3" s="781">
        <v>8116</v>
      </c>
      <c r="I3" s="781">
        <v>6215</v>
      </c>
      <c r="J3" s="781">
        <v>5598</v>
      </c>
      <c r="K3" s="781">
        <v>6150</v>
      </c>
      <c r="L3" s="781">
        <v>6908</v>
      </c>
      <c r="M3" s="781">
        <v>7209</v>
      </c>
      <c r="N3" s="781">
        <v>7374</v>
      </c>
      <c r="O3" s="781">
        <v>5746</v>
      </c>
      <c r="P3" s="781">
        <v>8185</v>
      </c>
      <c r="Q3" s="781">
        <v>6409</v>
      </c>
      <c r="R3" s="746">
        <f t="shared" ref="R3:R8" si="0">SUM(E3:Q3)</f>
        <v>86209</v>
      </c>
      <c r="S3" s="746">
        <f t="shared" ref="S3:S7" si="1">R3/12</f>
        <v>7184.083333333333</v>
      </c>
      <c r="U3" s="6" t="s">
        <v>945</v>
      </c>
    </row>
    <row r="4" spans="1:23" ht="110.25">
      <c r="A4" s="769">
        <v>3</v>
      </c>
      <c r="B4" s="761" t="s">
        <v>946</v>
      </c>
      <c r="C4" s="779" t="s">
        <v>947</v>
      </c>
      <c r="D4" s="782" t="s">
        <v>948</v>
      </c>
      <c r="E4" s="781">
        <v>6000</v>
      </c>
      <c r="F4" s="781">
        <v>4182</v>
      </c>
      <c r="G4" s="781">
        <v>5454</v>
      </c>
      <c r="H4" s="781">
        <v>5907</v>
      </c>
      <c r="I4" s="781">
        <v>4594</v>
      </c>
      <c r="J4" s="781">
        <v>4161</v>
      </c>
      <c r="K4" s="781">
        <v>4394</v>
      </c>
      <c r="L4" s="781">
        <v>4704</v>
      </c>
      <c r="M4" s="781">
        <v>4792</v>
      </c>
      <c r="N4" s="781">
        <v>7377</v>
      </c>
      <c r="O4" s="781">
        <v>4149</v>
      </c>
      <c r="P4" s="781">
        <v>5124</v>
      </c>
      <c r="Q4" s="781">
        <v>5839</v>
      </c>
      <c r="R4" s="746">
        <f t="shared" si="0"/>
        <v>66677</v>
      </c>
      <c r="S4" s="746">
        <f t="shared" si="1"/>
        <v>5556.416666666667</v>
      </c>
      <c r="U4" s="6" t="s">
        <v>949</v>
      </c>
      <c r="V4">
        <v>26392.75</v>
      </c>
      <c r="W4">
        <v>2199.3958333333335</v>
      </c>
    </row>
    <row r="5" spans="1:23" ht="15.75">
      <c r="A5" s="769">
        <v>4</v>
      </c>
      <c r="B5" s="761" t="s">
        <v>950</v>
      </c>
      <c r="C5" s="783" t="s">
        <v>951</v>
      </c>
      <c r="D5" s="782"/>
      <c r="E5" s="781">
        <v>27</v>
      </c>
      <c r="F5" s="781">
        <v>6</v>
      </c>
      <c r="G5" s="781">
        <v>9</v>
      </c>
      <c r="H5" s="781"/>
      <c r="I5" s="781"/>
      <c r="J5" s="781"/>
      <c r="K5" s="781"/>
      <c r="L5" s="781"/>
      <c r="M5" s="781"/>
      <c r="N5" s="781"/>
      <c r="O5" s="781"/>
      <c r="P5" s="781"/>
      <c r="Q5" s="781"/>
      <c r="R5" s="746">
        <f t="shared" si="0"/>
        <v>42</v>
      </c>
      <c r="S5" s="746">
        <f t="shared" si="1"/>
        <v>3.5</v>
      </c>
      <c r="U5" s="6" t="s">
        <v>950</v>
      </c>
      <c r="V5">
        <v>42</v>
      </c>
      <c r="W5">
        <v>3.5</v>
      </c>
    </row>
    <row r="6" spans="1:23" ht="31.5">
      <c r="A6" s="769">
        <v>5</v>
      </c>
      <c r="B6" s="761" t="s">
        <v>952</v>
      </c>
      <c r="C6" s="779" t="s">
        <v>953</v>
      </c>
      <c r="D6" s="782" t="s">
        <v>954</v>
      </c>
      <c r="E6" s="781">
        <v>4247</v>
      </c>
      <c r="F6" s="781">
        <v>3241</v>
      </c>
      <c r="G6" s="781">
        <v>5213</v>
      </c>
      <c r="H6" s="781">
        <v>4835</v>
      </c>
      <c r="I6" s="781">
        <v>4887</v>
      </c>
      <c r="J6" s="781">
        <v>4671</v>
      </c>
      <c r="K6" s="781">
        <v>2595</v>
      </c>
      <c r="L6" s="781">
        <v>3518</v>
      </c>
      <c r="M6" s="781">
        <v>5813</v>
      </c>
      <c r="N6" s="781">
        <v>3462</v>
      </c>
      <c r="O6" s="781">
        <v>4760</v>
      </c>
      <c r="P6" s="781">
        <v>4584</v>
      </c>
      <c r="Q6" s="781">
        <v>4705</v>
      </c>
      <c r="R6" s="746">
        <f t="shared" si="0"/>
        <v>56531</v>
      </c>
      <c r="S6" s="746">
        <f t="shared" si="1"/>
        <v>4710.916666666667</v>
      </c>
      <c r="U6" s="6" t="s">
        <v>946</v>
      </c>
      <c r="V6">
        <v>66677</v>
      </c>
      <c r="W6">
        <v>5556.416666666667</v>
      </c>
    </row>
    <row r="7" spans="1:23" ht="15.75">
      <c r="A7" s="769">
        <v>6</v>
      </c>
      <c r="B7" s="761" t="s">
        <v>949</v>
      </c>
      <c r="C7" s="779" t="s">
        <v>910</v>
      </c>
      <c r="D7" s="782" t="s">
        <v>955</v>
      </c>
      <c r="E7" s="781">
        <v>2476.85</v>
      </c>
      <c r="F7" s="781">
        <v>2121.65</v>
      </c>
      <c r="G7" s="781">
        <v>2211.9499999999998</v>
      </c>
      <c r="H7" s="781">
        <v>2257.75</v>
      </c>
      <c r="I7" s="781">
        <v>1676</v>
      </c>
      <c r="J7" s="781">
        <v>1706.3</v>
      </c>
      <c r="K7" s="781">
        <v>2266.25</v>
      </c>
      <c r="L7" s="781">
        <v>1780</v>
      </c>
      <c r="M7" s="781">
        <v>1760</v>
      </c>
      <c r="N7" s="781">
        <v>2090</v>
      </c>
      <c r="O7" s="781">
        <v>1843</v>
      </c>
      <c r="P7" s="781">
        <v>2327</v>
      </c>
      <c r="Q7" s="781">
        <v>1876</v>
      </c>
      <c r="R7" s="746">
        <f t="shared" si="0"/>
        <v>26392.75</v>
      </c>
      <c r="S7" s="746">
        <f t="shared" si="1"/>
        <v>2199.3958333333335</v>
      </c>
      <c r="U7" s="6" t="s">
        <v>952</v>
      </c>
      <c r="V7">
        <v>56531</v>
      </c>
      <c r="W7">
        <v>4710.916666666667</v>
      </c>
    </row>
    <row r="8" spans="1:23" ht="15.75">
      <c r="A8" s="769">
        <v>7</v>
      </c>
      <c r="B8" s="761" t="s">
        <v>956</v>
      </c>
      <c r="C8" s="779"/>
      <c r="D8" s="782"/>
      <c r="E8" s="781"/>
      <c r="F8" s="781"/>
      <c r="G8" s="781"/>
      <c r="H8" s="781"/>
      <c r="I8" s="781"/>
      <c r="J8" s="781"/>
      <c r="K8" s="781"/>
      <c r="L8" s="781"/>
      <c r="M8" s="781"/>
      <c r="N8" s="781"/>
      <c r="O8" s="781">
        <v>800</v>
      </c>
      <c r="P8" s="781">
        <v>180</v>
      </c>
      <c r="Q8" s="781">
        <v>0</v>
      </c>
      <c r="R8" s="746">
        <f t="shared" si="0"/>
        <v>980</v>
      </c>
      <c r="S8" s="746">
        <f t="shared" ref="S8" si="2">AVERAGE(E8:Q8)</f>
        <v>326.66666666666669</v>
      </c>
      <c r="U8" s="6" t="s">
        <v>956</v>
      </c>
      <c r="V8">
        <v>980</v>
      </c>
      <c r="W8">
        <v>326.66666666666669</v>
      </c>
    </row>
    <row r="9" spans="1:23" ht="15.75">
      <c r="A9" s="769">
        <v>8</v>
      </c>
      <c r="B9" s="761" t="s">
        <v>945</v>
      </c>
      <c r="C9" s="779"/>
      <c r="D9" s="784"/>
      <c r="E9" s="781"/>
      <c r="F9" s="781"/>
      <c r="G9" s="781"/>
      <c r="H9" s="781"/>
      <c r="I9" s="781"/>
      <c r="J9" s="781"/>
      <c r="K9" s="781"/>
      <c r="L9" s="781"/>
      <c r="M9" s="781"/>
      <c r="N9" s="781"/>
      <c r="O9" s="781"/>
      <c r="P9" s="781"/>
      <c r="Q9" s="781"/>
      <c r="R9" s="746"/>
      <c r="S9" s="746"/>
      <c r="U9" s="6" t="s">
        <v>942</v>
      </c>
      <c r="V9">
        <v>86209</v>
      </c>
      <c r="W9">
        <v>7184.083333333333</v>
      </c>
    </row>
    <row r="10" spans="1:23">
      <c r="U10" s="6" t="s">
        <v>522</v>
      </c>
      <c r="V10">
        <v>266564.75</v>
      </c>
      <c r="W10">
        <v>22458.729166666668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F8FC-A0ED-4905-A329-D6BEDDF3E162}">
  <dimension ref="A1:AW19"/>
  <sheetViews>
    <sheetView topLeftCell="A3" workbookViewId="0">
      <selection activeCell="G16" sqref="G16"/>
    </sheetView>
  </sheetViews>
  <sheetFormatPr defaultRowHeight="15"/>
  <cols>
    <col min="1" max="1" width="21.125" bestFit="1" customWidth="1"/>
    <col min="2" max="2" width="9.625" bestFit="1" customWidth="1"/>
    <col min="3" max="3" width="8.625" bestFit="1" customWidth="1"/>
    <col min="4" max="4" width="12.875" bestFit="1" customWidth="1"/>
    <col min="5" max="5" width="12.875" customWidth="1"/>
    <col min="6" max="6" width="5.125" bestFit="1" customWidth="1"/>
    <col min="7" max="7" width="11.125" bestFit="1" customWidth="1"/>
    <col min="8" max="9" width="13.75" customWidth="1"/>
    <col min="10" max="10" width="10.125" customWidth="1"/>
    <col min="11" max="11" width="12.625" customWidth="1"/>
    <col min="48" max="48" width="13.125" bestFit="1" customWidth="1"/>
    <col min="49" max="49" width="25.125" bestFit="1" customWidth="1"/>
    <col min="50" max="50" width="14.875" bestFit="1" customWidth="1"/>
  </cols>
  <sheetData>
    <row r="1" spans="1:49">
      <c r="B1">
        <f>SUBTOTAL(9,B3:B16)</f>
        <v>266564.75</v>
      </c>
      <c r="C1">
        <f>SUBTOTAL(9,C3:C16)</f>
        <v>22458.729166666668</v>
      </c>
      <c r="D1">
        <f>SUBTOTAL(9,D3:D16)</f>
        <v>22462</v>
      </c>
      <c r="E1">
        <f>SUBTOTAL(9,E3:E16)</f>
        <v>23082</v>
      </c>
      <c r="G1">
        <f>SUBTOTAL(9,G3:G16)</f>
        <v>868</v>
      </c>
      <c r="L1">
        <f>SUBTOTAL(9,L3:L16)</f>
        <v>30</v>
      </c>
      <c r="N1">
        <f>SUBTOTAL(9,N3:N18)</f>
        <v>872</v>
      </c>
      <c r="O1" s="785" t="s">
        <v>189</v>
      </c>
      <c r="P1" s="317"/>
      <c r="Q1" s="317"/>
      <c r="R1" s="785" t="s">
        <v>957</v>
      </c>
      <c r="S1" s="317"/>
      <c r="T1" s="317"/>
      <c r="AB1">
        <f>SUBTOTAL(9,AB3:AB18)</f>
        <v>70</v>
      </c>
      <c r="AG1" s="771">
        <v>1</v>
      </c>
      <c r="AH1" s="771">
        <v>3</v>
      </c>
      <c r="AI1" s="771">
        <v>7</v>
      </c>
      <c r="AJ1" s="771">
        <v>60</v>
      </c>
      <c r="AL1" s="246">
        <v>0.5</v>
      </c>
      <c r="AM1" s="246">
        <v>0.2</v>
      </c>
      <c r="AN1" s="246">
        <v>0.2</v>
      </c>
      <c r="AO1" s="246">
        <v>0.1</v>
      </c>
      <c r="AP1" s="4">
        <v>1</v>
      </c>
      <c r="AQ1" s="4">
        <v>3</v>
      </c>
      <c r="AR1" s="4">
        <v>7</v>
      </c>
      <c r="AS1" s="4">
        <v>60</v>
      </c>
      <c r="AT1">
        <f>SUBTOTAL(9,AT3:AT148)</f>
        <v>505</v>
      </c>
      <c r="AV1" s="756" t="s">
        <v>730</v>
      </c>
      <c r="AW1" s="756"/>
    </row>
    <row r="2" spans="1:49" ht="45">
      <c r="A2" s="750" t="s">
        <v>709</v>
      </c>
      <c r="B2" s="750" t="s">
        <v>229</v>
      </c>
      <c r="C2" s="750" t="s">
        <v>710</v>
      </c>
      <c r="D2" s="750" t="s">
        <v>711</v>
      </c>
      <c r="E2" s="751" t="s">
        <v>712</v>
      </c>
      <c r="F2" s="750" t="s">
        <v>121</v>
      </c>
      <c r="G2" s="750" t="s">
        <v>958</v>
      </c>
      <c r="H2" s="786" t="s">
        <v>959</v>
      </c>
      <c r="I2" s="787" t="s">
        <v>717</v>
      </c>
      <c r="J2" s="786" t="s">
        <v>960</v>
      </c>
      <c r="K2" s="752" t="s">
        <v>719</v>
      </c>
      <c r="L2" s="752" t="s">
        <v>720</v>
      </c>
      <c r="M2" s="752" t="s">
        <v>133</v>
      </c>
      <c r="N2" s="752" t="s">
        <v>958</v>
      </c>
      <c r="O2" s="752" t="s">
        <v>721</v>
      </c>
      <c r="P2" s="752" t="s">
        <v>722</v>
      </c>
      <c r="Q2" s="752" t="s">
        <v>723</v>
      </c>
      <c r="R2" s="752" t="s">
        <v>721</v>
      </c>
      <c r="S2" s="752" t="s">
        <v>722</v>
      </c>
      <c r="T2" s="752" t="s">
        <v>723</v>
      </c>
      <c r="U2" s="753" t="s">
        <v>724</v>
      </c>
      <c r="V2" s="753" t="s">
        <v>721</v>
      </c>
      <c r="W2" s="753" t="s">
        <v>722</v>
      </c>
      <c r="X2" s="753" t="s">
        <v>723</v>
      </c>
      <c r="Y2" s="753" t="s">
        <v>229</v>
      </c>
      <c r="Z2" s="753" t="s">
        <v>961</v>
      </c>
      <c r="AA2" s="753" t="s">
        <v>726</v>
      </c>
      <c r="AB2" s="753" t="s">
        <v>720</v>
      </c>
      <c r="AC2" s="753" t="s">
        <v>594</v>
      </c>
      <c r="AD2" s="753" t="s">
        <v>161</v>
      </c>
      <c r="AE2" s="753" t="s">
        <v>962</v>
      </c>
      <c r="AF2" s="753" t="s">
        <v>108</v>
      </c>
      <c r="AG2" s="754">
        <v>0.5</v>
      </c>
      <c r="AH2" s="754">
        <v>0.2</v>
      </c>
      <c r="AI2" s="754">
        <v>0.2</v>
      </c>
      <c r="AJ2" s="754">
        <v>0.1</v>
      </c>
      <c r="AK2" s="754" t="s">
        <v>963</v>
      </c>
      <c r="AL2" s="755" t="s">
        <v>918</v>
      </c>
      <c r="AM2" s="755" t="s">
        <v>918</v>
      </c>
      <c r="AN2" s="755" t="s">
        <v>918</v>
      </c>
      <c r="AO2" s="755" t="s">
        <v>918</v>
      </c>
      <c r="AP2" s="755" t="s">
        <v>175</v>
      </c>
      <c r="AQ2" s="755" t="s">
        <v>175</v>
      </c>
      <c r="AR2" s="755" t="s">
        <v>175</v>
      </c>
      <c r="AS2" s="755" t="s">
        <v>175</v>
      </c>
      <c r="AT2" s="755" t="s">
        <v>919</v>
      </c>
      <c r="AV2" s="240" t="s">
        <v>709</v>
      </c>
      <c r="AW2" t="s">
        <v>920</v>
      </c>
    </row>
    <row r="3" spans="1:49">
      <c r="A3" s="746" t="s">
        <v>939</v>
      </c>
      <c r="B3" s="747">
        <v>29733</v>
      </c>
      <c r="C3" s="747">
        <v>2477.75</v>
      </c>
      <c r="D3" s="746">
        <f>ROUNDUP(C3,0)</f>
        <v>2478</v>
      </c>
      <c r="E3" s="759">
        <v>2433</v>
      </c>
      <c r="F3" s="746">
        <v>26</v>
      </c>
      <c r="G3" s="746">
        <f>ROUNDUP(D3/F3,0)</f>
        <v>96</v>
      </c>
      <c r="H3" s="746">
        <v>18</v>
      </c>
      <c r="I3" s="746">
        <f>AD3*7.5</f>
        <v>13.984608021709482</v>
      </c>
      <c r="J3" s="746">
        <f>G3*H3</f>
        <v>1728</v>
      </c>
      <c r="K3" s="746">
        <v>600</v>
      </c>
      <c r="L3" s="746">
        <f>ROUNDUP(J3/K3,0)</f>
        <v>3</v>
      </c>
      <c r="M3" s="788">
        <v>0.33300000000000002</v>
      </c>
      <c r="N3" s="789">
        <f>ROUNDUP($G$3*M3,0)</f>
        <v>32</v>
      </c>
      <c r="O3" s="746">
        <v>600</v>
      </c>
      <c r="P3" s="746">
        <v>400</v>
      </c>
      <c r="Q3" s="746">
        <v>220</v>
      </c>
      <c r="R3" s="746">
        <v>1200</v>
      </c>
      <c r="S3" s="746">
        <v>1080</v>
      </c>
      <c r="T3" s="746">
        <v>1200</v>
      </c>
      <c r="U3" s="746">
        <f>X3</f>
        <v>5</v>
      </c>
      <c r="V3" s="746">
        <f>ROUNDDOWN(R3/O3,0)</f>
        <v>2</v>
      </c>
      <c r="W3" s="746">
        <f>ROUNDDOWN(S3/P3,0)</f>
        <v>2</v>
      </c>
      <c r="X3" s="746">
        <f>ROUND(T3/Q3,0)</f>
        <v>5</v>
      </c>
      <c r="Y3" s="746">
        <f>V3*W3*X3</f>
        <v>20</v>
      </c>
      <c r="Z3" s="758">
        <f>Y3*$I$3</f>
        <v>279.69216043418965</v>
      </c>
      <c r="AA3" s="747">
        <f>CONVERT(T3,"mm","ft")</f>
        <v>3.9370078740157481</v>
      </c>
      <c r="AB3" s="746">
        <f>ROUNDUP(N3/Y3*1.05,0)</f>
        <v>2</v>
      </c>
      <c r="AC3" s="746">
        <f>O3*P3*Q3</f>
        <v>52800000</v>
      </c>
      <c r="AD3" s="746">
        <f>CONVERT(AC3,"mm^3","ft^3")</f>
        <v>1.8646144028945977</v>
      </c>
      <c r="AE3" s="759" t="s">
        <v>594</v>
      </c>
      <c r="AF3" s="746">
        <f>AB3*10</f>
        <v>20</v>
      </c>
      <c r="AG3" s="758">
        <f>(AB3*$AG$2)*$AG$1</f>
        <v>1</v>
      </c>
      <c r="AH3" s="758">
        <f>(AB3*$AH$2)*$AH$1</f>
        <v>1.2000000000000002</v>
      </c>
      <c r="AI3" s="758">
        <f>(AB3*$AI$2)*$AI$1</f>
        <v>2.8000000000000003</v>
      </c>
      <c r="AJ3" s="758">
        <f>(AB3*$AJ$2)*$AJ$1</f>
        <v>12</v>
      </c>
      <c r="AK3" s="758">
        <f>SUM(AG3:AJ3)</f>
        <v>17</v>
      </c>
      <c r="AL3" s="4">
        <f>ROUND(N3*$AL$1,0)</f>
        <v>16</v>
      </c>
      <c r="AM3" s="4">
        <f>ROUND(N3*$AM$1,0)</f>
        <v>6</v>
      </c>
      <c r="AN3" s="4">
        <f>ROUND(N3*$AN$1,0)</f>
        <v>6</v>
      </c>
      <c r="AO3" s="4">
        <f>ROUND(N3*$AO$1,0)</f>
        <v>3</v>
      </c>
      <c r="AP3" s="4">
        <f>IFERROR(ROUND(AL3/Y3*$AP$1,0),0)</f>
        <v>1</v>
      </c>
      <c r="AQ3" s="4">
        <f>IFERROR(ROUND(AM3/Y3*$AQ$1,0),0)</f>
        <v>1</v>
      </c>
      <c r="AR3" s="4">
        <f>IFERROR(ROUND(AN3/Y3*$AR$1,0),0)</f>
        <v>2</v>
      </c>
      <c r="AS3" s="4">
        <f>IFERROR(ROUND(AO3/Y3*$AS$1,0),0)</f>
        <v>9</v>
      </c>
      <c r="AT3" s="4">
        <f>SUM(AP3:AS3)</f>
        <v>13</v>
      </c>
      <c r="AV3" s="6" t="s">
        <v>594</v>
      </c>
      <c r="AW3" s="4">
        <v>492</v>
      </c>
    </row>
    <row r="4" spans="1:49">
      <c r="A4" s="746"/>
      <c r="B4" s="747"/>
      <c r="C4" s="747"/>
      <c r="D4" s="746"/>
      <c r="E4" s="746"/>
      <c r="F4" s="746"/>
      <c r="G4" s="746"/>
      <c r="H4" s="746"/>
      <c r="I4" s="746">
        <f t="shared" ref="I4:I19" si="0">AD4*7.5</f>
        <v>26.486000041116444</v>
      </c>
      <c r="J4" s="746"/>
      <c r="K4" s="746"/>
      <c r="L4" s="746"/>
      <c r="M4" s="788">
        <v>0.33300000000000002</v>
      </c>
      <c r="N4" s="789">
        <f>ROUNDUP($G$3*M4,0)</f>
        <v>32</v>
      </c>
      <c r="O4" s="746">
        <v>1000</v>
      </c>
      <c r="P4" s="746">
        <v>400</v>
      </c>
      <c r="Q4" s="746">
        <v>250</v>
      </c>
      <c r="R4" s="746">
        <v>1200</v>
      </c>
      <c r="S4" s="746">
        <v>1080</v>
      </c>
      <c r="T4" s="746">
        <v>1200</v>
      </c>
      <c r="U4" s="746">
        <f t="shared" ref="U4:U18" si="1">X4</f>
        <v>5</v>
      </c>
      <c r="V4" s="746">
        <f t="shared" ref="V4:V18" si="2">ROUNDDOWN(R4/O4,0)</f>
        <v>1</v>
      </c>
      <c r="W4" s="746">
        <f t="shared" ref="W4:W18" si="3">ROUNDDOWN(S4/P4,0)</f>
        <v>2</v>
      </c>
      <c r="X4" s="746">
        <f t="shared" ref="X4:X18" si="4">ROUND(T4/Q4,0)</f>
        <v>5</v>
      </c>
      <c r="Y4" s="746">
        <f t="shared" ref="Y4:Y18" si="5">V4*W4*X4</f>
        <v>10</v>
      </c>
      <c r="Z4" s="758">
        <f t="shared" ref="Z4:Z18" si="6">Y4*$I$3</f>
        <v>139.84608021709482</v>
      </c>
      <c r="AA4" s="747">
        <f t="shared" ref="AA4:AA18" si="7">CONVERT(T4,"mm","ft")</f>
        <v>3.9370078740157481</v>
      </c>
      <c r="AB4" s="746">
        <f t="shared" ref="AB4:AB18" si="8">ROUNDUP(N4/Y4*1.05,0)</f>
        <v>4</v>
      </c>
      <c r="AC4" s="746">
        <f t="shared" ref="AC4:AC18" si="9">O4*P4*Q4</f>
        <v>100000000</v>
      </c>
      <c r="AD4" s="746">
        <f t="shared" ref="AD4:AD18" si="10">CONVERT(AC4,"mm^3","ft^3")</f>
        <v>3.5314666721488592</v>
      </c>
      <c r="AE4" s="759" t="s">
        <v>594</v>
      </c>
      <c r="AF4" s="746">
        <f t="shared" ref="AF4:AF18" si="11">AB4*10</f>
        <v>40</v>
      </c>
      <c r="AG4" s="758">
        <f t="shared" ref="AG4:AG18" si="12">(AB4*$AG$2)*$AG$1</f>
        <v>2</v>
      </c>
      <c r="AH4" s="758">
        <f t="shared" ref="AH4:AH18" si="13">(AB4*$AH$2)*$AH$1</f>
        <v>2.4000000000000004</v>
      </c>
      <c r="AI4" s="758">
        <f t="shared" ref="AI4:AI18" si="14">(AB4*$AI$2)*$AI$1</f>
        <v>5.6000000000000005</v>
      </c>
      <c r="AJ4" s="758">
        <f t="shared" ref="AJ4:AJ18" si="15">(AB4*$AJ$2)*$AJ$1</f>
        <v>24</v>
      </c>
      <c r="AK4" s="758">
        <f t="shared" ref="AK4:AK18" si="16">SUM(AG4:AJ4)</f>
        <v>34</v>
      </c>
      <c r="AL4" s="4">
        <f t="shared" ref="AL4:AL18" si="17">ROUND(N4*$AL$1,0)</f>
        <v>16</v>
      </c>
      <c r="AM4" s="4">
        <f t="shared" ref="AM4:AM18" si="18">ROUND(N4*$AM$1,0)</f>
        <v>6</v>
      </c>
      <c r="AN4" s="4">
        <f t="shared" ref="AN4:AN18" si="19">ROUND(N4*$AN$1,0)</f>
        <v>6</v>
      </c>
      <c r="AO4" s="4">
        <f t="shared" ref="AO4:AO18" si="20">ROUND(N4*$AO$1,0)</f>
        <v>3</v>
      </c>
      <c r="AP4" s="4">
        <f t="shared" ref="AP4:AP18" si="21">IFERROR(ROUND(AL4/Y4*$AP$1,0),0)</f>
        <v>2</v>
      </c>
      <c r="AQ4" s="4">
        <f t="shared" ref="AQ4:AQ18" si="22">IFERROR(ROUND(AM4/Y4*$AQ$1,0),0)</f>
        <v>2</v>
      </c>
      <c r="AR4" s="4">
        <f t="shared" ref="AR4:AR18" si="23">IFERROR(ROUND(AN4/Y4*$AR$1,0),0)</f>
        <v>4</v>
      </c>
      <c r="AS4" s="4">
        <f t="shared" ref="AS4:AS18" si="24">IFERROR(ROUND(AO4/Y4*$AS$1,0),0)</f>
        <v>18</v>
      </c>
      <c r="AT4" s="4">
        <f t="shared" ref="AT4:AT18" si="25">SUM(AP4:AS4)</f>
        <v>26</v>
      </c>
      <c r="AV4" s="6" t="s">
        <v>598</v>
      </c>
      <c r="AW4" s="4">
        <v>26</v>
      </c>
    </row>
    <row r="5" spans="1:49">
      <c r="A5" s="746"/>
      <c r="B5" s="747"/>
      <c r="C5" s="747"/>
      <c r="D5" s="746"/>
      <c r="E5" s="746"/>
      <c r="F5" s="746"/>
      <c r="G5" s="746"/>
      <c r="H5" s="746"/>
      <c r="I5" s="746">
        <f t="shared" si="0"/>
        <v>38.404700059618847</v>
      </c>
      <c r="J5" s="746"/>
      <c r="K5" s="746"/>
      <c r="L5" s="746"/>
      <c r="M5" s="788">
        <v>0.33300000000000002</v>
      </c>
      <c r="N5" s="789">
        <f>ROUNDUP($G$3*M5,0)</f>
        <v>32</v>
      </c>
      <c r="O5" s="746">
        <v>1450</v>
      </c>
      <c r="P5" s="746">
        <v>400</v>
      </c>
      <c r="Q5" s="746">
        <v>250</v>
      </c>
      <c r="R5" s="746">
        <v>1500</v>
      </c>
      <c r="S5" s="746">
        <v>1080</v>
      </c>
      <c r="T5" s="746">
        <v>1200</v>
      </c>
      <c r="U5" s="746">
        <f t="shared" si="1"/>
        <v>5</v>
      </c>
      <c r="V5" s="746">
        <f t="shared" si="2"/>
        <v>1</v>
      </c>
      <c r="W5" s="746">
        <f t="shared" si="3"/>
        <v>2</v>
      </c>
      <c r="X5" s="746">
        <f t="shared" si="4"/>
        <v>5</v>
      </c>
      <c r="Y5" s="746">
        <f t="shared" si="5"/>
        <v>10</v>
      </c>
      <c r="Z5" s="758">
        <f t="shared" si="6"/>
        <v>139.84608021709482</v>
      </c>
      <c r="AA5" s="747">
        <f t="shared" si="7"/>
        <v>3.9370078740157481</v>
      </c>
      <c r="AB5" s="746">
        <f t="shared" si="8"/>
        <v>4</v>
      </c>
      <c r="AC5" s="746">
        <f t="shared" si="9"/>
        <v>145000000</v>
      </c>
      <c r="AD5" s="746">
        <f t="shared" si="10"/>
        <v>5.1206266746158464</v>
      </c>
      <c r="AE5" s="759" t="s">
        <v>598</v>
      </c>
      <c r="AF5" s="746">
        <f t="shared" si="11"/>
        <v>40</v>
      </c>
      <c r="AG5" s="758">
        <f t="shared" si="12"/>
        <v>2</v>
      </c>
      <c r="AH5" s="758">
        <f t="shared" si="13"/>
        <v>2.4000000000000004</v>
      </c>
      <c r="AI5" s="758">
        <f t="shared" si="14"/>
        <v>5.6000000000000005</v>
      </c>
      <c r="AJ5" s="758">
        <f t="shared" si="15"/>
        <v>24</v>
      </c>
      <c r="AK5" s="758">
        <f t="shared" si="16"/>
        <v>34</v>
      </c>
      <c r="AL5" s="4">
        <f t="shared" si="17"/>
        <v>16</v>
      </c>
      <c r="AM5" s="4">
        <f t="shared" si="18"/>
        <v>6</v>
      </c>
      <c r="AN5" s="4">
        <f t="shared" si="19"/>
        <v>6</v>
      </c>
      <c r="AO5" s="4">
        <f t="shared" si="20"/>
        <v>3</v>
      </c>
      <c r="AP5" s="4">
        <f t="shared" si="21"/>
        <v>2</v>
      </c>
      <c r="AQ5" s="4">
        <f t="shared" si="22"/>
        <v>2</v>
      </c>
      <c r="AR5" s="4">
        <f t="shared" si="23"/>
        <v>4</v>
      </c>
      <c r="AS5" s="4">
        <f t="shared" si="24"/>
        <v>18</v>
      </c>
      <c r="AT5" s="4">
        <f t="shared" si="25"/>
        <v>26</v>
      </c>
      <c r="AV5" s="6" t="s">
        <v>522</v>
      </c>
      <c r="AW5" s="4">
        <v>518</v>
      </c>
    </row>
    <row r="6" spans="1:49">
      <c r="A6" s="746" t="s">
        <v>949</v>
      </c>
      <c r="B6" s="747">
        <v>26392.75</v>
      </c>
      <c r="C6" s="747">
        <v>2199.3958333333335</v>
      </c>
      <c r="D6" s="746">
        <f t="shared" ref="D6:D16" si="26">ROUNDUP(C6,0)</f>
        <v>2200</v>
      </c>
      <c r="E6" s="759">
        <v>2258</v>
      </c>
      <c r="F6" s="746">
        <v>26</v>
      </c>
      <c r="G6" s="746">
        <f t="shared" ref="G6:G8" si="27">ROUNDUP(D6/F6,0)</f>
        <v>85</v>
      </c>
      <c r="H6" s="746">
        <v>18</v>
      </c>
      <c r="I6" s="746">
        <f t="shared" si="0"/>
        <v>22.883904035524608</v>
      </c>
      <c r="J6" s="746">
        <f t="shared" ref="J6:J16" si="28">G6*H6</f>
        <v>1530</v>
      </c>
      <c r="K6" s="746">
        <v>600</v>
      </c>
      <c r="L6" s="746">
        <f t="shared" ref="L6:L16" si="29">ROUNDUP(J6/K6,0)</f>
        <v>3</v>
      </c>
      <c r="M6" s="790">
        <v>1</v>
      </c>
      <c r="N6" s="746">
        <f>G6*M6</f>
        <v>85</v>
      </c>
      <c r="O6" s="746">
        <v>600</v>
      </c>
      <c r="P6" s="746">
        <v>400</v>
      </c>
      <c r="Q6" s="746">
        <v>360</v>
      </c>
      <c r="R6" s="746">
        <v>1200</v>
      </c>
      <c r="S6" s="746">
        <v>1080</v>
      </c>
      <c r="T6" s="746">
        <v>1200</v>
      </c>
      <c r="U6" s="746">
        <f t="shared" si="1"/>
        <v>3</v>
      </c>
      <c r="V6" s="746">
        <f t="shared" si="2"/>
        <v>2</v>
      </c>
      <c r="W6" s="746">
        <f t="shared" si="3"/>
        <v>2</v>
      </c>
      <c r="X6" s="746">
        <f t="shared" si="4"/>
        <v>3</v>
      </c>
      <c r="Y6" s="746">
        <f t="shared" si="5"/>
        <v>12</v>
      </c>
      <c r="Z6" s="758">
        <f t="shared" si="6"/>
        <v>167.81529626051378</v>
      </c>
      <c r="AA6" s="747">
        <f t="shared" si="7"/>
        <v>3.9370078740157481</v>
      </c>
      <c r="AB6" s="746">
        <f t="shared" si="8"/>
        <v>8</v>
      </c>
      <c r="AC6" s="746">
        <f t="shared" si="9"/>
        <v>86400000</v>
      </c>
      <c r="AD6" s="746">
        <f t="shared" si="10"/>
        <v>3.0511872047366144</v>
      </c>
      <c r="AE6" s="759" t="s">
        <v>594</v>
      </c>
      <c r="AF6" s="746">
        <f t="shared" si="11"/>
        <v>80</v>
      </c>
      <c r="AG6" s="758">
        <f t="shared" si="12"/>
        <v>4</v>
      </c>
      <c r="AH6" s="758">
        <f t="shared" si="13"/>
        <v>4.8000000000000007</v>
      </c>
      <c r="AI6" s="758">
        <f t="shared" si="14"/>
        <v>11.200000000000001</v>
      </c>
      <c r="AJ6" s="758">
        <f t="shared" si="15"/>
        <v>48</v>
      </c>
      <c r="AK6" s="758">
        <f t="shared" si="16"/>
        <v>68</v>
      </c>
      <c r="AL6" s="4">
        <f t="shared" si="17"/>
        <v>43</v>
      </c>
      <c r="AM6" s="4">
        <f t="shared" si="18"/>
        <v>17</v>
      </c>
      <c r="AN6" s="4">
        <f t="shared" si="19"/>
        <v>17</v>
      </c>
      <c r="AO6" s="4">
        <f t="shared" si="20"/>
        <v>9</v>
      </c>
      <c r="AP6" s="4">
        <f t="shared" si="21"/>
        <v>4</v>
      </c>
      <c r="AQ6" s="4">
        <f t="shared" si="22"/>
        <v>4</v>
      </c>
      <c r="AR6" s="4">
        <f t="shared" si="23"/>
        <v>10</v>
      </c>
      <c r="AS6" s="4">
        <f t="shared" si="24"/>
        <v>45</v>
      </c>
      <c r="AT6" s="4">
        <f t="shared" si="25"/>
        <v>63</v>
      </c>
    </row>
    <row r="7" spans="1:49">
      <c r="A7" s="746" t="s">
        <v>950</v>
      </c>
      <c r="B7" s="747">
        <v>42</v>
      </c>
      <c r="C7" s="747">
        <v>3.5</v>
      </c>
      <c r="D7" s="746">
        <f t="shared" si="26"/>
        <v>4</v>
      </c>
      <c r="E7" s="759">
        <v>18</v>
      </c>
      <c r="F7" s="746">
        <v>26</v>
      </c>
      <c r="G7" s="746">
        <f t="shared" si="27"/>
        <v>1</v>
      </c>
      <c r="H7" s="746">
        <v>18</v>
      </c>
      <c r="I7" s="746">
        <f t="shared" si="0"/>
        <v>22.883904035524608</v>
      </c>
      <c r="J7" s="746">
        <f t="shared" si="28"/>
        <v>18</v>
      </c>
      <c r="K7" s="746">
        <v>600</v>
      </c>
      <c r="L7" s="746">
        <f t="shared" si="29"/>
        <v>1</v>
      </c>
      <c r="M7" s="790">
        <v>1</v>
      </c>
      <c r="N7" s="746">
        <f>G7*M7</f>
        <v>1</v>
      </c>
      <c r="O7" s="746">
        <v>600</v>
      </c>
      <c r="P7" s="746">
        <v>400</v>
      </c>
      <c r="Q7" s="746">
        <v>360</v>
      </c>
      <c r="R7" s="746">
        <v>1200</v>
      </c>
      <c r="S7" s="746">
        <v>1080</v>
      </c>
      <c r="T7" s="746">
        <v>1200</v>
      </c>
      <c r="U7" s="746">
        <f t="shared" si="1"/>
        <v>3</v>
      </c>
      <c r="V7" s="746">
        <f t="shared" si="2"/>
        <v>2</v>
      </c>
      <c r="W7" s="746">
        <f t="shared" si="3"/>
        <v>2</v>
      </c>
      <c r="X7" s="746">
        <f t="shared" si="4"/>
        <v>3</v>
      </c>
      <c r="Y7" s="746">
        <f t="shared" si="5"/>
        <v>12</v>
      </c>
      <c r="Z7" s="758">
        <f t="shared" si="6"/>
        <v>167.81529626051378</v>
      </c>
      <c r="AA7" s="747">
        <f t="shared" si="7"/>
        <v>3.9370078740157481</v>
      </c>
      <c r="AB7" s="746">
        <f t="shared" si="8"/>
        <v>1</v>
      </c>
      <c r="AC7" s="746">
        <f t="shared" si="9"/>
        <v>86400000</v>
      </c>
      <c r="AD7" s="746">
        <f t="shared" si="10"/>
        <v>3.0511872047366144</v>
      </c>
      <c r="AE7" s="759" t="s">
        <v>594</v>
      </c>
      <c r="AF7" s="746">
        <f t="shared" si="11"/>
        <v>10</v>
      </c>
      <c r="AG7" s="758">
        <f t="shared" si="12"/>
        <v>0.5</v>
      </c>
      <c r="AH7" s="758">
        <f t="shared" si="13"/>
        <v>0.60000000000000009</v>
      </c>
      <c r="AI7" s="758">
        <f t="shared" si="14"/>
        <v>1.4000000000000001</v>
      </c>
      <c r="AJ7" s="758">
        <f t="shared" si="15"/>
        <v>6</v>
      </c>
      <c r="AK7" s="758">
        <f t="shared" si="16"/>
        <v>8.5</v>
      </c>
      <c r="AL7" s="4">
        <f t="shared" si="17"/>
        <v>1</v>
      </c>
      <c r="AM7" s="4">
        <f t="shared" si="18"/>
        <v>0</v>
      </c>
      <c r="AN7" s="4">
        <f t="shared" si="19"/>
        <v>0</v>
      </c>
      <c r="AO7" s="4">
        <f t="shared" si="20"/>
        <v>0</v>
      </c>
      <c r="AP7" s="4">
        <f t="shared" si="21"/>
        <v>0</v>
      </c>
      <c r="AQ7" s="4">
        <f t="shared" si="22"/>
        <v>0</v>
      </c>
      <c r="AR7" s="4">
        <f t="shared" si="23"/>
        <v>0</v>
      </c>
      <c r="AS7" s="4">
        <f t="shared" si="24"/>
        <v>0</v>
      </c>
      <c r="AT7" s="4">
        <f t="shared" si="25"/>
        <v>0</v>
      </c>
      <c r="AV7" s="785" t="s">
        <v>741</v>
      </c>
      <c r="AW7" s="785"/>
    </row>
    <row r="8" spans="1:49">
      <c r="A8" s="746" t="s">
        <v>946</v>
      </c>
      <c r="B8" s="747">
        <v>66677</v>
      </c>
      <c r="C8" s="747">
        <v>5556.416666666667</v>
      </c>
      <c r="D8" s="746">
        <f t="shared" si="26"/>
        <v>5557</v>
      </c>
      <c r="E8" s="759">
        <v>5839</v>
      </c>
      <c r="F8" s="746">
        <v>26</v>
      </c>
      <c r="G8" s="746">
        <f t="shared" si="27"/>
        <v>214</v>
      </c>
      <c r="H8" s="746">
        <v>18</v>
      </c>
      <c r="I8" s="746">
        <f t="shared" si="0"/>
        <v>15.255936023683072</v>
      </c>
      <c r="J8" s="746">
        <f t="shared" si="28"/>
        <v>3852</v>
      </c>
      <c r="K8" s="746">
        <v>600</v>
      </c>
      <c r="L8" s="746">
        <f t="shared" si="29"/>
        <v>7</v>
      </c>
      <c r="M8" s="790">
        <v>0.16600000000000001</v>
      </c>
      <c r="N8" s="746">
        <f t="shared" ref="N8:N13" si="30">ROUNDUP($G$8*M8,0)</f>
        <v>36</v>
      </c>
      <c r="O8" s="746">
        <v>600</v>
      </c>
      <c r="P8" s="746">
        <v>400</v>
      </c>
      <c r="Q8" s="746">
        <v>240</v>
      </c>
      <c r="R8" s="746">
        <v>1200</v>
      </c>
      <c r="S8" s="746">
        <v>1080</v>
      </c>
      <c r="T8" s="746">
        <v>1200</v>
      </c>
      <c r="U8" s="746">
        <f t="shared" si="1"/>
        <v>5</v>
      </c>
      <c r="V8" s="746">
        <f t="shared" si="2"/>
        <v>2</v>
      </c>
      <c r="W8" s="746">
        <f t="shared" si="3"/>
        <v>2</v>
      </c>
      <c r="X8" s="746">
        <f t="shared" si="4"/>
        <v>5</v>
      </c>
      <c r="Y8" s="746">
        <f t="shared" si="5"/>
        <v>20</v>
      </c>
      <c r="Z8" s="758">
        <f t="shared" si="6"/>
        <v>279.69216043418965</v>
      </c>
      <c r="AA8" s="747">
        <f t="shared" si="7"/>
        <v>3.9370078740157481</v>
      </c>
      <c r="AB8" s="746">
        <f t="shared" si="8"/>
        <v>2</v>
      </c>
      <c r="AC8" s="746">
        <f t="shared" si="9"/>
        <v>57600000</v>
      </c>
      <c r="AD8" s="746">
        <f t="shared" si="10"/>
        <v>2.0341248031577428</v>
      </c>
      <c r="AE8" s="759" t="s">
        <v>594</v>
      </c>
      <c r="AF8" s="746">
        <f t="shared" si="11"/>
        <v>20</v>
      </c>
      <c r="AG8" s="758">
        <f t="shared" si="12"/>
        <v>1</v>
      </c>
      <c r="AH8" s="758">
        <f t="shared" si="13"/>
        <v>1.2000000000000002</v>
      </c>
      <c r="AI8" s="758">
        <f t="shared" si="14"/>
        <v>2.8000000000000003</v>
      </c>
      <c r="AJ8" s="758">
        <f t="shared" si="15"/>
        <v>12</v>
      </c>
      <c r="AK8" s="758">
        <f t="shared" si="16"/>
        <v>17</v>
      </c>
      <c r="AL8" s="4">
        <f t="shared" si="17"/>
        <v>18</v>
      </c>
      <c r="AM8" s="4">
        <f t="shared" si="18"/>
        <v>7</v>
      </c>
      <c r="AN8" s="4">
        <f t="shared" si="19"/>
        <v>7</v>
      </c>
      <c r="AO8" s="4">
        <f t="shared" si="20"/>
        <v>4</v>
      </c>
      <c r="AP8" s="4">
        <f t="shared" si="21"/>
        <v>1</v>
      </c>
      <c r="AQ8" s="4">
        <f t="shared" si="22"/>
        <v>1</v>
      </c>
      <c r="AR8" s="4">
        <f t="shared" si="23"/>
        <v>2</v>
      </c>
      <c r="AS8" s="4">
        <f t="shared" si="24"/>
        <v>12</v>
      </c>
      <c r="AT8" s="4">
        <f t="shared" si="25"/>
        <v>16</v>
      </c>
      <c r="AV8" s="240" t="s">
        <v>709</v>
      </c>
      <c r="AW8" t="s">
        <v>743</v>
      </c>
    </row>
    <row r="9" spans="1:49">
      <c r="A9" s="746"/>
      <c r="B9" s="747"/>
      <c r="C9" s="747"/>
      <c r="D9" s="746"/>
      <c r="E9" s="746"/>
      <c r="F9" s="746"/>
      <c r="G9" s="746"/>
      <c r="H9" s="746"/>
      <c r="I9" s="746">
        <f t="shared" si="0"/>
        <v>7.6279680118415358</v>
      </c>
      <c r="J9" s="746"/>
      <c r="K9" s="746"/>
      <c r="L9" s="746"/>
      <c r="M9" s="790">
        <v>0.16600000000000001</v>
      </c>
      <c r="N9" s="746">
        <f t="shared" si="30"/>
        <v>36</v>
      </c>
      <c r="O9" s="746">
        <v>600</v>
      </c>
      <c r="P9" s="746">
        <v>300</v>
      </c>
      <c r="Q9" s="746">
        <v>160</v>
      </c>
      <c r="R9" s="746">
        <v>1200</v>
      </c>
      <c r="S9" s="746">
        <v>1080</v>
      </c>
      <c r="T9" s="746">
        <v>1200</v>
      </c>
      <c r="U9" s="746">
        <f t="shared" si="1"/>
        <v>7</v>
      </c>
      <c r="V9" s="746">
        <f t="shared" si="2"/>
        <v>2</v>
      </c>
      <c r="W9" s="746">
        <f t="shared" si="3"/>
        <v>3</v>
      </c>
      <c r="X9" s="746">
        <f>ROUND(T9/Q9,0)-1</f>
        <v>7</v>
      </c>
      <c r="Y9" s="746">
        <f t="shared" si="5"/>
        <v>42</v>
      </c>
      <c r="Z9" s="758">
        <f t="shared" si="6"/>
        <v>587.35353691179819</v>
      </c>
      <c r="AA9" s="747">
        <f t="shared" si="7"/>
        <v>3.9370078740157481</v>
      </c>
      <c r="AB9" s="746">
        <f t="shared" si="8"/>
        <v>1</v>
      </c>
      <c r="AC9" s="746">
        <f t="shared" si="9"/>
        <v>28800000</v>
      </c>
      <c r="AD9" s="746">
        <f t="shared" si="10"/>
        <v>1.0170624015788714</v>
      </c>
      <c r="AE9" s="759" t="s">
        <v>594</v>
      </c>
      <c r="AF9" s="746">
        <f t="shared" si="11"/>
        <v>10</v>
      </c>
      <c r="AG9" s="758">
        <f t="shared" si="12"/>
        <v>0.5</v>
      </c>
      <c r="AH9" s="758">
        <f t="shared" si="13"/>
        <v>0.60000000000000009</v>
      </c>
      <c r="AI9" s="758">
        <f t="shared" si="14"/>
        <v>1.4000000000000001</v>
      </c>
      <c r="AJ9" s="758">
        <f t="shared" si="15"/>
        <v>6</v>
      </c>
      <c r="AK9" s="758">
        <f t="shared" si="16"/>
        <v>8.5</v>
      </c>
      <c r="AL9" s="4">
        <f t="shared" si="17"/>
        <v>18</v>
      </c>
      <c r="AM9" s="4">
        <f t="shared" si="18"/>
        <v>7</v>
      </c>
      <c r="AN9" s="4">
        <f t="shared" si="19"/>
        <v>7</v>
      </c>
      <c r="AO9" s="4">
        <f t="shared" si="20"/>
        <v>4</v>
      </c>
      <c r="AP9" s="4">
        <f t="shared" si="21"/>
        <v>0</v>
      </c>
      <c r="AQ9" s="4">
        <f t="shared" si="22"/>
        <v>1</v>
      </c>
      <c r="AR9" s="4">
        <f t="shared" si="23"/>
        <v>1</v>
      </c>
      <c r="AS9" s="4">
        <f t="shared" si="24"/>
        <v>6</v>
      </c>
      <c r="AT9" s="4">
        <f t="shared" si="25"/>
        <v>8</v>
      </c>
      <c r="AV9" s="6" t="s">
        <v>594</v>
      </c>
      <c r="AW9">
        <v>68</v>
      </c>
    </row>
    <row r="10" spans="1:49">
      <c r="A10" s="746"/>
      <c r="B10" s="747"/>
      <c r="C10" s="747"/>
      <c r="D10" s="746"/>
      <c r="E10" s="746"/>
      <c r="F10" s="746"/>
      <c r="G10" s="746"/>
      <c r="H10" s="746"/>
      <c r="I10" s="746">
        <f t="shared" si="0"/>
        <v>30.511872047366143</v>
      </c>
      <c r="J10" s="746"/>
      <c r="K10" s="746"/>
      <c r="L10" s="746"/>
      <c r="M10" s="790">
        <v>0.16600000000000001</v>
      </c>
      <c r="N10" s="746">
        <f t="shared" si="30"/>
        <v>36</v>
      </c>
      <c r="O10" s="746">
        <v>800</v>
      </c>
      <c r="P10" s="746">
        <v>600</v>
      </c>
      <c r="Q10" s="746">
        <v>240</v>
      </c>
      <c r="R10" s="746">
        <v>1200</v>
      </c>
      <c r="S10" s="746">
        <v>1080</v>
      </c>
      <c r="T10" s="746">
        <v>1200</v>
      </c>
      <c r="U10" s="746">
        <f t="shared" si="1"/>
        <v>5</v>
      </c>
      <c r="V10" s="746">
        <f t="shared" si="2"/>
        <v>1</v>
      </c>
      <c r="W10" s="746">
        <f t="shared" si="3"/>
        <v>1</v>
      </c>
      <c r="X10" s="746">
        <f t="shared" si="4"/>
        <v>5</v>
      </c>
      <c r="Y10" s="746">
        <f t="shared" si="5"/>
        <v>5</v>
      </c>
      <c r="Z10" s="758">
        <f t="shared" si="6"/>
        <v>69.923040108547411</v>
      </c>
      <c r="AA10" s="747">
        <f t="shared" si="7"/>
        <v>3.9370078740157481</v>
      </c>
      <c r="AB10" s="746">
        <f t="shared" si="8"/>
        <v>8</v>
      </c>
      <c r="AC10" s="746">
        <f t="shared" si="9"/>
        <v>115200000</v>
      </c>
      <c r="AD10" s="746">
        <f t="shared" si="10"/>
        <v>4.0682496063154856</v>
      </c>
      <c r="AE10" s="759" t="s">
        <v>594</v>
      </c>
      <c r="AF10" s="746">
        <f t="shared" si="11"/>
        <v>80</v>
      </c>
      <c r="AG10" s="758">
        <f t="shared" si="12"/>
        <v>4</v>
      </c>
      <c r="AH10" s="758">
        <f t="shared" si="13"/>
        <v>4.8000000000000007</v>
      </c>
      <c r="AI10" s="758">
        <f t="shared" si="14"/>
        <v>11.200000000000001</v>
      </c>
      <c r="AJ10" s="758">
        <f t="shared" si="15"/>
        <v>48</v>
      </c>
      <c r="AK10" s="758">
        <f t="shared" si="16"/>
        <v>68</v>
      </c>
      <c r="AL10" s="4">
        <f t="shared" si="17"/>
        <v>18</v>
      </c>
      <c r="AM10" s="4">
        <f t="shared" si="18"/>
        <v>7</v>
      </c>
      <c r="AN10" s="4">
        <f t="shared" si="19"/>
        <v>7</v>
      </c>
      <c r="AO10" s="4">
        <f t="shared" si="20"/>
        <v>4</v>
      </c>
      <c r="AP10" s="4">
        <f t="shared" si="21"/>
        <v>4</v>
      </c>
      <c r="AQ10" s="4">
        <f t="shared" si="22"/>
        <v>4</v>
      </c>
      <c r="AR10" s="4">
        <f t="shared" si="23"/>
        <v>10</v>
      </c>
      <c r="AS10" s="4">
        <f t="shared" si="24"/>
        <v>48</v>
      </c>
      <c r="AT10" s="4">
        <f t="shared" si="25"/>
        <v>66</v>
      </c>
      <c r="AV10" s="6" t="s">
        <v>598</v>
      </c>
      <c r="AW10">
        <v>5</v>
      </c>
    </row>
    <row r="11" spans="1:49">
      <c r="A11" s="746"/>
      <c r="B11" s="747"/>
      <c r="C11" s="747"/>
      <c r="D11" s="746"/>
      <c r="E11" s="746"/>
      <c r="F11" s="746"/>
      <c r="G11" s="746"/>
      <c r="H11" s="746"/>
      <c r="I11" s="746">
        <f t="shared" si="0"/>
        <v>10.19711001582983</v>
      </c>
      <c r="J11" s="746"/>
      <c r="K11" s="746"/>
      <c r="L11" s="746"/>
      <c r="M11" s="790">
        <v>0.16600000000000001</v>
      </c>
      <c r="N11" s="746">
        <f t="shared" si="30"/>
        <v>36</v>
      </c>
      <c r="O11" s="746">
        <v>550</v>
      </c>
      <c r="P11" s="746">
        <v>350</v>
      </c>
      <c r="Q11" s="746">
        <v>200</v>
      </c>
      <c r="R11" s="746">
        <v>1200</v>
      </c>
      <c r="S11" s="746">
        <v>1080</v>
      </c>
      <c r="T11" s="746">
        <v>1200</v>
      </c>
      <c r="U11" s="746">
        <f t="shared" si="1"/>
        <v>6</v>
      </c>
      <c r="V11" s="746">
        <f t="shared" si="2"/>
        <v>2</v>
      </c>
      <c r="W11" s="746">
        <f t="shared" si="3"/>
        <v>3</v>
      </c>
      <c r="X11" s="746">
        <f t="shared" si="4"/>
        <v>6</v>
      </c>
      <c r="Y11" s="746">
        <f t="shared" si="5"/>
        <v>36</v>
      </c>
      <c r="Z11" s="758">
        <f t="shared" si="6"/>
        <v>503.44588878154133</v>
      </c>
      <c r="AA11" s="747">
        <f t="shared" si="7"/>
        <v>3.9370078740157481</v>
      </c>
      <c r="AB11" s="746">
        <f t="shared" si="8"/>
        <v>2</v>
      </c>
      <c r="AC11" s="746">
        <f t="shared" si="9"/>
        <v>38500000</v>
      </c>
      <c r="AD11" s="746">
        <f t="shared" si="10"/>
        <v>1.3596146687773107</v>
      </c>
      <c r="AE11" s="759" t="s">
        <v>594</v>
      </c>
      <c r="AF11" s="746">
        <f t="shared" si="11"/>
        <v>20</v>
      </c>
      <c r="AG11" s="758">
        <f t="shared" si="12"/>
        <v>1</v>
      </c>
      <c r="AH11" s="758">
        <f t="shared" si="13"/>
        <v>1.2000000000000002</v>
      </c>
      <c r="AI11" s="758">
        <f t="shared" si="14"/>
        <v>2.8000000000000003</v>
      </c>
      <c r="AJ11" s="758">
        <f t="shared" si="15"/>
        <v>12</v>
      </c>
      <c r="AK11" s="758">
        <f t="shared" si="16"/>
        <v>17</v>
      </c>
      <c r="AL11" s="4">
        <f t="shared" si="17"/>
        <v>18</v>
      </c>
      <c r="AM11" s="4">
        <f t="shared" si="18"/>
        <v>7</v>
      </c>
      <c r="AN11" s="4">
        <f t="shared" si="19"/>
        <v>7</v>
      </c>
      <c r="AO11" s="4">
        <f t="shared" si="20"/>
        <v>4</v>
      </c>
      <c r="AP11" s="4">
        <f t="shared" si="21"/>
        <v>1</v>
      </c>
      <c r="AQ11" s="4">
        <f t="shared" si="22"/>
        <v>1</v>
      </c>
      <c r="AR11" s="4">
        <f t="shared" si="23"/>
        <v>1</v>
      </c>
      <c r="AS11" s="4">
        <f t="shared" si="24"/>
        <v>7</v>
      </c>
      <c r="AT11" s="4">
        <f t="shared" si="25"/>
        <v>10</v>
      </c>
      <c r="AV11" s="6" t="s">
        <v>522</v>
      </c>
      <c r="AW11">
        <v>73</v>
      </c>
    </row>
    <row r="12" spans="1:49">
      <c r="A12" s="746"/>
      <c r="B12" s="747"/>
      <c r="C12" s="747"/>
      <c r="D12" s="746"/>
      <c r="E12" s="746"/>
      <c r="F12" s="746"/>
      <c r="G12" s="746"/>
      <c r="H12" s="746"/>
      <c r="I12" s="746">
        <f t="shared" si="0"/>
        <v>7.6279680118415358</v>
      </c>
      <c r="J12" s="746"/>
      <c r="K12" s="746"/>
      <c r="L12" s="746"/>
      <c r="M12" s="790">
        <v>0.16600000000000001</v>
      </c>
      <c r="N12" s="746">
        <f t="shared" si="30"/>
        <v>36</v>
      </c>
      <c r="O12" s="746">
        <v>400</v>
      </c>
      <c r="P12" s="746">
        <v>300</v>
      </c>
      <c r="Q12" s="746">
        <v>240</v>
      </c>
      <c r="R12" s="746">
        <v>1200</v>
      </c>
      <c r="S12" s="746">
        <v>1080</v>
      </c>
      <c r="T12" s="746">
        <v>1200</v>
      </c>
      <c r="U12" s="746">
        <f t="shared" si="1"/>
        <v>4</v>
      </c>
      <c r="V12" s="746">
        <f t="shared" si="2"/>
        <v>3</v>
      </c>
      <c r="W12" s="746">
        <f t="shared" si="3"/>
        <v>3</v>
      </c>
      <c r="X12" s="746">
        <f>ROUND(T12/Q12,0)-1</f>
        <v>4</v>
      </c>
      <c r="Y12" s="746">
        <f t="shared" si="5"/>
        <v>36</v>
      </c>
      <c r="Z12" s="758">
        <f t="shared" si="6"/>
        <v>503.44588878154133</v>
      </c>
      <c r="AA12" s="747">
        <f t="shared" si="7"/>
        <v>3.9370078740157481</v>
      </c>
      <c r="AB12" s="746">
        <f t="shared" si="8"/>
        <v>2</v>
      </c>
      <c r="AC12" s="746">
        <f t="shared" si="9"/>
        <v>28800000</v>
      </c>
      <c r="AD12" s="746">
        <f t="shared" si="10"/>
        <v>1.0170624015788714</v>
      </c>
      <c r="AE12" s="759" t="s">
        <v>594</v>
      </c>
      <c r="AF12" s="746">
        <f t="shared" si="11"/>
        <v>20</v>
      </c>
      <c r="AG12" s="758">
        <f t="shared" si="12"/>
        <v>1</v>
      </c>
      <c r="AH12" s="758">
        <f t="shared" si="13"/>
        <v>1.2000000000000002</v>
      </c>
      <c r="AI12" s="758">
        <f t="shared" si="14"/>
        <v>2.8000000000000003</v>
      </c>
      <c r="AJ12" s="758">
        <f t="shared" si="15"/>
        <v>12</v>
      </c>
      <c r="AK12" s="758">
        <f t="shared" si="16"/>
        <v>17</v>
      </c>
      <c r="AL12" s="4">
        <f t="shared" si="17"/>
        <v>18</v>
      </c>
      <c r="AM12" s="4">
        <f t="shared" si="18"/>
        <v>7</v>
      </c>
      <c r="AN12" s="4">
        <f t="shared" si="19"/>
        <v>7</v>
      </c>
      <c r="AO12" s="4">
        <f t="shared" si="20"/>
        <v>4</v>
      </c>
      <c r="AP12" s="4">
        <f t="shared" si="21"/>
        <v>1</v>
      </c>
      <c r="AQ12" s="4">
        <f t="shared" si="22"/>
        <v>1</v>
      </c>
      <c r="AR12" s="4">
        <f t="shared" si="23"/>
        <v>1</v>
      </c>
      <c r="AS12" s="4">
        <f t="shared" si="24"/>
        <v>7</v>
      </c>
      <c r="AT12" s="4">
        <f t="shared" si="25"/>
        <v>10</v>
      </c>
    </row>
    <row r="13" spans="1:49">
      <c r="A13" s="746"/>
      <c r="B13" s="747"/>
      <c r="C13" s="747"/>
      <c r="D13" s="746"/>
      <c r="E13" s="746"/>
      <c r="F13" s="746"/>
      <c r="G13" s="746"/>
      <c r="H13" s="746"/>
      <c r="I13" s="746">
        <f t="shared" si="0"/>
        <v>22.883904035524608</v>
      </c>
      <c r="J13" s="746"/>
      <c r="K13" s="746"/>
      <c r="L13" s="746"/>
      <c r="M13" s="790">
        <v>0.16600000000000001</v>
      </c>
      <c r="N13" s="746">
        <f t="shared" si="30"/>
        <v>36</v>
      </c>
      <c r="O13" s="746">
        <v>900</v>
      </c>
      <c r="P13" s="746">
        <v>400</v>
      </c>
      <c r="Q13" s="746">
        <v>240</v>
      </c>
      <c r="R13" s="746">
        <v>1200</v>
      </c>
      <c r="S13" s="746">
        <v>1080</v>
      </c>
      <c r="T13" s="746">
        <v>1200</v>
      </c>
      <c r="U13" s="746">
        <f t="shared" si="1"/>
        <v>5</v>
      </c>
      <c r="V13" s="746">
        <f t="shared" si="2"/>
        <v>1</v>
      </c>
      <c r="W13" s="746">
        <f t="shared" si="3"/>
        <v>2</v>
      </c>
      <c r="X13" s="746">
        <f t="shared" si="4"/>
        <v>5</v>
      </c>
      <c r="Y13" s="746">
        <f t="shared" si="5"/>
        <v>10</v>
      </c>
      <c r="Z13" s="758">
        <f t="shared" si="6"/>
        <v>139.84608021709482</v>
      </c>
      <c r="AA13" s="747">
        <f t="shared" si="7"/>
        <v>3.9370078740157481</v>
      </c>
      <c r="AB13" s="746">
        <f t="shared" si="8"/>
        <v>4</v>
      </c>
      <c r="AC13" s="746">
        <f t="shared" si="9"/>
        <v>86400000</v>
      </c>
      <c r="AD13" s="746">
        <f t="shared" si="10"/>
        <v>3.0511872047366144</v>
      </c>
      <c r="AE13" s="759" t="s">
        <v>594</v>
      </c>
      <c r="AF13" s="746">
        <f t="shared" si="11"/>
        <v>40</v>
      </c>
      <c r="AG13" s="758">
        <f t="shared" si="12"/>
        <v>2</v>
      </c>
      <c r="AH13" s="758">
        <f t="shared" si="13"/>
        <v>2.4000000000000004</v>
      </c>
      <c r="AI13" s="758">
        <f t="shared" si="14"/>
        <v>5.6000000000000005</v>
      </c>
      <c r="AJ13" s="758">
        <f t="shared" si="15"/>
        <v>24</v>
      </c>
      <c r="AK13" s="758">
        <f t="shared" si="16"/>
        <v>34</v>
      </c>
      <c r="AL13" s="4">
        <f t="shared" si="17"/>
        <v>18</v>
      </c>
      <c r="AM13" s="4">
        <f t="shared" si="18"/>
        <v>7</v>
      </c>
      <c r="AN13" s="4">
        <f t="shared" si="19"/>
        <v>7</v>
      </c>
      <c r="AO13" s="4">
        <f t="shared" si="20"/>
        <v>4</v>
      </c>
      <c r="AP13" s="4">
        <f t="shared" si="21"/>
        <v>2</v>
      </c>
      <c r="AQ13" s="4">
        <f t="shared" si="22"/>
        <v>2</v>
      </c>
      <c r="AR13" s="4">
        <f t="shared" si="23"/>
        <v>5</v>
      </c>
      <c r="AS13" s="4">
        <f t="shared" si="24"/>
        <v>24</v>
      </c>
      <c r="AT13" s="4">
        <f t="shared" si="25"/>
        <v>33</v>
      </c>
    </row>
    <row r="14" spans="1:49">
      <c r="A14" s="746" t="s">
        <v>952</v>
      </c>
      <c r="B14" s="747">
        <v>56531</v>
      </c>
      <c r="C14" s="747">
        <v>4710.916666666667</v>
      </c>
      <c r="D14" s="746">
        <f t="shared" si="26"/>
        <v>4711</v>
      </c>
      <c r="E14" s="759">
        <v>4835</v>
      </c>
      <c r="F14" s="746">
        <v>26</v>
      </c>
      <c r="G14" s="746">
        <f t="shared" ref="G14:G16" si="31">ROUNDUP(D14/F14,0)</f>
        <v>182</v>
      </c>
      <c r="H14" s="746">
        <v>18</v>
      </c>
      <c r="I14" s="746">
        <f t="shared" si="0"/>
        <v>8.3333333333333321</v>
      </c>
      <c r="J14" s="746">
        <f t="shared" si="28"/>
        <v>3276</v>
      </c>
      <c r="K14" s="746">
        <v>600</v>
      </c>
      <c r="L14" s="746">
        <f t="shared" si="29"/>
        <v>6</v>
      </c>
      <c r="M14" s="790">
        <v>1</v>
      </c>
      <c r="N14" s="746">
        <f>ROUNDUP($G$14*M14,0)</f>
        <v>182</v>
      </c>
      <c r="O14" s="746">
        <f>CONVERT(20,"in","mm")</f>
        <v>508</v>
      </c>
      <c r="P14" s="746">
        <f>CONVERT(12,"in","mm")</f>
        <v>304.8</v>
      </c>
      <c r="Q14" s="746">
        <f>CONVERT(8,"in","mm")</f>
        <v>203.2</v>
      </c>
      <c r="R14" s="746">
        <v>1200</v>
      </c>
      <c r="S14" s="746">
        <v>1080</v>
      </c>
      <c r="T14" s="746">
        <v>1200</v>
      </c>
      <c r="U14" s="746">
        <f t="shared" si="1"/>
        <v>6</v>
      </c>
      <c r="V14" s="746">
        <f t="shared" si="2"/>
        <v>2</v>
      </c>
      <c r="W14" s="746">
        <f t="shared" si="3"/>
        <v>3</v>
      </c>
      <c r="X14" s="746">
        <f t="shared" si="4"/>
        <v>6</v>
      </c>
      <c r="Y14" s="746">
        <f t="shared" si="5"/>
        <v>36</v>
      </c>
      <c r="Z14" s="758">
        <f t="shared" si="6"/>
        <v>503.44588878154133</v>
      </c>
      <c r="AA14" s="747">
        <f t="shared" si="7"/>
        <v>3.9370078740157481</v>
      </c>
      <c r="AB14" s="746">
        <f t="shared" si="8"/>
        <v>6</v>
      </c>
      <c r="AC14" s="746">
        <f t="shared" si="9"/>
        <v>31463162.879999995</v>
      </c>
      <c r="AD14" s="746">
        <f t="shared" si="10"/>
        <v>1.1111111111111109</v>
      </c>
      <c r="AE14" s="759" t="s">
        <v>594</v>
      </c>
      <c r="AF14" s="746">
        <f t="shared" si="11"/>
        <v>60</v>
      </c>
      <c r="AG14" s="758">
        <f t="shared" si="12"/>
        <v>3</v>
      </c>
      <c r="AH14" s="758">
        <f t="shared" si="13"/>
        <v>3.6000000000000005</v>
      </c>
      <c r="AI14" s="758">
        <f t="shared" si="14"/>
        <v>8.4000000000000021</v>
      </c>
      <c r="AJ14" s="758">
        <f t="shared" si="15"/>
        <v>36.000000000000007</v>
      </c>
      <c r="AK14" s="758">
        <f t="shared" si="16"/>
        <v>51.000000000000014</v>
      </c>
      <c r="AL14" s="4">
        <f t="shared" si="17"/>
        <v>91</v>
      </c>
      <c r="AM14" s="4">
        <f t="shared" si="18"/>
        <v>36</v>
      </c>
      <c r="AN14" s="4">
        <f t="shared" si="19"/>
        <v>36</v>
      </c>
      <c r="AO14" s="4">
        <f t="shared" si="20"/>
        <v>18</v>
      </c>
      <c r="AP14" s="4">
        <f t="shared" si="21"/>
        <v>3</v>
      </c>
      <c r="AQ14" s="4">
        <f t="shared" si="22"/>
        <v>3</v>
      </c>
      <c r="AR14" s="4">
        <f t="shared" si="23"/>
        <v>7</v>
      </c>
      <c r="AS14" s="4">
        <f t="shared" si="24"/>
        <v>30</v>
      </c>
      <c r="AT14" s="4">
        <f t="shared" si="25"/>
        <v>43</v>
      </c>
    </row>
    <row r="15" spans="1:49">
      <c r="A15" s="746" t="s">
        <v>956</v>
      </c>
      <c r="B15" s="747">
        <v>980</v>
      </c>
      <c r="C15" s="747">
        <v>326.66666666666669</v>
      </c>
      <c r="D15" s="746">
        <f t="shared" si="26"/>
        <v>327</v>
      </c>
      <c r="E15" s="759">
        <v>490</v>
      </c>
      <c r="F15" s="746">
        <v>26</v>
      </c>
      <c r="G15" s="746">
        <f t="shared" si="31"/>
        <v>13</v>
      </c>
      <c r="H15" s="746">
        <v>18</v>
      </c>
      <c r="I15" s="746">
        <f t="shared" si="0"/>
        <v>22.883904035524608</v>
      </c>
      <c r="J15" s="746">
        <f t="shared" si="28"/>
        <v>234</v>
      </c>
      <c r="K15" s="746">
        <v>600</v>
      </c>
      <c r="L15" s="746">
        <f t="shared" si="29"/>
        <v>1</v>
      </c>
      <c r="M15" s="790">
        <v>1</v>
      </c>
      <c r="N15" s="746">
        <f>ROUNDUP($G$15*M15,0)</f>
        <v>13</v>
      </c>
      <c r="O15" s="746">
        <v>600</v>
      </c>
      <c r="P15" s="746">
        <v>400</v>
      </c>
      <c r="Q15" s="746">
        <v>360</v>
      </c>
      <c r="R15" s="746">
        <v>1200</v>
      </c>
      <c r="S15" s="746">
        <v>1080</v>
      </c>
      <c r="T15" s="746">
        <v>1200</v>
      </c>
      <c r="U15" s="746">
        <f t="shared" si="1"/>
        <v>3</v>
      </c>
      <c r="V15" s="746">
        <f t="shared" si="2"/>
        <v>2</v>
      </c>
      <c r="W15" s="746">
        <f t="shared" si="3"/>
        <v>2</v>
      </c>
      <c r="X15" s="746">
        <f t="shared" si="4"/>
        <v>3</v>
      </c>
      <c r="Y15" s="746">
        <f t="shared" si="5"/>
        <v>12</v>
      </c>
      <c r="Z15" s="758">
        <f t="shared" si="6"/>
        <v>167.81529626051378</v>
      </c>
      <c r="AA15" s="747">
        <f t="shared" si="7"/>
        <v>3.9370078740157481</v>
      </c>
      <c r="AB15" s="746">
        <f t="shared" si="8"/>
        <v>2</v>
      </c>
      <c r="AC15" s="746">
        <f t="shared" si="9"/>
        <v>86400000</v>
      </c>
      <c r="AD15" s="746">
        <f t="shared" si="10"/>
        <v>3.0511872047366144</v>
      </c>
      <c r="AE15" s="759" t="s">
        <v>594</v>
      </c>
      <c r="AF15" s="746">
        <f t="shared" si="11"/>
        <v>20</v>
      </c>
      <c r="AG15" s="758">
        <f t="shared" si="12"/>
        <v>1</v>
      </c>
      <c r="AH15" s="758">
        <f t="shared" si="13"/>
        <v>1.2000000000000002</v>
      </c>
      <c r="AI15" s="758">
        <f t="shared" si="14"/>
        <v>2.8000000000000003</v>
      </c>
      <c r="AJ15" s="758">
        <f t="shared" si="15"/>
        <v>12</v>
      </c>
      <c r="AK15" s="758">
        <f t="shared" si="16"/>
        <v>17</v>
      </c>
      <c r="AL15" s="4">
        <f t="shared" si="17"/>
        <v>7</v>
      </c>
      <c r="AM15" s="4">
        <f t="shared" si="18"/>
        <v>3</v>
      </c>
      <c r="AN15" s="4">
        <f t="shared" si="19"/>
        <v>3</v>
      </c>
      <c r="AO15" s="4">
        <f t="shared" si="20"/>
        <v>1</v>
      </c>
      <c r="AP15" s="4">
        <f t="shared" si="21"/>
        <v>1</v>
      </c>
      <c r="AQ15" s="4">
        <f t="shared" si="22"/>
        <v>1</v>
      </c>
      <c r="AR15" s="4">
        <f t="shared" si="23"/>
        <v>2</v>
      </c>
      <c r="AS15" s="4">
        <f t="shared" si="24"/>
        <v>5</v>
      </c>
      <c r="AT15" s="4">
        <f t="shared" si="25"/>
        <v>9</v>
      </c>
    </row>
    <row r="16" spans="1:49">
      <c r="A16" s="746" t="s">
        <v>942</v>
      </c>
      <c r="B16" s="747">
        <v>86209</v>
      </c>
      <c r="C16" s="747">
        <v>7184.083333333333</v>
      </c>
      <c r="D16" s="746">
        <f t="shared" si="26"/>
        <v>7185</v>
      </c>
      <c r="E16" s="759">
        <v>7209</v>
      </c>
      <c r="F16" s="746">
        <v>26</v>
      </c>
      <c r="G16" s="746">
        <f t="shared" si="31"/>
        <v>277</v>
      </c>
      <c r="H16" s="746">
        <v>18</v>
      </c>
      <c r="I16" s="746">
        <f t="shared" si="0"/>
        <v>15.255936023683072</v>
      </c>
      <c r="J16" s="746">
        <f t="shared" si="28"/>
        <v>4986</v>
      </c>
      <c r="K16" s="746">
        <v>600</v>
      </c>
      <c r="L16" s="746">
        <f t="shared" si="29"/>
        <v>9</v>
      </c>
      <c r="M16" s="788">
        <v>0.33300000000000002</v>
      </c>
      <c r="N16" s="746">
        <f>ROUNDUP($G$16*M16,0)</f>
        <v>93</v>
      </c>
      <c r="O16" s="746">
        <v>600</v>
      </c>
      <c r="P16" s="746">
        <v>400</v>
      </c>
      <c r="Q16" s="746">
        <v>240</v>
      </c>
      <c r="R16" s="746">
        <v>1200</v>
      </c>
      <c r="S16" s="746">
        <v>1080</v>
      </c>
      <c r="T16" s="746">
        <v>1200</v>
      </c>
      <c r="U16" s="746">
        <f t="shared" si="1"/>
        <v>5</v>
      </c>
      <c r="V16" s="746">
        <f t="shared" si="2"/>
        <v>2</v>
      </c>
      <c r="W16" s="746">
        <f t="shared" si="3"/>
        <v>2</v>
      </c>
      <c r="X16" s="746">
        <f t="shared" si="4"/>
        <v>5</v>
      </c>
      <c r="Y16" s="746">
        <f t="shared" si="5"/>
        <v>20</v>
      </c>
      <c r="Z16" s="758">
        <f t="shared" si="6"/>
        <v>279.69216043418965</v>
      </c>
      <c r="AA16" s="747">
        <f t="shared" si="7"/>
        <v>3.9370078740157481</v>
      </c>
      <c r="AB16" s="746">
        <f t="shared" si="8"/>
        <v>5</v>
      </c>
      <c r="AC16" s="746">
        <f t="shared" si="9"/>
        <v>57600000</v>
      </c>
      <c r="AD16" s="746">
        <f t="shared" si="10"/>
        <v>2.0341248031577428</v>
      </c>
      <c r="AE16" s="759" t="s">
        <v>594</v>
      </c>
      <c r="AF16" s="746">
        <f t="shared" si="11"/>
        <v>50</v>
      </c>
      <c r="AG16" s="758">
        <f t="shared" si="12"/>
        <v>2.5</v>
      </c>
      <c r="AH16" s="758">
        <f t="shared" si="13"/>
        <v>3</v>
      </c>
      <c r="AI16" s="758">
        <f t="shared" si="14"/>
        <v>7</v>
      </c>
      <c r="AJ16" s="758">
        <f t="shared" si="15"/>
        <v>30</v>
      </c>
      <c r="AK16" s="758">
        <f t="shared" si="16"/>
        <v>42.5</v>
      </c>
      <c r="AL16" s="4">
        <f t="shared" si="17"/>
        <v>47</v>
      </c>
      <c r="AM16" s="4">
        <f t="shared" si="18"/>
        <v>19</v>
      </c>
      <c r="AN16" s="4">
        <f t="shared" si="19"/>
        <v>19</v>
      </c>
      <c r="AO16" s="4">
        <f t="shared" si="20"/>
        <v>9</v>
      </c>
      <c r="AP16" s="4">
        <f t="shared" si="21"/>
        <v>2</v>
      </c>
      <c r="AQ16" s="4">
        <f t="shared" si="22"/>
        <v>3</v>
      </c>
      <c r="AR16" s="4">
        <f t="shared" si="23"/>
        <v>7</v>
      </c>
      <c r="AS16" s="4">
        <f t="shared" si="24"/>
        <v>27</v>
      </c>
      <c r="AT16" s="4">
        <f t="shared" si="25"/>
        <v>39</v>
      </c>
    </row>
    <row r="17" spans="1:46">
      <c r="A17" s="746"/>
      <c r="B17" s="747"/>
      <c r="C17" s="747"/>
      <c r="D17" s="746"/>
      <c r="E17" s="746"/>
      <c r="F17" s="746"/>
      <c r="G17" s="746"/>
      <c r="H17" s="746"/>
      <c r="I17" s="746">
        <f t="shared" si="0"/>
        <v>22.883904035524608</v>
      </c>
      <c r="J17" s="746"/>
      <c r="K17" s="746"/>
      <c r="L17" s="746"/>
      <c r="M17" s="788">
        <v>0.33300000000000002</v>
      </c>
      <c r="N17" s="746">
        <f>ROUNDUP($G$16*M17,0)</f>
        <v>93</v>
      </c>
      <c r="O17" s="746">
        <v>600</v>
      </c>
      <c r="P17" s="746">
        <v>400</v>
      </c>
      <c r="Q17" s="746">
        <v>360</v>
      </c>
      <c r="R17" s="746">
        <v>1200</v>
      </c>
      <c r="S17" s="746">
        <v>1080</v>
      </c>
      <c r="T17" s="746">
        <v>1200</v>
      </c>
      <c r="U17" s="746">
        <f t="shared" si="1"/>
        <v>3</v>
      </c>
      <c r="V17" s="746">
        <f t="shared" si="2"/>
        <v>2</v>
      </c>
      <c r="W17" s="746">
        <f t="shared" si="3"/>
        <v>2</v>
      </c>
      <c r="X17" s="746">
        <f t="shared" si="4"/>
        <v>3</v>
      </c>
      <c r="Y17" s="746">
        <f t="shared" si="5"/>
        <v>12</v>
      </c>
      <c r="Z17" s="758">
        <f t="shared" si="6"/>
        <v>167.81529626051378</v>
      </c>
      <c r="AA17" s="747">
        <f t="shared" si="7"/>
        <v>3.9370078740157481</v>
      </c>
      <c r="AB17" s="746">
        <f t="shared" si="8"/>
        <v>9</v>
      </c>
      <c r="AC17" s="746">
        <f t="shared" si="9"/>
        <v>86400000</v>
      </c>
      <c r="AD17" s="746">
        <f t="shared" si="10"/>
        <v>3.0511872047366144</v>
      </c>
      <c r="AE17" s="759" t="s">
        <v>594</v>
      </c>
      <c r="AF17" s="746">
        <f t="shared" si="11"/>
        <v>90</v>
      </c>
      <c r="AG17" s="758">
        <f t="shared" si="12"/>
        <v>4.5</v>
      </c>
      <c r="AH17" s="758">
        <f t="shared" si="13"/>
        <v>5.4</v>
      </c>
      <c r="AI17" s="758">
        <f t="shared" si="14"/>
        <v>12.6</v>
      </c>
      <c r="AJ17" s="758">
        <f t="shared" si="15"/>
        <v>54</v>
      </c>
      <c r="AK17" s="758">
        <f t="shared" si="16"/>
        <v>76.5</v>
      </c>
      <c r="AL17" s="4">
        <f t="shared" si="17"/>
        <v>47</v>
      </c>
      <c r="AM17" s="4">
        <f t="shared" si="18"/>
        <v>19</v>
      </c>
      <c r="AN17" s="4">
        <f t="shared" si="19"/>
        <v>19</v>
      </c>
      <c r="AO17" s="4">
        <f t="shared" si="20"/>
        <v>9</v>
      </c>
      <c r="AP17" s="4">
        <f t="shared" si="21"/>
        <v>4</v>
      </c>
      <c r="AQ17" s="4">
        <f t="shared" si="22"/>
        <v>5</v>
      </c>
      <c r="AR17" s="4">
        <f t="shared" si="23"/>
        <v>11</v>
      </c>
      <c r="AS17" s="4">
        <f t="shared" si="24"/>
        <v>45</v>
      </c>
      <c r="AT17" s="4">
        <f t="shared" si="25"/>
        <v>65</v>
      </c>
    </row>
    <row r="18" spans="1:46">
      <c r="A18" s="746"/>
      <c r="B18" s="747"/>
      <c r="C18" s="747"/>
      <c r="D18" s="746"/>
      <c r="E18" s="746"/>
      <c r="F18" s="746"/>
      <c r="G18" s="746"/>
      <c r="H18" s="746"/>
      <c r="I18" s="746">
        <f t="shared" si="0"/>
        <v>22.883904035524608</v>
      </c>
      <c r="J18" s="746"/>
      <c r="K18" s="746"/>
      <c r="L18" s="746"/>
      <c r="M18" s="788">
        <v>0.33300000000000002</v>
      </c>
      <c r="N18" s="746">
        <f>ROUNDUP($G$16*M18,0)</f>
        <v>93</v>
      </c>
      <c r="O18" s="746">
        <v>900</v>
      </c>
      <c r="P18" s="746">
        <v>400</v>
      </c>
      <c r="Q18" s="746">
        <v>240</v>
      </c>
      <c r="R18" s="746">
        <v>1200</v>
      </c>
      <c r="S18" s="746">
        <v>1080</v>
      </c>
      <c r="T18" s="746">
        <v>1200</v>
      </c>
      <c r="U18" s="746">
        <f t="shared" si="1"/>
        <v>5</v>
      </c>
      <c r="V18" s="746">
        <f t="shared" si="2"/>
        <v>1</v>
      </c>
      <c r="W18" s="746">
        <f t="shared" si="3"/>
        <v>2</v>
      </c>
      <c r="X18" s="746">
        <f t="shared" si="4"/>
        <v>5</v>
      </c>
      <c r="Y18" s="746">
        <f t="shared" si="5"/>
        <v>10</v>
      </c>
      <c r="Z18" s="758">
        <f t="shared" si="6"/>
        <v>139.84608021709482</v>
      </c>
      <c r="AA18" s="747">
        <f t="shared" si="7"/>
        <v>3.9370078740157481</v>
      </c>
      <c r="AB18" s="746">
        <f t="shared" si="8"/>
        <v>10</v>
      </c>
      <c r="AC18" s="746">
        <f t="shared" si="9"/>
        <v>86400000</v>
      </c>
      <c r="AD18" s="746">
        <f t="shared" si="10"/>
        <v>3.0511872047366144</v>
      </c>
      <c r="AE18" s="759" t="s">
        <v>594</v>
      </c>
      <c r="AF18" s="746">
        <f t="shared" si="11"/>
        <v>100</v>
      </c>
      <c r="AG18" s="758">
        <f t="shared" si="12"/>
        <v>5</v>
      </c>
      <c r="AH18" s="758">
        <f t="shared" si="13"/>
        <v>6</v>
      </c>
      <c r="AI18" s="758">
        <f t="shared" si="14"/>
        <v>14</v>
      </c>
      <c r="AJ18" s="758">
        <f t="shared" si="15"/>
        <v>60</v>
      </c>
      <c r="AK18" s="758">
        <f t="shared" si="16"/>
        <v>85</v>
      </c>
      <c r="AL18" s="4">
        <f t="shared" si="17"/>
        <v>47</v>
      </c>
      <c r="AM18" s="4">
        <f t="shared" si="18"/>
        <v>19</v>
      </c>
      <c r="AN18" s="4">
        <f t="shared" si="19"/>
        <v>19</v>
      </c>
      <c r="AO18" s="4">
        <f t="shared" si="20"/>
        <v>9</v>
      </c>
      <c r="AP18" s="4">
        <f t="shared" si="21"/>
        <v>5</v>
      </c>
      <c r="AQ18" s="4">
        <f t="shared" si="22"/>
        <v>6</v>
      </c>
      <c r="AR18" s="4">
        <f t="shared" si="23"/>
        <v>13</v>
      </c>
      <c r="AS18" s="4">
        <f t="shared" si="24"/>
        <v>54</v>
      </c>
      <c r="AT18" s="4">
        <f t="shared" si="25"/>
        <v>78</v>
      </c>
    </row>
    <row r="19" spans="1:46">
      <c r="A19" s="746" t="s">
        <v>964</v>
      </c>
      <c r="B19" s="747">
        <f>SUM(B3:B16)</f>
        <v>266564.75</v>
      </c>
      <c r="C19" s="747">
        <f>SUM(C3:C16)</f>
        <v>22458.729166666668</v>
      </c>
      <c r="D19" s="747">
        <f>SUM(D3:D16)</f>
        <v>22462</v>
      </c>
      <c r="E19" s="747">
        <f>SUM(E3:E18)</f>
        <v>23082</v>
      </c>
      <c r="F19" s="746"/>
      <c r="G19" s="747">
        <f>SUM(G3:G18)</f>
        <v>868</v>
      </c>
      <c r="H19" s="746"/>
      <c r="I19" s="746">
        <f t="shared" si="0"/>
        <v>22.883904035524608</v>
      </c>
      <c r="J19" s="746"/>
      <c r="K19" s="746"/>
      <c r="L19" s="747">
        <f>SUM(L3:L18)</f>
        <v>30</v>
      </c>
      <c r="M19" s="746"/>
      <c r="N19" s="747">
        <f>SUM(N3:N18)</f>
        <v>872</v>
      </c>
      <c r="O19" s="746"/>
      <c r="P19" s="746"/>
      <c r="Q19" s="746"/>
      <c r="R19" s="746"/>
      <c r="S19" s="746"/>
      <c r="T19" s="746"/>
      <c r="U19" s="746"/>
      <c r="V19" s="746"/>
      <c r="W19" s="746"/>
      <c r="X19" s="746"/>
      <c r="Y19" s="746"/>
      <c r="Z19" s="746"/>
      <c r="AA19" s="746"/>
      <c r="AB19" s="747">
        <f>SUM(AB3:AB18)</f>
        <v>70</v>
      </c>
      <c r="AC19" s="746"/>
      <c r="AD19" s="746">
        <f>MEDIAN(AD3:AD18)</f>
        <v>3.0511872047366144</v>
      </c>
      <c r="AE19" s="746"/>
      <c r="AF19" s="746"/>
      <c r="AG19" s="746"/>
      <c r="AH19" s="746"/>
      <c r="AI19" s="746"/>
      <c r="AJ19" s="746"/>
      <c r="AK19" s="746"/>
    </row>
  </sheetData>
  <mergeCells count="4">
    <mergeCell ref="O1:Q1"/>
    <mergeCell ref="R1:T1"/>
    <mergeCell ref="AV1:AW1"/>
    <mergeCell ref="AV7:AW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E22C-14C9-471E-871A-71D8DFA7E13C}">
  <dimension ref="A1:AX20"/>
  <sheetViews>
    <sheetView topLeftCell="G7" workbookViewId="0">
      <selection activeCell="V16" sqref="A16:XFD16"/>
    </sheetView>
  </sheetViews>
  <sheetFormatPr defaultRowHeight="15"/>
  <cols>
    <col min="1" max="1" width="20.125" bestFit="1" customWidth="1"/>
    <col min="2" max="2" width="6.25" bestFit="1" customWidth="1"/>
    <col min="3" max="3" width="59.25" customWidth="1"/>
    <col min="4" max="4" width="6.375" bestFit="1" customWidth="1"/>
    <col min="5" max="5" width="8.625" bestFit="1" customWidth="1"/>
    <col min="6" max="6" width="8.875" bestFit="1" customWidth="1"/>
    <col min="7" max="8" width="8.75" bestFit="1" customWidth="1"/>
    <col min="9" max="9" width="8.25" bestFit="1" customWidth="1"/>
    <col min="10" max="10" width="7.875" bestFit="1" customWidth="1"/>
    <col min="11" max="11" width="8.375" bestFit="1" customWidth="1"/>
    <col min="12" max="13" width="8.875" bestFit="1" customWidth="1"/>
    <col min="15" max="15" width="9" bestFit="1" customWidth="1"/>
    <col min="16" max="16" width="8.375" bestFit="1" customWidth="1"/>
    <col min="17" max="17" width="8.75" bestFit="1" customWidth="1"/>
    <col min="18" max="18" width="6.25" bestFit="1" customWidth="1"/>
    <col min="19" max="19" width="9" bestFit="1" customWidth="1"/>
    <col min="20" max="20" width="8.875" bestFit="1" customWidth="1"/>
    <col min="21" max="21" width="5.875" bestFit="1" customWidth="1"/>
    <col min="43" max="43" width="13.125" bestFit="1" customWidth="1"/>
    <col min="44" max="44" width="18.75" bestFit="1" customWidth="1"/>
    <col min="46" max="46" width="10.875" bestFit="1" customWidth="1"/>
    <col min="47" max="47" width="18.75" bestFit="1" customWidth="1"/>
    <col min="49" max="49" width="13.125" bestFit="1" customWidth="1"/>
    <col min="50" max="50" width="16.75" bestFit="1" customWidth="1"/>
  </cols>
  <sheetData>
    <row r="1" spans="1:50">
      <c r="V1" s="785" t="s">
        <v>189</v>
      </c>
      <c r="W1" s="317"/>
      <c r="X1" s="317"/>
      <c r="Y1" s="785" t="s">
        <v>957</v>
      </c>
      <c r="Z1" s="317"/>
      <c r="AA1" s="317"/>
      <c r="AH1">
        <f>SUBTOTAL(9,AH3:AH18)</f>
        <v>100</v>
      </c>
      <c r="AI1">
        <f>COUNTA(AI3:AI19)</f>
        <v>17</v>
      </c>
      <c r="AK1" s="771">
        <v>1</v>
      </c>
      <c r="AL1" s="771">
        <v>3</v>
      </c>
      <c r="AM1" s="771">
        <v>7</v>
      </c>
      <c r="AN1" s="771">
        <v>60</v>
      </c>
    </row>
    <row r="2" spans="1:50" ht="45">
      <c r="A2" s="791" t="s">
        <v>168</v>
      </c>
      <c r="B2" s="792" t="s">
        <v>965</v>
      </c>
      <c r="C2" s="793" t="s">
        <v>966</v>
      </c>
      <c r="D2" s="794" t="s">
        <v>967</v>
      </c>
      <c r="E2" s="794" t="s">
        <v>968</v>
      </c>
      <c r="F2" s="794" t="s">
        <v>969</v>
      </c>
      <c r="G2" s="794" t="s">
        <v>970</v>
      </c>
      <c r="H2" s="794" t="s">
        <v>971</v>
      </c>
      <c r="I2" s="794" t="s">
        <v>972</v>
      </c>
      <c r="J2" s="794" t="s">
        <v>973</v>
      </c>
      <c r="K2" s="794" t="s">
        <v>974</v>
      </c>
      <c r="L2" s="794" t="s">
        <v>975</v>
      </c>
      <c r="M2" s="794" t="s">
        <v>976</v>
      </c>
      <c r="N2" s="794" t="s">
        <v>977</v>
      </c>
      <c r="O2" s="794" t="s">
        <v>978</v>
      </c>
      <c r="P2" s="794" t="s">
        <v>979</v>
      </c>
      <c r="Q2" s="794" t="s">
        <v>980</v>
      </c>
      <c r="R2" s="794" t="s">
        <v>522</v>
      </c>
      <c r="S2" s="795" t="s">
        <v>981</v>
      </c>
      <c r="T2" s="795" t="s">
        <v>982</v>
      </c>
      <c r="U2" s="795" t="s">
        <v>983</v>
      </c>
      <c r="V2" s="752" t="s">
        <v>721</v>
      </c>
      <c r="W2" s="752" t="s">
        <v>722</v>
      </c>
      <c r="X2" s="752" t="s">
        <v>723</v>
      </c>
      <c r="Y2" s="752" t="s">
        <v>721</v>
      </c>
      <c r="Z2" s="752" t="s">
        <v>722</v>
      </c>
      <c r="AA2" s="752" t="s">
        <v>723</v>
      </c>
      <c r="AB2" s="753" t="s">
        <v>724</v>
      </c>
      <c r="AC2" s="753" t="s">
        <v>721</v>
      </c>
      <c r="AD2" s="753" t="s">
        <v>722</v>
      </c>
      <c r="AE2" s="753" t="s">
        <v>723</v>
      </c>
      <c r="AF2" s="753" t="s">
        <v>229</v>
      </c>
      <c r="AG2" s="753" t="s">
        <v>961</v>
      </c>
      <c r="AH2" s="753" t="s">
        <v>720</v>
      </c>
      <c r="AI2" s="753" t="s">
        <v>962</v>
      </c>
      <c r="AJ2" s="753" t="s">
        <v>108</v>
      </c>
      <c r="AK2" s="754">
        <v>0.5</v>
      </c>
      <c r="AL2" s="754">
        <v>0.2</v>
      </c>
      <c r="AM2" s="754">
        <v>0.2</v>
      </c>
      <c r="AN2" s="754">
        <v>0.1</v>
      </c>
      <c r="AO2" s="753" t="s">
        <v>917</v>
      </c>
      <c r="AT2" s="756" t="s">
        <v>730</v>
      </c>
      <c r="AU2" s="756"/>
      <c r="AW2" s="299" t="s">
        <v>741</v>
      </c>
    </row>
    <row r="3" spans="1:50" ht="45">
      <c r="A3" s="761" t="s">
        <v>984</v>
      </c>
      <c r="B3" s="769">
        <v>200</v>
      </c>
      <c r="C3" s="784" t="s">
        <v>985</v>
      </c>
      <c r="D3" s="796"/>
      <c r="E3" s="769">
        <v>455</v>
      </c>
      <c r="F3" s="769">
        <v>210</v>
      </c>
      <c r="G3" s="769">
        <v>335</v>
      </c>
      <c r="H3" s="769">
        <v>254</v>
      </c>
      <c r="I3" s="769">
        <v>275</v>
      </c>
      <c r="J3" s="769">
        <v>135</v>
      </c>
      <c r="K3" s="769">
        <v>500</v>
      </c>
      <c r="L3" s="769"/>
      <c r="M3" s="769">
        <v>272</v>
      </c>
      <c r="N3" s="769">
        <v>485</v>
      </c>
      <c r="O3" s="769">
        <v>275</v>
      </c>
      <c r="P3" s="769">
        <v>205</v>
      </c>
      <c r="Q3" s="769">
        <v>155</v>
      </c>
      <c r="R3" s="769">
        <f>SUM(E3:Q3)</f>
        <v>3556</v>
      </c>
      <c r="S3" s="797">
        <f>R3/$R$20</f>
        <v>0.11910902696365767</v>
      </c>
      <c r="T3" s="798">
        <f>AVERAGE(E3:Q3)</f>
        <v>296.33333333333331</v>
      </c>
      <c r="U3" s="798">
        <f>T3/26</f>
        <v>11.397435897435896</v>
      </c>
      <c r="V3" s="746">
        <v>1200</v>
      </c>
      <c r="W3" s="746">
        <v>800</v>
      </c>
      <c r="X3" s="746">
        <v>1166</v>
      </c>
      <c r="Y3" s="746">
        <v>1200</v>
      </c>
      <c r="Z3" s="746">
        <v>1080</v>
      </c>
      <c r="AA3" s="746">
        <v>1200</v>
      </c>
      <c r="AB3" s="746"/>
      <c r="AC3" s="746">
        <f>ROUNDDOWN(Y3/V3,0)</f>
        <v>1</v>
      </c>
      <c r="AD3" s="746">
        <f t="shared" ref="AD3:AE3" si="0">ROUNDDOWN(Z3/W3,0)</f>
        <v>1</v>
      </c>
      <c r="AE3" s="746">
        <f t="shared" si="0"/>
        <v>1</v>
      </c>
      <c r="AF3" s="746">
        <f>AC3*AD3*AE3</f>
        <v>1</v>
      </c>
      <c r="AG3" s="746">
        <f>B3</f>
        <v>200</v>
      </c>
      <c r="AH3" s="799">
        <f>IFERROR(ROUNDUP(U3/AF3,0),0)</f>
        <v>12</v>
      </c>
      <c r="AI3" s="759" t="s">
        <v>594</v>
      </c>
      <c r="AJ3" s="799">
        <f>AH3*10</f>
        <v>120</v>
      </c>
      <c r="AK3" s="800">
        <f>(AH3*$AK$2)*$AK$1</f>
        <v>6</v>
      </c>
      <c r="AL3" s="800">
        <f>(AH3*$AL$2)*$AL$1</f>
        <v>7.2000000000000011</v>
      </c>
      <c r="AM3" s="800">
        <f>(AH3*$AM$2)*$AM$1</f>
        <v>16.800000000000004</v>
      </c>
      <c r="AN3" s="800">
        <f>(AH3*$AN$2)*$AN$1</f>
        <v>72.000000000000014</v>
      </c>
      <c r="AO3" s="800">
        <f>SUM(AK3:AN3)</f>
        <v>102.00000000000003</v>
      </c>
      <c r="AQ3" s="240" t="s">
        <v>709</v>
      </c>
      <c r="AR3" t="s">
        <v>986</v>
      </c>
      <c r="AT3" s="241" t="s">
        <v>709</v>
      </c>
      <c r="AU3" s="241" t="s">
        <v>987</v>
      </c>
      <c r="AW3" s="240" t="s">
        <v>709</v>
      </c>
      <c r="AX3" t="s">
        <v>988</v>
      </c>
    </row>
    <row r="4" spans="1:50" ht="45">
      <c r="A4" s="761" t="s">
        <v>989</v>
      </c>
      <c r="B4" s="769">
        <v>200</v>
      </c>
      <c r="C4" s="784" t="s">
        <v>990</v>
      </c>
      <c r="D4" s="796" t="s">
        <v>991</v>
      </c>
      <c r="E4" s="769">
        <v>625</v>
      </c>
      <c r="F4" s="769">
        <v>580</v>
      </c>
      <c r="G4" s="769">
        <v>380</v>
      </c>
      <c r="H4" s="769">
        <v>480</v>
      </c>
      <c r="I4" s="769">
        <v>395</v>
      </c>
      <c r="J4" s="769">
        <v>535</v>
      </c>
      <c r="K4" s="769">
        <v>535</v>
      </c>
      <c r="L4" s="769">
        <v>630</v>
      </c>
      <c r="M4" s="769">
        <v>419</v>
      </c>
      <c r="N4" s="769">
        <v>550</v>
      </c>
      <c r="O4" s="769">
        <v>455</v>
      </c>
      <c r="P4" s="769">
        <v>360</v>
      </c>
      <c r="Q4" s="769">
        <v>405</v>
      </c>
      <c r="R4" s="769">
        <f t="shared" ref="R4:R19" si="1">SUM(E4:Q4)</f>
        <v>6349</v>
      </c>
      <c r="S4" s="797">
        <f t="shared" ref="S4:S20" si="2">R4/$R$20</f>
        <v>0.21266119577960141</v>
      </c>
      <c r="T4" s="798">
        <f t="shared" ref="T4:T19" si="3">AVERAGE(E4:Q4)</f>
        <v>488.38461538461536</v>
      </c>
      <c r="U4" s="798">
        <f t="shared" ref="U4:U7" si="4">T4/26</f>
        <v>18.784023668639051</v>
      </c>
      <c r="V4" s="746">
        <v>1200</v>
      </c>
      <c r="W4" s="746">
        <v>1080</v>
      </c>
      <c r="X4" s="746">
        <v>587</v>
      </c>
      <c r="Y4" s="746">
        <v>1200</v>
      </c>
      <c r="Z4" s="746">
        <v>1080</v>
      </c>
      <c r="AA4" s="746">
        <v>1200</v>
      </c>
      <c r="AB4" s="746"/>
      <c r="AC4" s="746">
        <f t="shared" ref="AC4:AC19" si="5">ROUNDDOWN(Y4/V4,0)</f>
        <v>1</v>
      </c>
      <c r="AD4" s="746">
        <f t="shared" ref="AD4:AD19" si="6">ROUNDDOWN(Z4/W4,0)</f>
        <v>1</v>
      </c>
      <c r="AE4" s="746">
        <f t="shared" ref="AE4:AE19" si="7">ROUNDDOWN(AA4/X4,0)</f>
        <v>2</v>
      </c>
      <c r="AF4" s="746">
        <f t="shared" ref="AF4:AF19" si="8">AC4*AD4*AE4</f>
        <v>2</v>
      </c>
      <c r="AG4" s="746">
        <f t="shared" ref="AG4:AG19" si="9">B4</f>
        <v>200</v>
      </c>
      <c r="AH4" s="799">
        <f t="shared" ref="AH4:AH19" si="10">IFERROR(ROUNDUP(U4/AF4,0),0)</f>
        <v>10</v>
      </c>
      <c r="AI4" s="759" t="s">
        <v>594</v>
      </c>
      <c r="AJ4" s="799">
        <f>AH4*10</f>
        <v>100</v>
      </c>
      <c r="AK4" s="800">
        <f t="shared" ref="AK4:AK17" si="11">(AH4*$AK$2)*$AK$1</f>
        <v>5</v>
      </c>
      <c r="AL4" s="800">
        <f t="shared" ref="AL4:AL17" si="12">(AH4*$AL$2)*$AL$1</f>
        <v>6</v>
      </c>
      <c r="AM4" s="800">
        <f t="shared" ref="AM4:AM17" si="13">(AH4*$AM$2)*$AM$1</f>
        <v>14</v>
      </c>
      <c r="AN4" s="800">
        <f t="shared" ref="AN4:AN17" si="14">(AH4*$AN$2)*$AN$1</f>
        <v>60</v>
      </c>
      <c r="AO4" s="800">
        <f t="shared" ref="AO4:AO19" si="15">SUM(AK4:AN4)</f>
        <v>85</v>
      </c>
      <c r="AQ4" s="6" t="s">
        <v>603</v>
      </c>
      <c r="AR4" s="243">
        <v>13.485576923076922</v>
      </c>
      <c r="AT4" s="801" t="s">
        <v>603</v>
      </c>
      <c r="AU4" s="802">
        <f>ROUNDUP(VLOOKUP(AT4,AQ4:AR13,2,0),0)</f>
        <v>14</v>
      </c>
      <c r="AW4" s="6" t="s">
        <v>594</v>
      </c>
      <c r="AX4" s="243">
        <v>103.71104536489152</v>
      </c>
    </row>
    <row r="5" spans="1:50">
      <c r="A5" s="761" t="s">
        <v>992</v>
      </c>
      <c r="B5" s="769"/>
      <c r="C5" s="784" t="s">
        <v>993</v>
      </c>
      <c r="D5" s="796"/>
      <c r="E5" s="769">
        <v>40</v>
      </c>
      <c r="F5" s="769"/>
      <c r="G5" s="769"/>
      <c r="H5" s="769"/>
      <c r="I5" s="769"/>
      <c r="J5" s="769"/>
      <c r="K5" s="769"/>
      <c r="L5" s="769"/>
      <c r="M5" s="769"/>
      <c r="N5" s="769"/>
      <c r="O5" s="769"/>
      <c r="P5" s="769"/>
      <c r="Q5" s="769"/>
      <c r="R5" s="769">
        <f t="shared" si="1"/>
        <v>40</v>
      </c>
      <c r="S5" s="797">
        <f t="shared" si="2"/>
        <v>1.3398090772064981E-3</v>
      </c>
      <c r="T5" s="798">
        <f t="shared" si="3"/>
        <v>40</v>
      </c>
      <c r="U5" s="798">
        <f t="shared" si="4"/>
        <v>1.5384615384615385</v>
      </c>
      <c r="V5" s="746">
        <v>1200</v>
      </c>
      <c r="W5" s="746">
        <v>1080</v>
      </c>
      <c r="X5" s="746">
        <v>125</v>
      </c>
      <c r="Y5" s="746">
        <v>1200</v>
      </c>
      <c r="Z5" s="746">
        <v>1080</v>
      </c>
      <c r="AA5" s="746">
        <v>1200</v>
      </c>
      <c r="AB5" s="746"/>
      <c r="AC5" s="746">
        <f t="shared" si="5"/>
        <v>1</v>
      </c>
      <c r="AD5" s="746">
        <f t="shared" si="6"/>
        <v>1</v>
      </c>
      <c r="AE5" s="746">
        <f t="shared" si="7"/>
        <v>9</v>
      </c>
      <c r="AF5" s="746">
        <f t="shared" si="8"/>
        <v>9</v>
      </c>
      <c r="AG5" s="746">
        <f t="shared" si="9"/>
        <v>0</v>
      </c>
      <c r="AH5" s="799">
        <f t="shared" si="10"/>
        <v>1</v>
      </c>
      <c r="AI5" s="759" t="s">
        <v>594</v>
      </c>
      <c r="AJ5" s="799">
        <f>AH5*10</f>
        <v>10</v>
      </c>
      <c r="AK5" s="800">
        <f t="shared" si="11"/>
        <v>0.5</v>
      </c>
      <c r="AL5" s="800">
        <f t="shared" si="12"/>
        <v>0.60000000000000009</v>
      </c>
      <c r="AM5" s="800">
        <f t="shared" si="13"/>
        <v>1.4000000000000001</v>
      </c>
      <c r="AN5" s="800">
        <f t="shared" si="14"/>
        <v>6</v>
      </c>
      <c r="AO5" s="800">
        <f t="shared" si="15"/>
        <v>8.5</v>
      </c>
      <c r="AQ5" s="6" t="s">
        <v>602</v>
      </c>
      <c r="AR5" s="243">
        <v>27.298076923076927</v>
      </c>
      <c r="AT5" s="801" t="s">
        <v>602</v>
      </c>
      <c r="AU5" s="802">
        <f t="shared" ref="AU5:AU13" si="16">ROUNDUP(VLOOKUP(AT5,AQ5:AR14,2,0),0)</f>
        <v>28</v>
      </c>
      <c r="AW5" s="6" t="s">
        <v>604</v>
      </c>
      <c r="AX5" s="243">
        <v>2.751479289940828</v>
      </c>
    </row>
    <row r="6" spans="1:50" ht="45">
      <c r="A6" s="761" t="s">
        <v>989</v>
      </c>
      <c r="B6" s="769">
        <v>200</v>
      </c>
      <c r="C6" s="784" t="s">
        <v>994</v>
      </c>
      <c r="D6" s="796"/>
      <c r="E6" s="769"/>
      <c r="F6" s="769">
        <v>10</v>
      </c>
      <c r="G6" s="769">
        <v>20</v>
      </c>
      <c r="H6" s="769">
        <v>10</v>
      </c>
      <c r="I6" s="769"/>
      <c r="J6" s="769">
        <v>10</v>
      </c>
      <c r="K6" s="769"/>
      <c r="L6" s="769"/>
      <c r="M6" s="769">
        <v>65</v>
      </c>
      <c r="N6" s="769"/>
      <c r="O6" s="769"/>
      <c r="P6" s="769">
        <v>40</v>
      </c>
      <c r="Q6" s="769"/>
      <c r="R6" s="769">
        <f t="shared" si="1"/>
        <v>155</v>
      </c>
      <c r="S6" s="797">
        <f t="shared" si="2"/>
        <v>5.1917601741751796E-3</v>
      </c>
      <c r="T6" s="798">
        <f t="shared" si="3"/>
        <v>25.833333333333332</v>
      </c>
      <c r="U6" s="798">
        <f t="shared" si="4"/>
        <v>0.9935897435897435</v>
      </c>
      <c r="V6" s="746">
        <v>760</v>
      </c>
      <c r="W6" s="746">
        <v>760</v>
      </c>
      <c r="X6" s="746">
        <v>610</v>
      </c>
      <c r="Y6" s="746">
        <v>1200</v>
      </c>
      <c r="Z6" s="746">
        <v>1080</v>
      </c>
      <c r="AA6" s="746">
        <v>1200</v>
      </c>
      <c r="AB6" s="746"/>
      <c r="AC6" s="746">
        <f t="shared" si="5"/>
        <v>1</v>
      </c>
      <c r="AD6" s="746">
        <f t="shared" si="6"/>
        <v>1</v>
      </c>
      <c r="AE6" s="746">
        <f t="shared" si="7"/>
        <v>1</v>
      </c>
      <c r="AF6" s="746">
        <f t="shared" si="8"/>
        <v>1</v>
      </c>
      <c r="AG6" s="746">
        <f t="shared" si="9"/>
        <v>200</v>
      </c>
      <c r="AH6" s="799">
        <f t="shared" si="10"/>
        <v>1</v>
      </c>
      <c r="AI6" s="759" t="s">
        <v>599</v>
      </c>
      <c r="AJ6" s="799">
        <f>AH6*10</f>
        <v>10</v>
      </c>
      <c r="AK6" s="800">
        <f t="shared" si="11"/>
        <v>0.5</v>
      </c>
      <c r="AL6" s="800">
        <f t="shared" si="12"/>
        <v>0.60000000000000009</v>
      </c>
      <c r="AM6" s="800">
        <f t="shared" si="13"/>
        <v>1.4000000000000001</v>
      </c>
      <c r="AN6" s="800">
        <f t="shared" si="14"/>
        <v>6</v>
      </c>
      <c r="AO6" s="800">
        <f t="shared" si="15"/>
        <v>8.5</v>
      </c>
      <c r="AQ6" s="6" t="s">
        <v>601</v>
      </c>
      <c r="AR6" s="243">
        <v>8.5</v>
      </c>
      <c r="AT6" s="801" t="s">
        <v>601</v>
      </c>
      <c r="AU6" s="802">
        <f t="shared" si="16"/>
        <v>9</v>
      </c>
      <c r="AW6" s="6" t="s">
        <v>605</v>
      </c>
      <c r="AX6" s="243">
        <v>2.3076923076923075</v>
      </c>
    </row>
    <row r="7" spans="1:50" ht="45">
      <c r="A7" s="761" t="s">
        <v>992</v>
      </c>
      <c r="B7" s="769"/>
      <c r="C7" s="784" t="s">
        <v>995</v>
      </c>
      <c r="D7" s="796"/>
      <c r="E7" s="769"/>
      <c r="F7" s="769"/>
      <c r="G7" s="769"/>
      <c r="H7" s="769"/>
      <c r="I7" s="769"/>
      <c r="J7" s="769"/>
      <c r="K7" s="769"/>
      <c r="L7" s="769"/>
      <c r="M7" s="769">
        <v>2</v>
      </c>
      <c r="N7" s="769"/>
      <c r="O7" s="769"/>
      <c r="P7" s="769"/>
      <c r="Q7" s="769"/>
      <c r="R7" s="769">
        <f t="shared" si="1"/>
        <v>2</v>
      </c>
      <c r="S7" s="797">
        <f t="shared" si="2"/>
        <v>6.69904538603249E-5</v>
      </c>
      <c r="T7" s="798">
        <f t="shared" si="3"/>
        <v>2</v>
      </c>
      <c r="U7" s="798">
        <f t="shared" si="4"/>
        <v>7.6923076923076927E-2</v>
      </c>
      <c r="V7" s="746">
        <v>1140</v>
      </c>
      <c r="W7" s="746">
        <v>980</v>
      </c>
      <c r="X7" s="746">
        <v>1195</v>
      </c>
      <c r="Y7" s="746">
        <v>1200</v>
      </c>
      <c r="Z7" s="746">
        <v>1080</v>
      </c>
      <c r="AA7" s="746">
        <v>1200</v>
      </c>
      <c r="AB7" s="746"/>
      <c r="AC7" s="746">
        <f t="shared" si="5"/>
        <v>1</v>
      </c>
      <c r="AD7" s="746">
        <f t="shared" si="6"/>
        <v>1</v>
      </c>
      <c r="AE7" s="746">
        <f t="shared" si="7"/>
        <v>1</v>
      </c>
      <c r="AF7" s="746">
        <f t="shared" si="8"/>
        <v>1</v>
      </c>
      <c r="AG7" s="746">
        <f t="shared" si="9"/>
        <v>0</v>
      </c>
      <c r="AH7" s="799">
        <f t="shared" si="10"/>
        <v>1</v>
      </c>
      <c r="AI7" s="759" t="s">
        <v>601</v>
      </c>
      <c r="AJ7" s="799">
        <f>AH7*10</f>
        <v>10</v>
      </c>
      <c r="AK7" s="800">
        <f t="shared" si="11"/>
        <v>0.5</v>
      </c>
      <c r="AL7" s="800">
        <f t="shared" si="12"/>
        <v>0.60000000000000009</v>
      </c>
      <c r="AM7" s="800">
        <f t="shared" si="13"/>
        <v>1.4000000000000001</v>
      </c>
      <c r="AN7" s="800">
        <f t="shared" si="14"/>
        <v>6</v>
      </c>
      <c r="AO7" s="800">
        <f t="shared" si="15"/>
        <v>8.5</v>
      </c>
      <c r="AQ7" s="6" t="s">
        <v>600</v>
      </c>
      <c r="AR7" s="243">
        <v>8.5</v>
      </c>
      <c r="AT7" s="801" t="s">
        <v>600</v>
      </c>
      <c r="AU7" s="802">
        <f t="shared" si="16"/>
        <v>9</v>
      </c>
      <c r="AW7" s="6" t="s">
        <v>606</v>
      </c>
      <c r="AX7" s="243">
        <v>0.24038461538461539</v>
      </c>
    </row>
    <row r="8" spans="1:50" ht="45">
      <c r="A8" s="761" t="s">
        <v>984</v>
      </c>
      <c r="B8" s="769">
        <v>500</v>
      </c>
      <c r="C8" s="784" t="s">
        <v>996</v>
      </c>
      <c r="D8" s="796" t="s">
        <v>997</v>
      </c>
      <c r="E8" s="769">
        <v>1365</v>
      </c>
      <c r="F8" s="769">
        <v>1360</v>
      </c>
      <c r="G8" s="769">
        <v>957</v>
      </c>
      <c r="H8" s="769">
        <v>1305</v>
      </c>
      <c r="I8" s="769">
        <v>915</v>
      </c>
      <c r="J8" s="769">
        <v>1665</v>
      </c>
      <c r="K8" s="769">
        <v>1430</v>
      </c>
      <c r="L8" s="769">
        <v>1500</v>
      </c>
      <c r="M8" s="769">
        <v>1046</v>
      </c>
      <c r="N8" s="769">
        <v>1480</v>
      </c>
      <c r="O8" s="769">
        <v>940</v>
      </c>
      <c r="P8" s="769">
        <v>1265</v>
      </c>
      <c r="Q8" s="769">
        <v>1370</v>
      </c>
      <c r="R8" s="769">
        <f t="shared" si="1"/>
        <v>16598</v>
      </c>
      <c r="S8" s="803">
        <f t="shared" si="2"/>
        <v>0.55595377658683642</v>
      </c>
      <c r="T8" s="798">
        <f t="shared" si="3"/>
        <v>1276.7692307692307</v>
      </c>
      <c r="U8" s="804">
        <f>T8/26</f>
        <v>49.106508875739642</v>
      </c>
      <c r="V8" s="746">
        <v>1200</v>
      </c>
      <c r="W8" s="746">
        <v>1080</v>
      </c>
      <c r="X8" s="746">
        <v>1200</v>
      </c>
      <c r="Y8" s="746">
        <v>1200</v>
      </c>
      <c r="Z8" s="746">
        <v>1080</v>
      </c>
      <c r="AA8" s="746">
        <v>1200</v>
      </c>
      <c r="AB8" s="746"/>
      <c r="AC8" s="746">
        <f t="shared" si="5"/>
        <v>1</v>
      </c>
      <c r="AD8" s="746">
        <f t="shared" si="6"/>
        <v>1</v>
      </c>
      <c r="AE8" s="746">
        <f t="shared" si="7"/>
        <v>1</v>
      </c>
      <c r="AF8" s="746">
        <f t="shared" si="8"/>
        <v>1</v>
      </c>
      <c r="AG8" s="746">
        <f t="shared" si="9"/>
        <v>500</v>
      </c>
      <c r="AH8" s="799">
        <f t="shared" si="10"/>
        <v>50</v>
      </c>
      <c r="AI8" s="759" t="s">
        <v>594</v>
      </c>
      <c r="AJ8" s="799">
        <f t="shared" ref="AJ8:AJ10" si="17">AH8*10</f>
        <v>500</v>
      </c>
      <c r="AK8" s="800">
        <f t="shared" si="11"/>
        <v>25</v>
      </c>
      <c r="AL8" s="800">
        <f t="shared" si="12"/>
        <v>30</v>
      </c>
      <c r="AM8" s="800">
        <f t="shared" si="13"/>
        <v>70</v>
      </c>
      <c r="AN8" s="800">
        <f t="shared" si="14"/>
        <v>300</v>
      </c>
      <c r="AO8" s="800">
        <f t="shared" si="15"/>
        <v>425</v>
      </c>
      <c r="AQ8" s="6" t="s">
        <v>599</v>
      </c>
      <c r="AR8" s="243">
        <v>8.5</v>
      </c>
      <c r="AT8" s="801" t="s">
        <v>599</v>
      </c>
      <c r="AU8" s="802">
        <f t="shared" si="16"/>
        <v>9</v>
      </c>
      <c r="AW8" s="6" t="s">
        <v>607</v>
      </c>
      <c r="AX8" s="243">
        <v>0.73717948717948723</v>
      </c>
    </row>
    <row r="9" spans="1:50" ht="30">
      <c r="A9" s="761" t="s">
        <v>992</v>
      </c>
      <c r="B9" s="769"/>
      <c r="C9" s="784" t="s">
        <v>998</v>
      </c>
      <c r="D9" s="796"/>
      <c r="E9" s="769"/>
      <c r="F9" s="769"/>
      <c r="G9" s="769"/>
      <c r="H9" s="769"/>
      <c r="I9" s="769"/>
      <c r="J9" s="769"/>
      <c r="K9" s="769"/>
      <c r="L9" s="769">
        <v>555</v>
      </c>
      <c r="M9" s="769"/>
      <c r="N9" s="769"/>
      <c r="O9" s="769"/>
      <c r="P9" s="769"/>
      <c r="Q9" s="769"/>
      <c r="R9" s="769">
        <f t="shared" si="1"/>
        <v>555</v>
      </c>
      <c r="S9" s="797">
        <f t="shared" si="2"/>
        <v>1.8589850946240161E-2</v>
      </c>
      <c r="T9" s="798">
        <f t="shared" si="3"/>
        <v>555</v>
      </c>
      <c r="U9" s="798">
        <f t="shared" ref="U9:U19" si="18">T9/26</f>
        <v>21.346153846153847</v>
      </c>
      <c r="V9" s="746">
        <v>1200</v>
      </c>
      <c r="W9" s="746">
        <v>800</v>
      </c>
      <c r="X9" s="746">
        <v>1166</v>
      </c>
      <c r="Y9" s="746">
        <v>1200</v>
      </c>
      <c r="Z9" s="746">
        <v>1080</v>
      </c>
      <c r="AA9" s="746">
        <v>1200</v>
      </c>
      <c r="AB9" s="746"/>
      <c r="AC9" s="746">
        <f t="shared" si="5"/>
        <v>1</v>
      </c>
      <c r="AD9" s="746">
        <f t="shared" si="6"/>
        <v>1</v>
      </c>
      <c r="AE9" s="746">
        <f t="shared" si="7"/>
        <v>1</v>
      </c>
      <c r="AF9" s="746">
        <f t="shared" si="8"/>
        <v>1</v>
      </c>
      <c r="AG9" s="746">
        <f t="shared" si="9"/>
        <v>0</v>
      </c>
      <c r="AH9" s="799">
        <f t="shared" si="10"/>
        <v>22</v>
      </c>
      <c r="AI9" s="759" t="s">
        <v>594</v>
      </c>
      <c r="AJ9" s="799">
        <f>AH9*10</f>
        <v>220</v>
      </c>
      <c r="AK9" s="800">
        <f t="shared" si="11"/>
        <v>11</v>
      </c>
      <c r="AL9" s="800">
        <f t="shared" si="12"/>
        <v>13.200000000000001</v>
      </c>
      <c r="AM9" s="800">
        <f t="shared" si="13"/>
        <v>30.800000000000004</v>
      </c>
      <c r="AN9" s="800">
        <f t="shared" si="14"/>
        <v>132</v>
      </c>
      <c r="AO9" s="800">
        <f t="shared" si="15"/>
        <v>187</v>
      </c>
      <c r="AQ9" s="6" t="s">
        <v>607</v>
      </c>
      <c r="AR9" s="243">
        <v>6.2660256410256414</v>
      </c>
      <c r="AT9" s="801" t="s">
        <v>607</v>
      </c>
      <c r="AU9" s="802">
        <f t="shared" si="16"/>
        <v>7</v>
      </c>
      <c r="AW9" s="6" t="s">
        <v>599</v>
      </c>
      <c r="AX9" s="243">
        <v>0.9935897435897435</v>
      </c>
    </row>
    <row r="10" spans="1:50" ht="30">
      <c r="A10" s="761" t="s">
        <v>992</v>
      </c>
      <c r="B10" s="769"/>
      <c r="C10" s="784" t="s">
        <v>999</v>
      </c>
      <c r="D10" s="796"/>
      <c r="E10" s="769">
        <v>40</v>
      </c>
      <c r="F10" s="769"/>
      <c r="G10" s="769"/>
      <c r="H10" s="769"/>
      <c r="I10" s="769"/>
      <c r="J10" s="769"/>
      <c r="K10" s="769"/>
      <c r="L10" s="769"/>
      <c r="M10" s="769"/>
      <c r="N10" s="769"/>
      <c r="O10" s="769"/>
      <c r="P10" s="769"/>
      <c r="Q10" s="769"/>
      <c r="R10" s="769">
        <f t="shared" si="1"/>
        <v>40</v>
      </c>
      <c r="S10" s="797">
        <f t="shared" si="2"/>
        <v>1.3398090772064981E-3</v>
      </c>
      <c r="T10" s="798">
        <f t="shared" si="3"/>
        <v>40</v>
      </c>
      <c r="U10" s="798">
        <f t="shared" si="18"/>
        <v>1.5384615384615385</v>
      </c>
      <c r="V10" s="746">
        <v>1200</v>
      </c>
      <c r="W10" s="746">
        <v>1080</v>
      </c>
      <c r="X10" s="746">
        <v>1200</v>
      </c>
      <c r="Y10" s="746">
        <v>1200</v>
      </c>
      <c r="Z10" s="746">
        <v>1080</v>
      </c>
      <c r="AA10" s="746">
        <v>1200</v>
      </c>
      <c r="AB10" s="746"/>
      <c r="AC10" s="746">
        <f t="shared" si="5"/>
        <v>1</v>
      </c>
      <c r="AD10" s="746">
        <f t="shared" si="6"/>
        <v>1</v>
      </c>
      <c r="AE10" s="746">
        <f t="shared" si="7"/>
        <v>1</v>
      </c>
      <c r="AF10" s="746">
        <f t="shared" si="8"/>
        <v>1</v>
      </c>
      <c r="AG10" s="746">
        <f t="shared" si="9"/>
        <v>0</v>
      </c>
      <c r="AH10" s="799">
        <f t="shared" si="10"/>
        <v>2</v>
      </c>
      <c r="AI10" s="759" t="s">
        <v>594</v>
      </c>
      <c r="AJ10" s="799">
        <f t="shared" si="17"/>
        <v>20</v>
      </c>
      <c r="AK10" s="800">
        <f t="shared" si="11"/>
        <v>1</v>
      </c>
      <c r="AL10" s="800">
        <f t="shared" si="12"/>
        <v>1.2000000000000002</v>
      </c>
      <c r="AM10" s="800">
        <f t="shared" si="13"/>
        <v>2.8000000000000003</v>
      </c>
      <c r="AN10" s="800">
        <f t="shared" si="14"/>
        <v>12</v>
      </c>
      <c r="AO10" s="800">
        <f t="shared" si="15"/>
        <v>17</v>
      </c>
      <c r="AQ10" s="6" t="s">
        <v>606</v>
      </c>
      <c r="AR10" s="243">
        <v>2.0432692307692308</v>
      </c>
      <c r="AT10" s="801" t="s">
        <v>606</v>
      </c>
      <c r="AU10" s="802">
        <f t="shared" si="16"/>
        <v>3</v>
      </c>
      <c r="AW10" s="6" t="s">
        <v>600</v>
      </c>
      <c r="AX10" s="243">
        <v>0.87912087912087911</v>
      </c>
    </row>
    <row r="11" spans="1:50">
      <c r="A11" s="761" t="s">
        <v>992</v>
      </c>
      <c r="B11" s="769"/>
      <c r="C11" s="784" t="s">
        <v>1000</v>
      </c>
      <c r="D11" s="796"/>
      <c r="E11" s="769"/>
      <c r="F11" s="769"/>
      <c r="G11" s="769"/>
      <c r="H11" s="769"/>
      <c r="I11" s="769"/>
      <c r="J11" s="769"/>
      <c r="K11" s="769"/>
      <c r="L11" s="769"/>
      <c r="M11" s="769">
        <v>30</v>
      </c>
      <c r="N11" s="769"/>
      <c r="O11" s="769"/>
      <c r="P11" s="769"/>
      <c r="Q11" s="769"/>
      <c r="R11" s="769">
        <f t="shared" si="1"/>
        <v>30</v>
      </c>
      <c r="S11" s="797">
        <f t="shared" si="2"/>
        <v>1.0048568079048736E-3</v>
      </c>
      <c r="T11" s="798">
        <f t="shared" si="3"/>
        <v>30</v>
      </c>
      <c r="U11" s="798">
        <f t="shared" si="18"/>
        <v>1.1538461538461537</v>
      </c>
      <c r="V11" s="746">
        <f>CONVERT(72,"in","mm")</f>
        <v>1828.8</v>
      </c>
      <c r="W11" s="746">
        <f>CONVERT(57,"in","mm")</f>
        <v>1447.8</v>
      </c>
      <c r="X11" s="746">
        <f>CONVERT(15,"in","mm")</f>
        <v>381</v>
      </c>
      <c r="Y11" s="746">
        <v>1200</v>
      </c>
      <c r="Z11" s="746">
        <v>1080</v>
      </c>
      <c r="AA11" s="746">
        <v>1200</v>
      </c>
      <c r="AB11" s="746"/>
      <c r="AC11" s="746">
        <f t="shared" si="5"/>
        <v>0</v>
      </c>
      <c r="AD11" s="746">
        <f t="shared" si="6"/>
        <v>0</v>
      </c>
      <c r="AE11" s="746">
        <f t="shared" si="7"/>
        <v>3</v>
      </c>
      <c r="AF11" s="746">
        <f t="shared" si="8"/>
        <v>0</v>
      </c>
      <c r="AG11" s="746">
        <f t="shared" si="9"/>
        <v>0</v>
      </c>
      <c r="AH11" s="799">
        <f t="shared" si="10"/>
        <v>0</v>
      </c>
      <c r="AI11" s="759" t="s">
        <v>605</v>
      </c>
      <c r="AJ11" s="799">
        <f>U11*10</f>
        <v>11.538461538461537</v>
      </c>
      <c r="AK11" s="800">
        <f>(U11*$AK$2)*$AK$1</f>
        <v>0.57692307692307687</v>
      </c>
      <c r="AL11" s="800">
        <f>(U11*$AL$2)*$AL$1</f>
        <v>0.69230769230769229</v>
      </c>
      <c r="AM11" s="800">
        <f>(U11*$AM$2)*$AM$1</f>
        <v>1.6153846153846152</v>
      </c>
      <c r="AN11" s="800">
        <f>(U11*$AN$2)*$AN$1</f>
        <v>6.9230769230769225</v>
      </c>
      <c r="AO11" s="800">
        <f t="shared" si="15"/>
        <v>9.8076923076923066</v>
      </c>
      <c r="AQ11" s="6" t="s">
        <v>605</v>
      </c>
      <c r="AR11" s="243">
        <v>19.615384615384613</v>
      </c>
      <c r="AT11" s="801" t="s">
        <v>605</v>
      </c>
      <c r="AU11" s="802">
        <f t="shared" si="16"/>
        <v>20</v>
      </c>
      <c r="AW11" s="6" t="s">
        <v>601</v>
      </c>
      <c r="AX11" s="243">
        <v>7.6923076923076927E-2</v>
      </c>
    </row>
    <row r="12" spans="1:50">
      <c r="A12" s="761" t="s">
        <v>992</v>
      </c>
      <c r="B12" s="769"/>
      <c r="C12" s="784" t="s">
        <v>1001</v>
      </c>
      <c r="D12" s="796"/>
      <c r="E12" s="769"/>
      <c r="F12" s="769"/>
      <c r="G12" s="769"/>
      <c r="H12" s="769"/>
      <c r="I12" s="769"/>
      <c r="J12" s="769"/>
      <c r="K12" s="769"/>
      <c r="L12" s="769"/>
      <c r="M12" s="769">
        <v>30</v>
      </c>
      <c r="N12" s="769"/>
      <c r="O12" s="769"/>
      <c r="P12" s="769"/>
      <c r="Q12" s="769"/>
      <c r="R12" s="769">
        <f t="shared" si="1"/>
        <v>30</v>
      </c>
      <c r="S12" s="797">
        <f t="shared" si="2"/>
        <v>1.0048568079048736E-3</v>
      </c>
      <c r="T12" s="798">
        <f t="shared" si="3"/>
        <v>30</v>
      </c>
      <c r="U12" s="798">
        <f t="shared" si="18"/>
        <v>1.1538461538461537</v>
      </c>
      <c r="V12" s="746">
        <f>CONVERT(72,"in","mm")</f>
        <v>1828.8</v>
      </c>
      <c r="W12" s="746">
        <f>CONVERT(57,"in","mm")</f>
        <v>1447.8</v>
      </c>
      <c r="X12" s="746">
        <f>CONVERT(20,"in","mm")</f>
        <v>508</v>
      </c>
      <c r="Y12" s="746">
        <v>1200</v>
      </c>
      <c r="Z12" s="746">
        <v>1080</v>
      </c>
      <c r="AA12" s="746">
        <v>1200</v>
      </c>
      <c r="AB12" s="746"/>
      <c r="AC12" s="746">
        <f t="shared" si="5"/>
        <v>0</v>
      </c>
      <c r="AD12" s="746">
        <f t="shared" si="6"/>
        <v>0</v>
      </c>
      <c r="AE12" s="746">
        <f t="shared" si="7"/>
        <v>2</v>
      </c>
      <c r="AF12" s="746">
        <f t="shared" si="8"/>
        <v>0</v>
      </c>
      <c r="AG12" s="746">
        <f t="shared" si="9"/>
        <v>0</v>
      </c>
      <c r="AH12" s="799">
        <f t="shared" si="10"/>
        <v>0</v>
      </c>
      <c r="AI12" s="759" t="s">
        <v>605</v>
      </c>
      <c r="AJ12" s="799">
        <f>U12*10</f>
        <v>11.538461538461537</v>
      </c>
      <c r="AK12" s="800">
        <f t="shared" ref="AK12:AK16" si="19">(U12*$AK$2)*$AK$1</f>
        <v>0.57692307692307687</v>
      </c>
      <c r="AL12" s="800">
        <f t="shared" ref="AL12:AL16" si="20">(U12*$AL$2)*$AL$1</f>
        <v>0.69230769230769229</v>
      </c>
      <c r="AM12" s="800">
        <f t="shared" ref="AM12:AM16" si="21">(U12*$AM$2)*$AM$1</f>
        <v>1.6153846153846152</v>
      </c>
      <c r="AN12" s="800">
        <f t="shared" ref="AN12:AN16" si="22">(U12*$AN$2)*$AN$1</f>
        <v>6.9230769230769225</v>
      </c>
      <c r="AO12" s="800">
        <f t="shared" si="15"/>
        <v>9.8076923076923066</v>
      </c>
      <c r="AQ12" s="6" t="s">
        <v>604</v>
      </c>
      <c r="AR12" s="243">
        <v>23.387573964497037</v>
      </c>
      <c r="AT12" s="801" t="s">
        <v>604</v>
      </c>
      <c r="AU12" s="802">
        <f t="shared" si="16"/>
        <v>24</v>
      </c>
      <c r="AW12" s="6" t="s">
        <v>602</v>
      </c>
      <c r="AX12" s="243">
        <v>3.2115384615384617</v>
      </c>
    </row>
    <row r="13" spans="1:50">
      <c r="A13" s="761" t="s">
        <v>992</v>
      </c>
      <c r="B13" s="769"/>
      <c r="C13" s="784" t="s">
        <v>1002</v>
      </c>
      <c r="D13" s="796"/>
      <c r="E13" s="769">
        <v>70</v>
      </c>
      <c r="F13" s="769">
        <v>50</v>
      </c>
      <c r="G13" s="769">
        <v>55</v>
      </c>
      <c r="H13" s="769">
        <v>20</v>
      </c>
      <c r="I13" s="769">
        <v>60</v>
      </c>
      <c r="J13" s="769">
        <v>30</v>
      </c>
      <c r="K13" s="769">
        <v>65</v>
      </c>
      <c r="L13" s="769"/>
      <c r="M13" s="769">
        <v>35</v>
      </c>
      <c r="N13" s="769">
        <v>10</v>
      </c>
      <c r="O13" s="769">
        <v>20</v>
      </c>
      <c r="P13" s="769">
        <v>10</v>
      </c>
      <c r="Q13" s="769">
        <v>70</v>
      </c>
      <c r="R13" s="769">
        <f t="shared" si="1"/>
        <v>495</v>
      </c>
      <c r="S13" s="797">
        <f t="shared" si="2"/>
        <v>1.6580137330430414E-2</v>
      </c>
      <c r="T13" s="798">
        <f t="shared" si="3"/>
        <v>41.25</v>
      </c>
      <c r="U13" s="798">
        <f t="shared" si="18"/>
        <v>1.5865384615384615</v>
      </c>
      <c r="V13" s="746">
        <f>CONVERT(58,"in","mm")</f>
        <v>1473.2</v>
      </c>
      <c r="W13" s="746">
        <f>CONVERT(42,"in","mm")</f>
        <v>1066.8</v>
      </c>
      <c r="X13" s="746">
        <f>CONVERT(21,"in","mm")</f>
        <v>533.4</v>
      </c>
      <c r="Y13" s="746">
        <v>1200</v>
      </c>
      <c r="Z13" s="746">
        <v>1080</v>
      </c>
      <c r="AA13" s="746">
        <v>1200</v>
      </c>
      <c r="AB13" s="746"/>
      <c r="AC13" s="746">
        <f t="shared" si="5"/>
        <v>0</v>
      </c>
      <c r="AD13" s="746">
        <f t="shared" si="6"/>
        <v>1</v>
      </c>
      <c r="AE13" s="746">
        <f t="shared" si="7"/>
        <v>2</v>
      </c>
      <c r="AF13" s="746">
        <f t="shared" si="8"/>
        <v>0</v>
      </c>
      <c r="AG13" s="746">
        <f t="shared" si="9"/>
        <v>0</v>
      </c>
      <c r="AH13" s="799">
        <f t="shared" si="10"/>
        <v>0</v>
      </c>
      <c r="AI13" s="759" t="s">
        <v>603</v>
      </c>
      <c r="AJ13" s="799">
        <f>U13*10</f>
        <v>15.865384615384615</v>
      </c>
      <c r="AK13" s="800">
        <f t="shared" si="19"/>
        <v>0.79326923076923073</v>
      </c>
      <c r="AL13" s="800">
        <f t="shared" si="20"/>
        <v>0.95192307692307687</v>
      </c>
      <c r="AM13" s="800">
        <f t="shared" si="21"/>
        <v>2.2211538461538458</v>
      </c>
      <c r="AN13" s="800">
        <f t="shared" si="22"/>
        <v>9.5192307692307683</v>
      </c>
      <c r="AO13" s="800">
        <f t="shared" si="15"/>
        <v>13.485576923076922</v>
      </c>
      <c r="AQ13" s="6" t="s">
        <v>594</v>
      </c>
      <c r="AR13" s="243">
        <v>824.5</v>
      </c>
      <c r="AT13" s="801" t="s">
        <v>594</v>
      </c>
      <c r="AU13" s="802">
        <f t="shared" si="16"/>
        <v>825</v>
      </c>
      <c r="AW13" s="6" t="s">
        <v>603</v>
      </c>
      <c r="AX13" s="243">
        <v>1.5865384615384615</v>
      </c>
    </row>
    <row r="14" spans="1:50">
      <c r="A14" s="761" t="s">
        <v>992</v>
      </c>
      <c r="B14" s="769"/>
      <c r="C14" s="784" t="s">
        <v>1003</v>
      </c>
      <c r="D14" s="796"/>
      <c r="E14" s="769">
        <v>40</v>
      </c>
      <c r="F14" s="769">
        <v>75</v>
      </c>
      <c r="G14" s="769">
        <v>20</v>
      </c>
      <c r="H14" s="769">
        <v>95</v>
      </c>
      <c r="I14" s="769">
        <v>115</v>
      </c>
      <c r="J14" s="769">
        <v>25</v>
      </c>
      <c r="K14" s="769">
        <v>210</v>
      </c>
      <c r="L14" s="769">
        <v>55</v>
      </c>
      <c r="M14" s="769">
        <v>20</v>
      </c>
      <c r="N14" s="769">
        <v>100</v>
      </c>
      <c r="O14" s="769">
        <v>65</v>
      </c>
      <c r="P14" s="769">
        <v>80</v>
      </c>
      <c r="Q14" s="769">
        <v>30</v>
      </c>
      <c r="R14" s="769">
        <f t="shared" si="1"/>
        <v>930</v>
      </c>
      <c r="S14" s="797">
        <f t="shared" si="2"/>
        <v>3.1150561045051081E-2</v>
      </c>
      <c r="T14" s="798">
        <f t="shared" si="3"/>
        <v>71.538461538461533</v>
      </c>
      <c r="U14" s="798">
        <f t="shared" si="18"/>
        <v>2.751479289940828</v>
      </c>
      <c r="V14" s="746">
        <f>CONVERT(62,"in","mm")</f>
        <v>1574.8</v>
      </c>
      <c r="W14" s="746">
        <f>CONVERT(48,"in","mm")</f>
        <v>1219.2</v>
      </c>
      <c r="X14" s="746">
        <f>CONVERT(21,"in","mm")</f>
        <v>533.4</v>
      </c>
      <c r="Y14" s="746">
        <v>1200</v>
      </c>
      <c r="Z14" s="746">
        <v>1080</v>
      </c>
      <c r="AA14" s="746">
        <v>1200</v>
      </c>
      <c r="AB14" s="746"/>
      <c r="AC14" s="746">
        <f t="shared" si="5"/>
        <v>0</v>
      </c>
      <c r="AD14" s="746">
        <f t="shared" si="6"/>
        <v>0</v>
      </c>
      <c r="AE14" s="746">
        <f t="shared" si="7"/>
        <v>2</v>
      </c>
      <c r="AF14" s="746">
        <f t="shared" si="8"/>
        <v>0</v>
      </c>
      <c r="AG14" s="746">
        <f t="shared" si="9"/>
        <v>0</v>
      </c>
      <c r="AH14" s="799">
        <f t="shared" si="10"/>
        <v>0</v>
      </c>
      <c r="AI14" s="759" t="s">
        <v>604</v>
      </c>
      <c r="AJ14" s="799">
        <f>U14*10</f>
        <v>27.514792899408281</v>
      </c>
      <c r="AK14" s="800">
        <f t="shared" si="19"/>
        <v>1.375739644970414</v>
      </c>
      <c r="AL14" s="800">
        <f t="shared" si="20"/>
        <v>1.6508875739644968</v>
      </c>
      <c r="AM14" s="800">
        <f t="shared" si="21"/>
        <v>3.8520710059171592</v>
      </c>
      <c r="AN14" s="800">
        <f t="shared" si="22"/>
        <v>16.508875739644967</v>
      </c>
      <c r="AO14" s="800">
        <f t="shared" si="15"/>
        <v>23.387573964497037</v>
      </c>
      <c r="AQ14" s="6" t="s">
        <v>522</v>
      </c>
      <c r="AR14" s="243">
        <v>942.09590729783031</v>
      </c>
      <c r="AW14" s="6" t="s">
        <v>522</v>
      </c>
      <c r="AX14" s="243">
        <v>116.49549168779939</v>
      </c>
    </row>
    <row r="15" spans="1:50">
      <c r="A15" s="761" t="s">
        <v>992</v>
      </c>
      <c r="B15" s="769"/>
      <c r="C15" s="784" t="s">
        <v>1004</v>
      </c>
      <c r="D15" s="796"/>
      <c r="E15" s="769">
        <v>10</v>
      </c>
      <c r="F15" s="769">
        <v>5</v>
      </c>
      <c r="G15" s="769">
        <v>5</v>
      </c>
      <c r="H15" s="769"/>
      <c r="I15" s="769">
        <v>5</v>
      </c>
      <c r="J15" s="769"/>
      <c r="K15" s="769"/>
      <c r="L15" s="769"/>
      <c r="M15" s="769"/>
      <c r="N15" s="769"/>
      <c r="O15" s="769"/>
      <c r="P15" s="769"/>
      <c r="Q15" s="769"/>
      <c r="R15" s="769">
        <f t="shared" si="1"/>
        <v>25</v>
      </c>
      <c r="S15" s="797">
        <f t="shared" si="2"/>
        <v>8.3738067325406132E-4</v>
      </c>
      <c r="T15" s="798">
        <f t="shared" si="3"/>
        <v>6.25</v>
      </c>
      <c r="U15" s="798">
        <f t="shared" si="18"/>
        <v>0.24038461538461539</v>
      </c>
      <c r="V15" s="746">
        <f>CONVERT(80,"in","mm")</f>
        <v>2032</v>
      </c>
      <c r="W15" s="746">
        <f>CONVERT(42,"in","mm")</f>
        <v>1066.8</v>
      </c>
      <c r="X15" s="746">
        <f>CONVERT(21,"in","mm")</f>
        <v>533.4</v>
      </c>
      <c r="Y15" s="746">
        <v>1200</v>
      </c>
      <c r="Z15" s="746">
        <v>1080</v>
      </c>
      <c r="AA15" s="746">
        <v>1200</v>
      </c>
      <c r="AB15" s="746"/>
      <c r="AC15" s="746">
        <f t="shared" si="5"/>
        <v>0</v>
      </c>
      <c r="AD15" s="746">
        <f t="shared" si="6"/>
        <v>1</v>
      </c>
      <c r="AE15" s="746">
        <f t="shared" si="7"/>
        <v>2</v>
      </c>
      <c r="AF15" s="746">
        <f t="shared" si="8"/>
        <v>0</v>
      </c>
      <c r="AG15" s="746">
        <f t="shared" si="9"/>
        <v>0</v>
      </c>
      <c r="AH15" s="799">
        <f t="shared" si="10"/>
        <v>0</v>
      </c>
      <c r="AI15" s="759" t="s">
        <v>606</v>
      </c>
      <c r="AJ15" s="799">
        <f t="shared" ref="AJ15:AJ19" si="23">U15*10</f>
        <v>2.4038461538461537</v>
      </c>
      <c r="AK15" s="800">
        <f t="shared" si="19"/>
        <v>0.1201923076923077</v>
      </c>
      <c r="AL15" s="800">
        <f t="shared" si="20"/>
        <v>0.14423076923076925</v>
      </c>
      <c r="AM15" s="800">
        <f t="shared" si="21"/>
        <v>0.33653846153846156</v>
      </c>
      <c r="AN15" s="800">
        <f t="shared" si="22"/>
        <v>1.4423076923076923</v>
      </c>
      <c r="AO15" s="800">
        <f t="shared" si="15"/>
        <v>2.0432692307692308</v>
      </c>
    </row>
    <row r="16" spans="1:50">
      <c r="A16" s="761" t="s">
        <v>992</v>
      </c>
      <c r="B16" s="769"/>
      <c r="C16" s="784" t="s">
        <v>1005</v>
      </c>
      <c r="D16" s="796"/>
      <c r="E16" s="769">
        <v>10</v>
      </c>
      <c r="F16" s="769">
        <v>15</v>
      </c>
      <c r="G16" s="769">
        <v>30</v>
      </c>
      <c r="H16" s="769">
        <v>10</v>
      </c>
      <c r="I16" s="769">
        <v>45</v>
      </c>
      <c r="J16" s="769">
        <v>10</v>
      </c>
      <c r="K16" s="769">
        <v>15</v>
      </c>
      <c r="L16" s="769">
        <v>10</v>
      </c>
      <c r="M16" s="769">
        <v>15</v>
      </c>
      <c r="N16" s="769">
        <v>20</v>
      </c>
      <c r="O16" s="769">
        <v>10</v>
      </c>
      <c r="P16" s="769">
        <v>40</v>
      </c>
      <c r="Q16" s="769"/>
      <c r="R16" s="769">
        <f t="shared" si="1"/>
        <v>230</v>
      </c>
      <c r="S16" s="797">
        <f t="shared" si="2"/>
        <v>7.7039021939373639E-3</v>
      </c>
      <c r="T16" s="798">
        <f t="shared" si="3"/>
        <v>19.166666666666668</v>
      </c>
      <c r="U16" s="798">
        <f t="shared" si="18"/>
        <v>0.73717948717948723</v>
      </c>
      <c r="V16" s="746">
        <f>CONVERT(96,"in","mm")</f>
        <v>2438.4</v>
      </c>
      <c r="W16" s="746">
        <f>CONVERT(36,"in","mm")</f>
        <v>914.4</v>
      </c>
      <c r="X16" s="746">
        <f>CONVERT(12,"in","mm")</f>
        <v>304.8</v>
      </c>
      <c r="Y16" s="746">
        <v>1200</v>
      </c>
      <c r="Z16" s="746">
        <v>1080</v>
      </c>
      <c r="AA16" s="746">
        <v>1200</v>
      </c>
      <c r="AB16" s="746"/>
      <c r="AC16" s="746">
        <f t="shared" si="5"/>
        <v>0</v>
      </c>
      <c r="AD16" s="746">
        <f t="shared" si="6"/>
        <v>1</v>
      </c>
      <c r="AE16" s="746">
        <f t="shared" si="7"/>
        <v>3</v>
      </c>
      <c r="AF16" s="746">
        <f t="shared" si="8"/>
        <v>0</v>
      </c>
      <c r="AG16" s="746">
        <f t="shared" si="9"/>
        <v>0</v>
      </c>
      <c r="AH16" s="799">
        <f t="shared" si="10"/>
        <v>0</v>
      </c>
      <c r="AI16" s="759" t="s">
        <v>607</v>
      </c>
      <c r="AJ16" s="799">
        <f t="shared" si="23"/>
        <v>7.3717948717948723</v>
      </c>
      <c r="AK16" s="800">
        <f t="shared" si="19"/>
        <v>0.36858974358974361</v>
      </c>
      <c r="AL16" s="800">
        <f t="shared" si="20"/>
        <v>0.44230769230769229</v>
      </c>
      <c r="AM16" s="800">
        <f t="shared" si="21"/>
        <v>1.0320512820512822</v>
      </c>
      <c r="AN16" s="800">
        <f t="shared" si="22"/>
        <v>4.4230769230769234</v>
      </c>
      <c r="AO16" s="800">
        <f t="shared" si="15"/>
        <v>6.2660256410256414</v>
      </c>
    </row>
    <row r="17" spans="1:41">
      <c r="A17" s="761" t="s">
        <v>992</v>
      </c>
      <c r="B17" s="769"/>
      <c r="C17" s="784" t="s">
        <v>1006</v>
      </c>
      <c r="D17" s="796"/>
      <c r="E17" s="769"/>
      <c r="F17" s="769"/>
      <c r="G17" s="769">
        <v>30</v>
      </c>
      <c r="H17" s="769">
        <v>20</v>
      </c>
      <c r="I17" s="769">
        <v>50</v>
      </c>
      <c r="J17" s="769"/>
      <c r="K17" s="769">
        <v>15</v>
      </c>
      <c r="L17" s="769">
        <v>10</v>
      </c>
      <c r="M17" s="769">
        <v>20</v>
      </c>
      <c r="N17" s="769"/>
      <c r="O17" s="769">
        <v>15</v>
      </c>
      <c r="P17" s="769"/>
      <c r="Q17" s="769"/>
      <c r="R17" s="769">
        <f t="shared" si="1"/>
        <v>160</v>
      </c>
      <c r="S17" s="797">
        <f t="shared" si="2"/>
        <v>5.3592363088259924E-3</v>
      </c>
      <c r="T17" s="798">
        <f t="shared" si="3"/>
        <v>22.857142857142858</v>
      </c>
      <c r="U17" s="798">
        <f t="shared" si="18"/>
        <v>0.87912087912087911</v>
      </c>
      <c r="V17" s="746">
        <f>CONVERT(36,"in","mm")</f>
        <v>914.4</v>
      </c>
      <c r="W17" s="746">
        <f>CONVERT(29,"in","mm")</f>
        <v>736.6</v>
      </c>
      <c r="X17" s="746">
        <f>CONVERT(18,"in","mm")</f>
        <v>457.2</v>
      </c>
      <c r="Y17" s="746">
        <v>1200</v>
      </c>
      <c r="Z17" s="746">
        <v>1080</v>
      </c>
      <c r="AA17" s="746">
        <v>1200</v>
      </c>
      <c r="AB17" s="746"/>
      <c r="AC17" s="746">
        <f t="shared" si="5"/>
        <v>1</v>
      </c>
      <c r="AD17" s="746">
        <f t="shared" si="6"/>
        <v>1</v>
      </c>
      <c r="AE17" s="746">
        <f t="shared" si="7"/>
        <v>2</v>
      </c>
      <c r="AF17" s="746">
        <f t="shared" si="8"/>
        <v>2</v>
      </c>
      <c r="AG17" s="746">
        <f t="shared" si="9"/>
        <v>0</v>
      </c>
      <c r="AH17" s="799">
        <f t="shared" si="10"/>
        <v>1</v>
      </c>
      <c r="AI17" s="759" t="s">
        <v>600</v>
      </c>
      <c r="AJ17" s="799">
        <f t="shared" ref="AJ17" si="24">AH17*10</f>
        <v>10</v>
      </c>
      <c r="AK17" s="800">
        <f t="shared" si="11"/>
        <v>0.5</v>
      </c>
      <c r="AL17" s="800">
        <f t="shared" si="12"/>
        <v>0.60000000000000009</v>
      </c>
      <c r="AM17" s="800">
        <f t="shared" si="13"/>
        <v>1.4000000000000001</v>
      </c>
      <c r="AN17" s="800">
        <f t="shared" si="14"/>
        <v>6</v>
      </c>
      <c r="AO17" s="800">
        <f t="shared" si="15"/>
        <v>8.5</v>
      </c>
    </row>
    <row r="18" spans="1:41">
      <c r="A18" s="761" t="s">
        <v>992</v>
      </c>
      <c r="B18" s="769"/>
      <c r="C18" s="784" t="s">
        <v>1007</v>
      </c>
      <c r="D18" s="796"/>
      <c r="E18" s="769"/>
      <c r="F18" s="769">
        <v>40</v>
      </c>
      <c r="G18" s="769"/>
      <c r="H18" s="769"/>
      <c r="I18" s="769">
        <v>20</v>
      </c>
      <c r="J18" s="769">
        <v>20</v>
      </c>
      <c r="K18" s="769">
        <v>35</v>
      </c>
      <c r="L18" s="769"/>
      <c r="M18" s="769"/>
      <c r="N18" s="769"/>
      <c r="O18" s="769"/>
      <c r="P18" s="769">
        <v>60</v>
      </c>
      <c r="Q18" s="769"/>
      <c r="R18" s="769">
        <f t="shared" si="1"/>
        <v>175</v>
      </c>
      <c r="S18" s="797">
        <f t="shared" si="2"/>
        <v>5.8616647127784291E-3</v>
      </c>
      <c r="T18" s="798">
        <f t="shared" si="3"/>
        <v>35</v>
      </c>
      <c r="U18" s="798">
        <f t="shared" si="18"/>
        <v>1.3461538461538463</v>
      </c>
      <c r="V18" s="746">
        <f>CONVERT(50,"in","mm")</f>
        <v>1270</v>
      </c>
      <c r="W18" s="746">
        <f>CONVERT(40,"in","mm")</f>
        <v>1016</v>
      </c>
      <c r="X18" s="746">
        <f>CONVERT(12,"in","mm")</f>
        <v>304.8</v>
      </c>
      <c r="Y18" s="746">
        <v>1200</v>
      </c>
      <c r="Z18" s="746">
        <v>1080</v>
      </c>
      <c r="AA18" s="746">
        <v>1200</v>
      </c>
      <c r="AB18" s="746"/>
      <c r="AC18" s="746">
        <f t="shared" si="5"/>
        <v>0</v>
      </c>
      <c r="AD18" s="746">
        <f t="shared" si="6"/>
        <v>1</v>
      </c>
      <c r="AE18" s="746">
        <f t="shared" si="7"/>
        <v>3</v>
      </c>
      <c r="AF18" s="746">
        <f t="shared" si="8"/>
        <v>0</v>
      </c>
      <c r="AG18" s="746">
        <f t="shared" si="9"/>
        <v>0</v>
      </c>
      <c r="AH18" s="799">
        <f t="shared" si="10"/>
        <v>0</v>
      </c>
      <c r="AI18" s="759" t="s">
        <v>602</v>
      </c>
      <c r="AJ18" s="799">
        <f t="shared" si="23"/>
        <v>13.461538461538463</v>
      </c>
      <c r="AK18" s="800">
        <f t="shared" ref="AK18:AK19" si="25">(U18*$AK$2)*$AK$1</f>
        <v>0.67307692307692313</v>
      </c>
      <c r="AL18" s="800">
        <f t="shared" ref="AL18:AL19" si="26">(U18*$AL$2)*$AL$1</f>
        <v>0.80769230769230782</v>
      </c>
      <c r="AM18" s="800">
        <f t="shared" ref="AM18:AM19" si="27">(U18*$AM$2)*$AM$1</f>
        <v>1.884615384615385</v>
      </c>
      <c r="AN18" s="800">
        <f t="shared" ref="AN18:AN19" si="28">(U18*$AN$2)*$AN$1</f>
        <v>8.0769230769230784</v>
      </c>
      <c r="AO18" s="800">
        <f t="shared" si="15"/>
        <v>11.442307692307693</v>
      </c>
    </row>
    <row r="19" spans="1:41">
      <c r="A19" s="761" t="s">
        <v>992</v>
      </c>
      <c r="B19" s="769"/>
      <c r="C19" s="784" t="s">
        <v>1008</v>
      </c>
      <c r="D19" s="796"/>
      <c r="E19" s="769"/>
      <c r="F19" s="769">
        <v>10</v>
      </c>
      <c r="G19" s="769">
        <v>110</v>
      </c>
      <c r="H19" s="769"/>
      <c r="I19" s="769">
        <v>70</v>
      </c>
      <c r="J19" s="769">
        <v>55</v>
      </c>
      <c r="K19" s="769">
        <v>20</v>
      </c>
      <c r="L19" s="769">
        <v>20</v>
      </c>
      <c r="M19" s="769">
        <v>10</v>
      </c>
      <c r="N19" s="769"/>
      <c r="O19" s="769">
        <v>100</v>
      </c>
      <c r="P19" s="769">
        <v>50</v>
      </c>
      <c r="Q19" s="769">
        <v>40</v>
      </c>
      <c r="R19" s="769">
        <f t="shared" si="1"/>
        <v>485</v>
      </c>
      <c r="S19" s="797">
        <f t="shared" si="2"/>
        <v>1.6245185061128788E-2</v>
      </c>
      <c r="T19" s="798">
        <f t="shared" si="3"/>
        <v>48.5</v>
      </c>
      <c r="U19" s="798">
        <f t="shared" si="18"/>
        <v>1.8653846153846154</v>
      </c>
      <c r="V19" s="746">
        <f>CONVERT(50,"in","mm")</f>
        <v>1270</v>
      </c>
      <c r="W19" s="746">
        <f>CONVERT(40,"in","mm")</f>
        <v>1016</v>
      </c>
      <c r="X19" s="746">
        <f>CONVERT(18,"in","mm")</f>
        <v>457.2</v>
      </c>
      <c r="Y19" s="746">
        <v>1200</v>
      </c>
      <c r="Z19" s="746">
        <v>1080</v>
      </c>
      <c r="AA19" s="746">
        <v>1200</v>
      </c>
      <c r="AB19" s="746"/>
      <c r="AC19" s="746">
        <f t="shared" si="5"/>
        <v>0</v>
      </c>
      <c r="AD19" s="746">
        <f t="shared" si="6"/>
        <v>1</v>
      </c>
      <c r="AE19" s="746">
        <f t="shared" si="7"/>
        <v>2</v>
      </c>
      <c r="AF19" s="746">
        <f t="shared" si="8"/>
        <v>0</v>
      </c>
      <c r="AG19" s="746">
        <f t="shared" si="9"/>
        <v>0</v>
      </c>
      <c r="AH19" s="799">
        <f t="shared" si="10"/>
        <v>0</v>
      </c>
      <c r="AI19" s="759" t="s">
        <v>602</v>
      </c>
      <c r="AJ19" s="799">
        <f t="shared" si="23"/>
        <v>18.653846153846153</v>
      </c>
      <c r="AK19" s="800">
        <f t="shared" si="25"/>
        <v>0.93269230769230771</v>
      </c>
      <c r="AL19" s="800">
        <f t="shared" si="26"/>
        <v>1.1192307692307693</v>
      </c>
      <c r="AM19" s="800">
        <f t="shared" si="27"/>
        <v>2.6115384615384616</v>
      </c>
      <c r="AN19" s="800">
        <f t="shared" si="28"/>
        <v>11.192307692307693</v>
      </c>
      <c r="AO19" s="800">
        <f t="shared" si="15"/>
        <v>15.855769230769232</v>
      </c>
    </row>
    <row r="20" spans="1:41">
      <c r="A20" s="784" t="s">
        <v>522</v>
      </c>
      <c r="B20" s="769"/>
      <c r="C20" s="784"/>
      <c r="D20" s="796"/>
      <c r="E20" s="769">
        <f>SUM(E3:E19)</f>
        <v>2655</v>
      </c>
      <c r="F20" s="769">
        <f t="shared" ref="F20:Q20" si="29">SUM(F3:F19)</f>
        <v>2355</v>
      </c>
      <c r="G20" s="769">
        <f t="shared" si="29"/>
        <v>1942</v>
      </c>
      <c r="H20" s="769">
        <f t="shared" si="29"/>
        <v>2194</v>
      </c>
      <c r="I20" s="769">
        <f t="shared" si="29"/>
        <v>1950</v>
      </c>
      <c r="J20" s="769">
        <f t="shared" si="29"/>
        <v>2485</v>
      </c>
      <c r="K20" s="769">
        <f t="shared" si="29"/>
        <v>2825</v>
      </c>
      <c r="L20" s="769">
        <f t="shared" si="29"/>
        <v>2780</v>
      </c>
      <c r="M20" s="769">
        <f t="shared" si="29"/>
        <v>1964</v>
      </c>
      <c r="N20" s="769">
        <f t="shared" si="29"/>
        <v>2645</v>
      </c>
      <c r="O20" s="769">
        <f t="shared" si="29"/>
        <v>1880</v>
      </c>
      <c r="P20" s="769">
        <f t="shared" si="29"/>
        <v>2110</v>
      </c>
      <c r="Q20" s="769">
        <f t="shared" si="29"/>
        <v>2070</v>
      </c>
      <c r="R20" s="769">
        <f>SUM(E20:Q20)</f>
        <v>29855</v>
      </c>
      <c r="S20" s="797">
        <f t="shared" si="2"/>
        <v>1</v>
      </c>
      <c r="T20" s="798">
        <f>SUM(T3:T19)</f>
        <v>3028.8827838827833</v>
      </c>
      <c r="U20" s="798">
        <f>SUM(U3:U19)</f>
        <v>116.49549168779939</v>
      </c>
      <c r="V20" s="746"/>
      <c r="W20" s="746"/>
      <c r="X20" s="746"/>
      <c r="Y20" s="746"/>
      <c r="Z20" s="746"/>
      <c r="AA20" s="746"/>
      <c r="AB20" s="746"/>
      <c r="AC20" s="746"/>
      <c r="AD20" s="746"/>
      <c r="AE20" s="746"/>
      <c r="AF20" s="746"/>
      <c r="AG20" s="746"/>
      <c r="AH20" s="746"/>
      <c r="AI20" s="746"/>
      <c r="AJ20" s="746"/>
      <c r="AK20" s="746"/>
      <c r="AL20" s="746"/>
      <c r="AM20" s="746"/>
      <c r="AN20" s="746"/>
      <c r="AO20" s="746"/>
    </row>
  </sheetData>
  <mergeCells count="3">
    <mergeCell ref="V1:X1"/>
    <mergeCell ref="Y1:AA1"/>
    <mergeCell ref="AT2:AU2"/>
  </mergeCells>
  <pageMargins left="0.7" right="0.7" top="0.75" bottom="0.75" header="0.3" footer="0.3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22ade5a8-da75-49fa-8170-4786e84ba279" xsi:nil="true"/>
    <MigrationWizIdSecurityGroups xmlns="22ade5a8-da75-49fa-8170-4786e84ba279" xsi:nil="true"/>
    <MigrationWizIdDocumentLibraryPermissions xmlns="22ade5a8-da75-49fa-8170-4786e84ba279" xsi:nil="true"/>
    <MigrationWizIdPermissions xmlns="22ade5a8-da75-49fa-8170-4786e84ba279" xsi:nil="true"/>
    <MigrationWizId xmlns="22ade5a8-da75-49fa-8170-4786e84ba279" xsi:nil="true"/>
    <TaxCatchAll xmlns="ad230cf7-58d7-4727-90d0-04aab8d2281d" xsi:nil="true"/>
    <lcf76f155ced4ddcb4097134ff3c332f xmlns="22ade5a8-da75-49fa-8170-4786e84ba27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EAE711711171468188CE31A56395B7" ma:contentTypeVersion="23" ma:contentTypeDescription="Create a new document." ma:contentTypeScope="" ma:versionID="8d097c3e0dc482c493e82036f759423c">
  <xsd:schema xmlns:xsd="http://www.w3.org/2001/XMLSchema" xmlns:xs="http://www.w3.org/2001/XMLSchema" xmlns:p="http://schemas.microsoft.com/office/2006/metadata/properties" xmlns:ns2="22ade5a8-da75-49fa-8170-4786e84ba279" xmlns:ns3="ad230cf7-58d7-4727-90d0-04aab8d2281d" targetNamespace="http://schemas.microsoft.com/office/2006/metadata/properties" ma:root="true" ma:fieldsID="9ee6d967261afbdb6f032cd95cfbdca8" ns2:_="" ns3:_="">
    <xsd:import namespace="22ade5a8-da75-49fa-8170-4786e84ba279"/>
    <xsd:import namespace="ad230cf7-58d7-4727-90d0-04aab8d2281d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de5a8-da75-49fa-8170-4786e84ba27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76dd3264-317f-4004-94c6-727cc2f263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30cf7-58d7-4727-90d0-04aab8d2281d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7b64d220-5006-4770-a7ff-04f1bba153d2}" ma:internalName="TaxCatchAll" ma:showField="CatchAllData" ma:web="ad230cf7-58d7-4727-90d0-04aab8d22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allowEditUser xmlns="https://web.wps.cn/et/2018/main" xmlns:s="http://schemas.openxmlformats.org/spreadsheetml/2006/main" hasInvisiblePropRange="0">
  <rangeList sheetStid="53" master="" otherUserPermission="visible"/>
  <rangeList sheetStid="119" master="" otherUserPermission="visible"/>
  <rangeList sheetStid="96" master="" otherUserPermission="visible"/>
  <rangeList sheetStid="99" master="" otherUserPermission="visible"/>
  <rangeList sheetStid="105" master="" otherUserPermission="visible"/>
  <rangeList sheetStid="111" master="" otherUserPermission="visible"/>
  <rangeList sheetStid="107" master="" otherUserPermission="visible"/>
  <rangeList sheetStid="122" master="" otherUserPermission="visible"/>
  <rangeList sheetStid="124" master="" otherUserPermission="visible"/>
  <rangeList sheetStid="108" master="" otherUserPermission="visible"/>
  <rangeList sheetStid="109" master="" otherUserPermission="visible"/>
  <rangeList sheetStid="103" master="" otherUserPermission="visible"/>
  <rangeList sheetStid="110" master="" otherUserPermission="visible">
    <arrUserId title="Range1_58_1_5" rangeCreator="" othersAccessPermission="edit"/>
  </rangeList>
  <rangeList sheetStid="118" master="" otherUserPermission="visible"/>
  <rangeList sheetStid="3" master="" otherUserPermission="visible"/>
  <rangeList sheetStid="85" master="" otherUserPermission="visible"/>
  <rangeList sheetStid="61" master="" otherUserPermission="visible"/>
  <rangeList sheetStid="114" master="" otherUserPermission="visible"/>
  <rangeList sheetStid="116" master="" otherUserPermission="visible"/>
  <rangeList sheetStid="120" master="" otherUserPermission="visible"/>
  <rangeList sheetStid="121" master="" otherUserPermission="visible"/>
  <rangeList sheetStid="117" master="" otherUserPermission="visible"/>
  <rangeList sheetStid="123" master="" otherUserPermission="visible"/>
  <rangeList sheetStid="81" master="" otherUserPermission="visible"/>
  <rangeList sheetStid="91" master="" otherUserPermission="visible"/>
  <rangeList sheetStid="92" master="" otherUserPermission="visible"/>
  <rangeList sheetStid="93" master="" otherUserPermission="visible"/>
  <rangeList sheetStid="75" master="" otherUserPermission="visible"/>
  <rangeList sheetStid="73" master="" otherUserPermission="visible"/>
  <rangeList sheetStid="76" master="" otherUserPermission="visible"/>
  <rangeList sheetStid="74" master="" otherUserPermission="visible"/>
  <rangeList sheetStid="57" master="" otherUserPermission="visible"/>
  <rangeList sheetStid="54" master="" otherUserPermission="visible"/>
  <rangeList sheetStid="79" master="" otherUserPermission="visible"/>
  <rangeList sheetStid="63" master="" otherUserPermission="visible"/>
  <rangeList sheetStid="64" master="" otherUserPermission="visible"/>
  <rangeList sheetStid="62" master="" otherUserPermission="visible"/>
  <rangeList sheetStid="56" master="" otherUserPermission="visible"/>
  <rangeList sheetStid="47" master="" otherUserPermission="visible"/>
  <rangeList sheetStid="48" master="" otherUserPermission="visible"/>
  <rangeList sheetStid="46" master="" otherUserPermission="visible"/>
  <rangeList sheetStid="42" master="" otherUserPermission="visible"/>
</allowEditUser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0C5ACD-F4A4-49E2-817C-3968A3B98E39}"/>
</file>

<file path=customXml/itemProps2.xml><?xml version="1.0" encoding="utf-8"?>
<ds:datastoreItem xmlns:ds="http://schemas.openxmlformats.org/officeDocument/2006/customXml" ds:itemID="{A8854ED3-4BFB-46A8-9D02-142A3BFF93D9}"/>
</file>

<file path=customXml/itemProps3.xml><?xml version="1.0" encoding="utf-8"?>
<ds:datastoreItem xmlns:ds="http://schemas.openxmlformats.org/officeDocument/2006/customXml" ds:itemID="{5A5607D9-04D2-4DE1-AC0E-A7772F01BC71}"/>
</file>

<file path=customXml/itemProps4.xml><?xml version="1.0" encoding="utf-8"?>
<ds:datastoreItem xmlns:ds="http://schemas.openxmlformats.org/officeDocument/2006/customXml" ds:itemID="{34F7A418-9184-48C4-8706-C20627FE7168}"/>
</file>

<file path=docMetadata/LabelInfo.xml><?xml version="1.0" encoding="utf-8"?>
<clbl:labelList xmlns:clbl="http://schemas.microsoft.com/office/2020/mipLabelMetadata">
  <clbl:label id="{14eeac19-ce1b-42c6-9b3a-8ce8256df3f7}" enabled="1" method="Privileged" siteId="{11dc3b97-4e61-4275-af15-34d7903a29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 Madnani</dc:creator>
  <cp:keywords/>
  <dc:description/>
  <cp:lastModifiedBy/>
  <cp:revision/>
  <dcterms:created xsi:type="dcterms:W3CDTF">2006-09-16T00:00:00Z</dcterms:created>
  <dcterms:modified xsi:type="dcterms:W3CDTF">2025-10-28T10:22:02Z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0x010100DCEAE711711171468188CE31A56395B7</vt:lpwstr>
  </property>
  <property fmtid="{D5CDD505-2E9C-101B-9397-08002B2CF9AE}" pid="3" name="MediaServiceImageTags">
    <vt:lpwstr/>
  </property>
  <property fmtid="{D5CDD505-2E9C-101B-9397-08002B2CF9AE}" pid="4" name="ICV">
    <vt:lpwstr>01E1B313DF214CFF88397F1DEF77807D_13</vt:lpwstr>
  </property>
  <property fmtid="{D5CDD505-2E9C-101B-9397-08002B2CF9AE}" pid="5" name="KSOProductBuildVer">
    <vt:lpwstr>1033-12.2.0.21179</vt:lpwstr>
  </property>
</Properties>
</file>