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um\Bachelorarbeit\github pytorchfi\pytorchfi\evaluation data\"/>
    </mc:Choice>
  </mc:AlternateContent>
  <xr:revisionPtr revIDLastSave="0" documentId="13_ncr:1_{0B42CAAA-6EC3-49B6-A8BD-A9797AD864F8}" xr6:coauthVersionLast="47" xr6:coauthVersionMax="47" xr10:uidLastSave="{00000000-0000-0000-0000-000000000000}"/>
  <bookViews>
    <workbookView xWindow="28680" yWindow="-120" windowWidth="29040" windowHeight="15840" xr2:uid="{F7DC7ED8-E023-4EB5-A7C2-BCA1138A1D29}"/>
  </bookViews>
  <sheets>
    <sheet name="Multiply neuron values by 1+e" sheetId="1" r:id="rId1"/>
    <sheet name="Multiply a neuron value by 1+e" sheetId="3" r:id="rId2"/>
    <sheet name="Multiply weight values by 1+e" sheetId="5" r:id="rId3"/>
    <sheet name="Single neuron bitflip" sheetId="2" r:id="rId4"/>
    <sheet name="Single weight bitlfli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" l="1"/>
  <c r="E22" i="2"/>
  <c r="G50" i="1"/>
  <c r="E50" i="1" s="1"/>
  <c r="G157" i="1" s="1"/>
  <c r="K107" i="1"/>
  <c r="I107" i="1" s="1"/>
  <c r="K106" i="1"/>
  <c r="I106" i="1" s="1"/>
  <c r="K105" i="1"/>
  <c r="K104" i="1"/>
  <c r="I104" i="1" s="1"/>
  <c r="K103" i="1"/>
  <c r="K102" i="1"/>
  <c r="I102" i="1" s="1"/>
  <c r="K101" i="1"/>
  <c r="K100" i="1"/>
  <c r="K99" i="1"/>
  <c r="I99" i="1" s="1"/>
  <c r="K98" i="1"/>
  <c r="K97" i="1"/>
  <c r="I97" i="1" s="1"/>
  <c r="K96" i="1"/>
  <c r="K95" i="1"/>
  <c r="I95" i="1" s="1"/>
  <c r="K94" i="1"/>
  <c r="I94" i="1"/>
  <c r="K159" i="1" s="1"/>
  <c r="K109" i="1"/>
  <c r="K108" i="1"/>
  <c r="I108" i="1" s="1"/>
  <c r="I103" i="1"/>
  <c r="I96" i="1"/>
  <c r="A4" i="3"/>
  <c r="E25" i="5"/>
  <c r="E26" i="5"/>
  <c r="E27" i="5"/>
  <c r="E28" i="5"/>
  <c r="E29" i="5"/>
  <c r="E30" i="5"/>
  <c r="E31" i="5"/>
  <c r="E32" i="5"/>
  <c r="E33" i="5"/>
  <c r="E34" i="5"/>
  <c r="E35" i="5"/>
  <c r="E24" i="5"/>
  <c r="G76" i="1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J67" i="2"/>
  <c r="J66" i="2"/>
  <c r="J65" i="2"/>
  <c r="J64" i="2"/>
  <c r="J63" i="2"/>
  <c r="J62" i="2"/>
  <c r="J61" i="2"/>
  <c r="J60" i="2"/>
  <c r="J59" i="2"/>
  <c r="J58" i="2"/>
  <c r="J57" i="2"/>
  <c r="J56" i="2"/>
  <c r="M50" i="5"/>
  <c r="M49" i="5"/>
  <c r="M48" i="5"/>
  <c r="M47" i="5"/>
  <c r="M46" i="5"/>
  <c r="M45" i="5"/>
  <c r="M44" i="5"/>
  <c r="M43" i="5"/>
  <c r="M42" i="5"/>
  <c r="M41" i="5"/>
  <c r="M40" i="5"/>
  <c r="M39" i="5"/>
  <c r="I50" i="5"/>
  <c r="I49" i="5"/>
  <c r="I48" i="5"/>
  <c r="I47" i="5"/>
  <c r="I46" i="5"/>
  <c r="I45" i="5"/>
  <c r="I44" i="5"/>
  <c r="I43" i="5"/>
  <c r="I42" i="5"/>
  <c r="I41" i="5"/>
  <c r="I40" i="5"/>
  <c r="I39" i="5"/>
  <c r="I35" i="5"/>
  <c r="I34" i="5"/>
  <c r="I33" i="5"/>
  <c r="I32" i="5"/>
  <c r="I31" i="5"/>
  <c r="I30" i="5"/>
  <c r="I25" i="5"/>
  <c r="I26" i="5"/>
  <c r="I27" i="5"/>
  <c r="I28" i="5"/>
  <c r="I29" i="5"/>
  <c r="I24" i="5"/>
  <c r="E14" i="5"/>
  <c r="E13" i="5"/>
  <c r="E12" i="5"/>
  <c r="E11" i="5"/>
  <c r="E10" i="5"/>
  <c r="E9" i="5"/>
  <c r="E8" i="5"/>
  <c r="E7" i="5"/>
  <c r="E6" i="5"/>
  <c r="E5" i="5"/>
  <c r="E4" i="5"/>
  <c r="E3" i="5"/>
  <c r="E50" i="5"/>
  <c r="E49" i="5"/>
  <c r="E48" i="5"/>
  <c r="E46" i="5"/>
  <c r="E45" i="5"/>
  <c r="E44" i="5"/>
  <c r="E43" i="5"/>
  <c r="E40" i="5"/>
  <c r="E41" i="5"/>
  <c r="E42" i="5"/>
  <c r="E39" i="5"/>
  <c r="A35" i="5"/>
  <c r="A34" i="5"/>
  <c r="A33" i="5"/>
  <c r="A32" i="5"/>
  <c r="A31" i="5"/>
  <c r="A30" i="5"/>
  <c r="A29" i="5"/>
  <c r="A27" i="5"/>
  <c r="A28" i="5"/>
  <c r="A26" i="5"/>
  <c r="A25" i="5"/>
  <c r="A24" i="5"/>
  <c r="A15" i="4"/>
  <c r="E15" i="4"/>
  <c r="E14" i="4"/>
  <c r="E13" i="4"/>
  <c r="E12" i="4"/>
  <c r="E11" i="4"/>
  <c r="E10" i="4"/>
  <c r="E9" i="4"/>
  <c r="E8" i="4"/>
  <c r="E7" i="4"/>
  <c r="E6" i="4"/>
  <c r="E5" i="4"/>
  <c r="E3" i="4"/>
  <c r="A10" i="4"/>
  <c r="A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14" i="4"/>
  <c r="F15" i="4"/>
  <c r="F14" i="4"/>
  <c r="F13" i="4"/>
  <c r="F12" i="4"/>
  <c r="F11" i="4"/>
  <c r="F10" i="4"/>
  <c r="F9" i="4"/>
  <c r="F8" i="4"/>
  <c r="F7" i="4"/>
  <c r="F6" i="4"/>
  <c r="F5" i="4"/>
  <c r="F4" i="4"/>
  <c r="A13" i="4"/>
  <c r="A12" i="4"/>
  <c r="E32" i="4"/>
  <c r="E31" i="4"/>
  <c r="E30" i="4"/>
  <c r="E29" i="4"/>
  <c r="E28" i="4"/>
  <c r="E27" i="4"/>
  <c r="E26" i="4"/>
  <c r="E25" i="4"/>
  <c r="E24" i="4"/>
  <c r="E23" i="4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E22" i="4"/>
  <c r="E20" i="4"/>
  <c r="E21" i="4"/>
  <c r="F32" i="4"/>
  <c r="F31" i="4"/>
  <c r="F30" i="4"/>
  <c r="F29" i="4"/>
  <c r="F28" i="4"/>
  <c r="F27" i="4"/>
  <c r="F26" i="4"/>
  <c r="F25" i="4"/>
  <c r="F24" i="4"/>
  <c r="F23" i="4"/>
  <c r="F22" i="4"/>
  <c r="F21" i="4"/>
  <c r="A11" i="4"/>
  <c r="A9" i="4"/>
  <c r="A8" i="4"/>
  <c r="A7" i="4"/>
  <c r="A6" i="4"/>
  <c r="A5" i="4"/>
  <c r="A4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A24" i="4"/>
  <c r="A30" i="4"/>
  <c r="A31" i="4"/>
  <c r="A32" i="4"/>
  <c r="A29" i="4"/>
  <c r="A28" i="4"/>
  <c r="A27" i="4"/>
  <c r="A26" i="4"/>
  <c r="A25" i="4"/>
  <c r="A23" i="4"/>
  <c r="A22" i="4"/>
  <c r="A21" i="4"/>
  <c r="A17" i="5"/>
  <c r="A16" i="5"/>
  <c r="A15" i="5"/>
  <c r="A20" i="5"/>
  <c r="A19" i="5"/>
  <c r="A18" i="5"/>
  <c r="A14" i="5"/>
  <c r="A13" i="5"/>
  <c r="A12" i="5"/>
  <c r="A11" i="5"/>
  <c r="A10" i="5"/>
  <c r="A9" i="5"/>
  <c r="A8" i="5"/>
  <c r="A7" i="5"/>
  <c r="A4" i="5"/>
  <c r="A5" i="5"/>
  <c r="A6" i="5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C7" i="1"/>
  <c r="B32" i="4"/>
  <c r="B31" i="4"/>
  <c r="B30" i="4"/>
  <c r="B29" i="4"/>
  <c r="B28" i="4"/>
  <c r="B27" i="4"/>
  <c r="B26" i="4"/>
  <c r="B25" i="4"/>
  <c r="B24" i="4"/>
  <c r="B23" i="4"/>
  <c r="B22" i="4"/>
  <c r="B21" i="4"/>
  <c r="E7" i="3"/>
  <c r="E6" i="3"/>
  <c r="E5" i="3"/>
  <c r="F67" i="2"/>
  <c r="F66" i="2"/>
  <c r="F65" i="2"/>
  <c r="F64" i="2"/>
  <c r="F63" i="2"/>
  <c r="F62" i="2"/>
  <c r="F61" i="2"/>
  <c r="F60" i="2"/>
  <c r="F59" i="2"/>
  <c r="F58" i="2"/>
  <c r="F57" i="2"/>
  <c r="F56" i="2"/>
  <c r="A75" i="1"/>
  <c r="A74" i="1"/>
  <c r="A73" i="1"/>
  <c r="B67" i="2"/>
  <c r="B66" i="2"/>
  <c r="B65" i="2"/>
  <c r="B64" i="2"/>
  <c r="B63" i="2"/>
  <c r="B62" i="2"/>
  <c r="B61" i="2"/>
  <c r="B60" i="2"/>
  <c r="B59" i="2"/>
  <c r="B58" i="2"/>
  <c r="B57" i="2"/>
  <c r="B56" i="2"/>
  <c r="E4" i="2"/>
  <c r="I4" i="2"/>
  <c r="E39" i="2"/>
  <c r="E40" i="2"/>
  <c r="E23" i="2"/>
  <c r="I24" i="2"/>
  <c r="I25" i="2"/>
  <c r="I26" i="2"/>
  <c r="I27" i="2"/>
  <c r="I28" i="2"/>
  <c r="I29" i="2"/>
  <c r="I30" i="2"/>
  <c r="I31" i="2"/>
  <c r="I32" i="2"/>
  <c r="I33" i="2"/>
  <c r="I34" i="2"/>
  <c r="I23" i="2"/>
  <c r="B16" i="2"/>
  <c r="B15" i="2"/>
  <c r="B14" i="2"/>
  <c r="B13" i="2"/>
  <c r="B12" i="2"/>
  <c r="B11" i="2"/>
  <c r="B10" i="2"/>
  <c r="B9" i="2"/>
  <c r="B8" i="2"/>
  <c r="B7" i="2"/>
  <c r="B6" i="2"/>
  <c r="B5" i="2"/>
  <c r="F16" i="2"/>
  <c r="F15" i="2"/>
  <c r="F14" i="2"/>
  <c r="F13" i="2"/>
  <c r="F12" i="2"/>
  <c r="F11" i="2"/>
  <c r="F10" i="2"/>
  <c r="F9" i="2"/>
  <c r="F8" i="2"/>
  <c r="F7" i="2"/>
  <c r="F6" i="2"/>
  <c r="F5" i="2"/>
  <c r="J16" i="2"/>
  <c r="J15" i="2"/>
  <c r="J14" i="2"/>
  <c r="J13" i="2"/>
  <c r="J12" i="2"/>
  <c r="J11" i="2"/>
  <c r="J10" i="2"/>
  <c r="J9" i="2"/>
  <c r="J8" i="2"/>
  <c r="J7" i="2"/>
  <c r="J6" i="2"/>
  <c r="J5" i="2"/>
  <c r="J34" i="2"/>
  <c r="J33" i="2"/>
  <c r="J32" i="2"/>
  <c r="J31" i="2"/>
  <c r="J30" i="2"/>
  <c r="J29" i="2"/>
  <c r="J28" i="2"/>
  <c r="J27" i="2"/>
  <c r="J26" i="2"/>
  <c r="J25" i="2"/>
  <c r="J24" i="2"/>
  <c r="J23" i="2"/>
  <c r="F34" i="2"/>
  <c r="F33" i="2"/>
  <c r="F32" i="2"/>
  <c r="F31" i="2"/>
  <c r="F30" i="2"/>
  <c r="F29" i="2"/>
  <c r="F28" i="2"/>
  <c r="F27" i="2"/>
  <c r="F26" i="2"/>
  <c r="F25" i="2"/>
  <c r="F24" i="2"/>
  <c r="F23" i="2"/>
  <c r="B34" i="2"/>
  <c r="B33" i="2"/>
  <c r="B32" i="2"/>
  <c r="B31" i="2"/>
  <c r="B30" i="2"/>
  <c r="B29" i="2"/>
  <c r="B28" i="2"/>
  <c r="B27" i="2"/>
  <c r="B26" i="2"/>
  <c r="B25" i="2"/>
  <c r="B24" i="2"/>
  <c r="B23" i="2"/>
  <c r="J51" i="2"/>
  <c r="J50" i="2"/>
  <c r="J49" i="2"/>
  <c r="J48" i="2"/>
  <c r="J47" i="2"/>
  <c r="J46" i="2"/>
  <c r="J45" i="2"/>
  <c r="J44" i="2"/>
  <c r="J43" i="2"/>
  <c r="J42" i="2"/>
  <c r="J41" i="2"/>
  <c r="J40" i="2"/>
  <c r="B51" i="2"/>
  <c r="B50" i="2"/>
  <c r="B49" i="2"/>
  <c r="B48" i="2"/>
  <c r="B47" i="2"/>
  <c r="B46" i="2"/>
  <c r="B45" i="2"/>
  <c r="B44" i="2"/>
  <c r="B43" i="2"/>
  <c r="B42" i="2"/>
  <c r="B41" i="2"/>
  <c r="B40" i="2"/>
  <c r="F40" i="2"/>
  <c r="F41" i="2"/>
  <c r="F42" i="2"/>
  <c r="F43" i="2"/>
  <c r="F44" i="2"/>
  <c r="F45" i="2"/>
  <c r="F46" i="2"/>
  <c r="F47" i="2"/>
  <c r="F48" i="2"/>
  <c r="F49" i="2"/>
  <c r="F50" i="2"/>
  <c r="F51" i="2"/>
  <c r="C22" i="1"/>
  <c r="C21" i="1"/>
  <c r="C20" i="1"/>
  <c r="A20" i="1" s="1"/>
  <c r="C19" i="1"/>
  <c r="C18" i="1"/>
  <c r="A18" i="1" s="1"/>
  <c r="C17" i="1"/>
  <c r="A17" i="1" s="1"/>
  <c r="C16" i="1"/>
  <c r="C15" i="1"/>
  <c r="A15" i="1" s="1"/>
  <c r="C14" i="1"/>
  <c r="C13" i="1"/>
  <c r="A13" i="1" s="1"/>
  <c r="C12" i="1"/>
  <c r="C11" i="1"/>
  <c r="C10" i="1"/>
  <c r="A10" i="1" s="1"/>
  <c r="C6" i="1"/>
  <c r="A6" i="1" s="1"/>
  <c r="G23" i="1"/>
  <c r="G22" i="1"/>
  <c r="E22" i="1" s="1"/>
  <c r="G21" i="1"/>
  <c r="E21" i="1" s="1"/>
  <c r="G20" i="1"/>
  <c r="G19" i="1"/>
  <c r="E19" i="1" s="1"/>
  <c r="G18" i="1"/>
  <c r="E18" i="1" s="1"/>
  <c r="G17" i="1"/>
  <c r="E17" i="1" s="1"/>
  <c r="G16" i="1"/>
  <c r="G15" i="1"/>
  <c r="G14" i="1"/>
  <c r="E14" i="1" s="1"/>
  <c r="G13" i="1"/>
  <c r="G12" i="1"/>
  <c r="G11" i="1"/>
  <c r="G10" i="1"/>
  <c r="G9" i="1"/>
  <c r="G8" i="1"/>
  <c r="G7" i="1"/>
  <c r="G6" i="1"/>
  <c r="E6" i="1" s="1"/>
  <c r="G155" i="1" s="1"/>
  <c r="E20" i="1"/>
  <c r="E11" i="1"/>
  <c r="E23" i="1"/>
  <c r="E12" i="1"/>
  <c r="E16" i="1"/>
  <c r="G111" i="1"/>
  <c r="G110" i="1"/>
  <c r="G109" i="1"/>
  <c r="E109" i="1" s="1"/>
  <c r="G108" i="1"/>
  <c r="E108" i="1" s="1"/>
  <c r="G107" i="1"/>
  <c r="E107" i="1" s="1"/>
  <c r="G106" i="1"/>
  <c r="E106" i="1" s="1"/>
  <c r="G105" i="1"/>
  <c r="E105" i="1" s="1"/>
  <c r="G104" i="1"/>
  <c r="E104" i="1" s="1"/>
  <c r="G103" i="1"/>
  <c r="E103" i="1" s="1"/>
  <c r="G102" i="1"/>
  <c r="E102" i="1" s="1"/>
  <c r="G101" i="1"/>
  <c r="G100" i="1"/>
  <c r="G99" i="1"/>
  <c r="E99" i="1" s="1"/>
  <c r="G98" i="1"/>
  <c r="E98" i="1" s="1"/>
  <c r="G97" i="1"/>
  <c r="E97" i="1" s="1"/>
  <c r="G96" i="1"/>
  <c r="G95" i="1"/>
  <c r="G94" i="1"/>
  <c r="E111" i="1"/>
  <c r="E100" i="1"/>
  <c r="E110" i="1"/>
  <c r="E95" i="1"/>
  <c r="E96" i="1"/>
  <c r="E62" i="3"/>
  <c r="E61" i="3"/>
  <c r="E60" i="3"/>
  <c r="E59" i="3"/>
  <c r="E58" i="3"/>
  <c r="E57" i="3"/>
  <c r="E56" i="3"/>
  <c r="E55" i="3"/>
  <c r="E54" i="3"/>
  <c r="E53" i="3"/>
  <c r="E52" i="3"/>
  <c r="E50" i="3"/>
  <c r="E51" i="3"/>
  <c r="E49" i="3"/>
  <c r="E48" i="3"/>
  <c r="A39" i="3"/>
  <c r="A40" i="3"/>
  <c r="A38" i="3"/>
  <c r="A37" i="3"/>
  <c r="A36" i="3"/>
  <c r="A35" i="3"/>
  <c r="A34" i="3"/>
  <c r="A33" i="3"/>
  <c r="A32" i="3"/>
  <c r="A30" i="3"/>
  <c r="A31" i="3"/>
  <c r="A29" i="3"/>
  <c r="A28" i="3"/>
  <c r="A27" i="3"/>
  <c r="A26" i="3"/>
  <c r="E43" i="3"/>
  <c r="E42" i="3"/>
  <c r="E41" i="3"/>
  <c r="E40" i="3"/>
  <c r="E39" i="3"/>
  <c r="E37" i="3"/>
  <c r="E38" i="3"/>
  <c r="E36" i="3"/>
  <c r="E35" i="3"/>
  <c r="E34" i="3"/>
  <c r="E32" i="3"/>
  <c r="E33" i="3"/>
  <c r="E31" i="3"/>
  <c r="E30" i="3"/>
  <c r="E26" i="3"/>
  <c r="G67" i="1"/>
  <c r="E67" i="1" s="1"/>
  <c r="G66" i="1"/>
  <c r="G65" i="1"/>
  <c r="G64" i="1"/>
  <c r="G63" i="1"/>
  <c r="G62" i="1"/>
  <c r="G61" i="1"/>
  <c r="G60" i="1"/>
  <c r="E60" i="1" s="1"/>
  <c r="G59" i="1"/>
  <c r="E59" i="1" s="1"/>
  <c r="G58" i="1"/>
  <c r="G57" i="1"/>
  <c r="G56" i="1"/>
  <c r="G55" i="1"/>
  <c r="G54" i="1"/>
  <c r="G53" i="1"/>
  <c r="E53" i="1" s="1"/>
  <c r="G52" i="1"/>
  <c r="E52" i="1" s="1"/>
  <c r="G51" i="1"/>
  <c r="E51" i="1" s="1"/>
  <c r="E66" i="1"/>
  <c r="E65" i="1"/>
  <c r="E64" i="1"/>
  <c r="E62" i="1"/>
  <c r="E58" i="1"/>
  <c r="E57" i="1"/>
  <c r="E63" i="1"/>
  <c r="E61" i="1"/>
  <c r="E55" i="1"/>
  <c r="E54" i="1"/>
  <c r="K111" i="1"/>
  <c r="K110" i="1"/>
  <c r="I110" i="1" s="1"/>
  <c r="I105" i="1"/>
  <c r="I100" i="1"/>
  <c r="I98" i="1"/>
  <c r="I111" i="1"/>
  <c r="K67" i="1"/>
  <c r="K66" i="1"/>
  <c r="I66" i="1" s="1"/>
  <c r="K65" i="1"/>
  <c r="I65" i="1" s="1"/>
  <c r="K64" i="1"/>
  <c r="K63" i="1"/>
  <c r="I63" i="1" s="1"/>
  <c r="K62" i="1"/>
  <c r="I62" i="1" s="1"/>
  <c r="K61" i="1"/>
  <c r="K60" i="1"/>
  <c r="K59" i="1"/>
  <c r="K58" i="1"/>
  <c r="I58" i="1" s="1"/>
  <c r="K57" i="1"/>
  <c r="I57" i="1" s="1"/>
  <c r="K56" i="1"/>
  <c r="I56" i="1" s="1"/>
  <c r="K55" i="1"/>
  <c r="I55" i="1" s="1"/>
  <c r="K54" i="1"/>
  <c r="I54" i="1" s="1"/>
  <c r="K53" i="1"/>
  <c r="I53" i="1" s="1"/>
  <c r="K52" i="1"/>
  <c r="I52" i="1" s="1"/>
  <c r="K51" i="1"/>
  <c r="I51" i="1" s="1"/>
  <c r="K50" i="1"/>
  <c r="I50" i="1" s="1"/>
  <c r="K157" i="1" s="1"/>
  <c r="I64" i="1"/>
  <c r="K23" i="1"/>
  <c r="I23" i="1" s="1"/>
  <c r="K22" i="1"/>
  <c r="K21" i="1"/>
  <c r="K20" i="1"/>
  <c r="K19" i="1"/>
  <c r="I19" i="1" s="1"/>
  <c r="K18" i="1"/>
  <c r="I18" i="1" s="1"/>
  <c r="K17" i="1"/>
  <c r="K16" i="1"/>
  <c r="K15" i="1"/>
  <c r="I15" i="1" s="1"/>
  <c r="K14" i="1"/>
  <c r="K13" i="1"/>
  <c r="K12" i="1"/>
  <c r="I12" i="1" s="1"/>
  <c r="K11" i="1"/>
  <c r="I11" i="1" s="1"/>
  <c r="K10" i="1"/>
  <c r="I10" i="1" s="1"/>
  <c r="K9" i="1"/>
  <c r="I9" i="1" s="1"/>
  <c r="K8" i="1"/>
  <c r="K7" i="1"/>
  <c r="I7" i="1" s="1"/>
  <c r="K6" i="1"/>
  <c r="I6" i="1" s="1"/>
  <c r="K155" i="1" s="1"/>
  <c r="E7" i="1"/>
  <c r="E8" i="1"/>
  <c r="E9" i="1"/>
  <c r="I8" i="1"/>
  <c r="K32" i="1"/>
  <c r="I32" i="1" s="1"/>
  <c r="K45" i="1"/>
  <c r="I45" i="1" s="1"/>
  <c r="K44" i="1"/>
  <c r="I44" i="1" s="1"/>
  <c r="K43" i="1"/>
  <c r="I43" i="1" s="1"/>
  <c r="K42" i="1"/>
  <c r="I42" i="1" s="1"/>
  <c r="K41" i="1"/>
  <c r="I41" i="1" s="1"/>
  <c r="K40" i="1"/>
  <c r="I40" i="1" s="1"/>
  <c r="K39" i="1"/>
  <c r="K38" i="1"/>
  <c r="I38" i="1" s="1"/>
  <c r="K37" i="1"/>
  <c r="I37" i="1" s="1"/>
  <c r="K36" i="1"/>
  <c r="I36" i="1" s="1"/>
  <c r="K35" i="1"/>
  <c r="I35" i="1" s="1"/>
  <c r="K34" i="1"/>
  <c r="I34" i="1" s="1"/>
  <c r="K33" i="1"/>
  <c r="I33" i="1" s="1"/>
  <c r="K31" i="1"/>
  <c r="I31" i="1" s="1"/>
  <c r="K30" i="1"/>
  <c r="K29" i="1"/>
  <c r="I29" i="1" s="1"/>
  <c r="K28" i="1"/>
  <c r="I28" i="1" s="1"/>
  <c r="K156" i="1" s="1"/>
  <c r="I39" i="1"/>
  <c r="I30" i="1"/>
  <c r="G45" i="1"/>
  <c r="E45" i="1" s="1"/>
  <c r="G44" i="1"/>
  <c r="E44" i="1" s="1"/>
  <c r="G43" i="1"/>
  <c r="E43" i="1" s="1"/>
  <c r="G42" i="1"/>
  <c r="E42" i="1" s="1"/>
  <c r="G41" i="1"/>
  <c r="E41" i="1" s="1"/>
  <c r="G40" i="1"/>
  <c r="E40" i="1" s="1"/>
  <c r="G39" i="1"/>
  <c r="E39" i="1" s="1"/>
  <c r="G38" i="1"/>
  <c r="E38" i="1" s="1"/>
  <c r="G37" i="1"/>
  <c r="E37" i="1" s="1"/>
  <c r="G36" i="1"/>
  <c r="E36" i="1" s="1"/>
  <c r="G35" i="1"/>
  <c r="E35" i="1" s="1"/>
  <c r="G34" i="1"/>
  <c r="E34" i="1" s="1"/>
  <c r="G33" i="1"/>
  <c r="E33" i="1" s="1"/>
  <c r="G32" i="1"/>
  <c r="E32" i="1" s="1"/>
  <c r="G31" i="1"/>
  <c r="E31" i="1" s="1"/>
  <c r="G30" i="1"/>
  <c r="E30" i="1" s="1"/>
  <c r="G29" i="1"/>
  <c r="E29" i="1" s="1"/>
  <c r="G28" i="1"/>
  <c r="E28" i="1" s="1"/>
  <c r="G156" i="1" s="1"/>
  <c r="A18" i="3"/>
  <c r="A16" i="3"/>
  <c r="A17" i="3"/>
  <c r="A15" i="3"/>
  <c r="A14" i="3"/>
  <c r="A13" i="3"/>
  <c r="A11" i="3"/>
  <c r="A12" i="3"/>
  <c r="A6" i="3"/>
  <c r="A7" i="3"/>
  <c r="A8" i="3"/>
  <c r="A9" i="3"/>
  <c r="A10" i="3"/>
  <c r="A5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C51" i="2"/>
  <c r="A51" i="2" s="1"/>
  <c r="C50" i="2"/>
  <c r="A50" i="2" s="1"/>
  <c r="C49" i="2"/>
  <c r="C48" i="2"/>
  <c r="C47" i="2"/>
  <c r="A47" i="2" s="1"/>
  <c r="C46" i="2"/>
  <c r="C45" i="2"/>
  <c r="A45" i="2" s="1"/>
  <c r="C44" i="2"/>
  <c r="A44" i="2" s="1"/>
  <c r="C43" i="2"/>
  <c r="C42" i="2"/>
  <c r="A42" i="2" s="1"/>
  <c r="C41" i="2"/>
  <c r="A41" i="2" s="1"/>
  <c r="C40" i="2"/>
  <c r="A40" i="2" s="1"/>
  <c r="A49" i="2"/>
  <c r="A48" i="2"/>
  <c r="G51" i="2"/>
  <c r="E51" i="2" s="1"/>
  <c r="G50" i="2"/>
  <c r="E50" i="2" s="1"/>
  <c r="G49" i="2"/>
  <c r="E49" i="2" s="1"/>
  <c r="G48" i="2"/>
  <c r="E48" i="2" s="1"/>
  <c r="G47" i="2"/>
  <c r="G46" i="2"/>
  <c r="E46" i="2" s="1"/>
  <c r="G45" i="2"/>
  <c r="E45" i="2" s="1"/>
  <c r="G44" i="2"/>
  <c r="E44" i="2" s="1"/>
  <c r="G43" i="2"/>
  <c r="E43" i="2" s="1"/>
  <c r="G42" i="2"/>
  <c r="E42" i="2" s="1"/>
  <c r="G41" i="2"/>
  <c r="G40" i="2"/>
  <c r="K51" i="2"/>
  <c r="K50" i="2"/>
  <c r="K49" i="2"/>
  <c r="K48" i="2"/>
  <c r="I47" i="2" s="1"/>
  <c r="K47" i="2"/>
  <c r="I46" i="2" s="1"/>
  <c r="K46" i="2"/>
  <c r="K45" i="2"/>
  <c r="K44" i="2"/>
  <c r="K43" i="2"/>
  <c r="I42" i="2" s="1"/>
  <c r="K42" i="2"/>
  <c r="K41" i="2"/>
  <c r="K40" i="2"/>
  <c r="I45" i="2"/>
  <c r="I44" i="2"/>
  <c r="I41" i="2"/>
  <c r="I50" i="2"/>
  <c r="I48" i="2"/>
  <c r="I49" i="2"/>
  <c r="I51" i="2"/>
  <c r="E47" i="2"/>
  <c r="A46" i="2"/>
  <c r="I43" i="2"/>
  <c r="A43" i="2"/>
  <c r="I40" i="2"/>
  <c r="E41" i="2"/>
  <c r="K16" i="2"/>
  <c r="K12" i="2"/>
  <c r="K15" i="2"/>
  <c r="I15" i="2" s="1"/>
  <c r="K14" i="2"/>
  <c r="I14" i="2" s="1"/>
  <c r="K13" i="2"/>
  <c r="I13" i="2" s="1"/>
  <c r="K11" i="2"/>
  <c r="I11" i="2" s="1"/>
  <c r="K10" i="2"/>
  <c r="I10" i="2" s="1"/>
  <c r="K9" i="2"/>
  <c r="I9" i="2" s="1"/>
  <c r="K8" i="2"/>
  <c r="I8" i="2" s="1"/>
  <c r="K7" i="2"/>
  <c r="I7" i="2" s="1"/>
  <c r="K6" i="2"/>
  <c r="I6" i="2" s="1"/>
  <c r="K5" i="2"/>
  <c r="I16" i="2"/>
  <c r="I12" i="2"/>
  <c r="G16" i="2"/>
  <c r="G15" i="2"/>
  <c r="E15" i="2" s="1"/>
  <c r="G14" i="2"/>
  <c r="E14" i="2" s="1"/>
  <c r="G13" i="2"/>
  <c r="E13" i="2" s="1"/>
  <c r="G12" i="2"/>
  <c r="G11" i="2"/>
  <c r="E11" i="2" s="1"/>
  <c r="G10" i="2"/>
  <c r="G9" i="2"/>
  <c r="E9" i="2" s="1"/>
  <c r="G8" i="2"/>
  <c r="E8" i="2" s="1"/>
  <c r="G7" i="2"/>
  <c r="E7" i="2" s="1"/>
  <c r="G6" i="2"/>
  <c r="E6" i="2" s="1"/>
  <c r="G5" i="2"/>
  <c r="E5" i="2" s="1"/>
  <c r="E16" i="2"/>
  <c r="E10" i="2"/>
  <c r="E12" i="2"/>
  <c r="K34" i="2"/>
  <c r="K33" i="2"/>
  <c r="K32" i="2"/>
  <c r="K31" i="2"/>
  <c r="K30" i="2"/>
  <c r="K29" i="2"/>
  <c r="K28" i="2"/>
  <c r="K27" i="2"/>
  <c r="K26" i="2"/>
  <c r="K25" i="2"/>
  <c r="K24" i="2"/>
  <c r="K23" i="2"/>
  <c r="G34" i="2"/>
  <c r="E34" i="2" s="1"/>
  <c r="G33" i="2"/>
  <c r="E33" i="2" s="1"/>
  <c r="G32" i="2"/>
  <c r="G31" i="2"/>
  <c r="G30" i="2"/>
  <c r="E30" i="2" s="1"/>
  <c r="G29" i="2"/>
  <c r="E29" i="2" s="1"/>
  <c r="G28" i="2"/>
  <c r="E28" i="2" s="1"/>
  <c r="G27" i="2"/>
  <c r="G26" i="2"/>
  <c r="E26" i="2" s="1"/>
  <c r="G25" i="2"/>
  <c r="G24" i="2"/>
  <c r="E24" i="2" s="1"/>
  <c r="G23" i="2"/>
  <c r="E31" i="2"/>
  <c r="E27" i="2"/>
  <c r="E25" i="2"/>
  <c r="E32" i="2"/>
  <c r="C31" i="2"/>
  <c r="A31" i="2" s="1"/>
  <c r="C33" i="2"/>
  <c r="A33" i="2" s="1"/>
  <c r="C32" i="2"/>
  <c r="A32" i="2" s="1"/>
  <c r="C30" i="2"/>
  <c r="C25" i="2"/>
  <c r="A25" i="2" s="1"/>
  <c r="C34" i="2"/>
  <c r="A34" i="2" s="1"/>
  <c r="A30" i="2"/>
  <c r="C29" i="2"/>
  <c r="A29" i="2" s="1"/>
  <c r="C28" i="2"/>
  <c r="A28" i="2" s="1"/>
  <c r="C27" i="2"/>
  <c r="A27" i="2" s="1"/>
  <c r="C26" i="2"/>
  <c r="C24" i="2"/>
  <c r="A24" i="2" s="1"/>
  <c r="C23" i="2"/>
  <c r="A23" i="2" s="1"/>
  <c r="A26" i="2"/>
  <c r="C51" i="1"/>
  <c r="A51" i="1" s="1"/>
  <c r="I5" i="2"/>
  <c r="A5" i="2"/>
  <c r="A6" i="2"/>
  <c r="A7" i="2"/>
  <c r="A8" i="2"/>
  <c r="A9" i="2"/>
  <c r="A10" i="2"/>
  <c r="A11" i="2"/>
  <c r="A12" i="2"/>
  <c r="A13" i="2"/>
  <c r="A14" i="2"/>
  <c r="A15" i="2"/>
  <c r="A16" i="2"/>
  <c r="G86" i="1"/>
  <c r="E86" i="1" s="1"/>
  <c r="G85" i="1"/>
  <c r="E85" i="1" s="1"/>
  <c r="G84" i="1"/>
  <c r="E84" i="1" s="1"/>
  <c r="G83" i="1"/>
  <c r="E83" i="1" s="1"/>
  <c r="G82" i="1"/>
  <c r="E82" i="1" s="1"/>
  <c r="G81" i="1"/>
  <c r="E81" i="1" s="1"/>
  <c r="G80" i="1"/>
  <c r="E80" i="1" s="1"/>
  <c r="G79" i="1"/>
  <c r="E79" i="1" s="1"/>
  <c r="G78" i="1"/>
  <c r="E78" i="1" s="1"/>
  <c r="G77" i="1"/>
  <c r="E77" i="1" s="1"/>
  <c r="E76" i="1"/>
  <c r="G75" i="1"/>
  <c r="E75" i="1" s="1"/>
  <c r="G74" i="1"/>
  <c r="E74" i="1" s="1"/>
  <c r="G73" i="1"/>
  <c r="E73" i="1" s="1"/>
  <c r="G72" i="1"/>
  <c r="E72" i="1" s="1"/>
  <c r="G158" i="1" s="1"/>
  <c r="G150" i="1"/>
  <c r="E150" i="1" s="1"/>
  <c r="G149" i="1"/>
  <c r="E149" i="1" s="1"/>
  <c r="G148" i="1"/>
  <c r="E148" i="1" s="1"/>
  <c r="G147" i="1"/>
  <c r="E147" i="1" s="1"/>
  <c r="G146" i="1"/>
  <c r="E146" i="1" s="1"/>
  <c r="G145" i="1"/>
  <c r="E145" i="1" s="1"/>
  <c r="G144" i="1"/>
  <c r="E144" i="1" s="1"/>
  <c r="G143" i="1"/>
  <c r="E143" i="1" s="1"/>
  <c r="G142" i="1"/>
  <c r="E142" i="1" s="1"/>
  <c r="G141" i="1"/>
  <c r="E141" i="1" s="1"/>
  <c r="G140" i="1"/>
  <c r="E140" i="1" s="1"/>
  <c r="G139" i="1"/>
  <c r="E139" i="1" s="1"/>
  <c r="G138" i="1"/>
  <c r="E138" i="1" s="1"/>
  <c r="G137" i="1"/>
  <c r="E137" i="1" s="1"/>
  <c r="G136" i="1"/>
  <c r="E136" i="1" s="1"/>
  <c r="G161" i="1" s="1"/>
  <c r="G131" i="1"/>
  <c r="E131" i="1" s="1"/>
  <c r="G130" i="1"/>
  <c r="E130" i="1" s="1"/>
  <c r="G129" i="1"/>
  <c r="E129" i="1" s="1"/>
  <c r="G128" i="1"/>
  <c r="E128" i="1" s="1"/>
  <c r="G127" i="1"/>
  <c r="E127" i="1" s="1"/>
  <c r="G126" i="1"/>
  <c r="E126" i="1" s="1"/>
  <c r="G125" i="1"/>
  <c r="E125" i="1" s="1"/>
  <c r="G124" i="1"/>
  <c r="E124" i="1" s="1"/>
  <c r="G123" i="1"/>
  <c r="E123" i="1" s="1"/>
  <c r="G122" i="1"/>
  <c r="E122" i="1" s="1"/>
  <c r="G121" i="1"/>
  <c r="E121" i="1" s="1"/>
  <c r="G120" i="1"/>
  <c r="E120" i="1" s="1"/>
  <c r="G119" i="1"/>
  <c r="E119" i="1" s="1"/>
  <c r="G118" i="1"/>
  <c r="E118" i="1" s="1"/>
  <c r="G117" i="1"/>
  <c r="E117" i="1" s="1"/>
  <c r="G160" i="1" s="1"/>
  <c r="E101" i="1"/>
  <c r="E94" i="1"/>
  <c r="G159" i="1" s="1"/>
  <c r="E56" i="1"/>
  <c r="E15" i="1"/>
  <c r="E13" i="1"/>
  <c r="E10" i="1"/>
  <c r="C60" i="1"/>
  <c r="A60" i="1" s="1"/>
  <c r="C64" i="1"/>
  <c r="A64" i="1" s="1"/>
  <c r="C63" i="1"/>
  <c r="A63" i="1" s="1"/>
  <c r="C62" i="1"/>
  <c r="A62" i="1" s="1"/>
  <c r="C61" i="1"/>
  <c r="A61" i="1" s="1"/>
  <c r="C59" i="1"/>
  <c r="A59" i="1" s="1"/>
  <c r="C58" i="1"/>
  <c r="A58" i="1" s="1"/>
  <c r="C57" i="1"/>
  <c r="A57" i="1" s="1"/>
  <c r="C56" i="1"/>
  <c r="A56" i="1" s="1"/>
  <c r="C55" i="1"/>
  <c r="A55" i="1" s="1"/>
  <c r="C54" i="1"/>
  <c r="A54" i="1" s="1"/>
  <c r="C53" i="1"/>
  <c r="A53" i="1" s="1"/>
  <c r="C52" i="1"/>
  <c r="A52" i="1" s="1"/>
  <c r="C50" i="1"/>
  <c r="A50" i="1" s="1"/>
  <c r="C157" i="1" s="1"/>
  <c r="C150" i="1"/>
  <c r="A150" i="1" s="1"/>
  <c r="C149" i="1"/>
  <c r="A149" i="1" s="1"/>
  <c r="C148" i="1"/>
  <c r="A148" i="1" s="1"/>
  <c r="C147" i="1"/>
  <c r="A147" i="1" s="1"/>
  <c r="C146" i="1"/>
  <c r="A146" i="1" s="1"/>
  <c r="C145" i="1"/>
  <c r="A145" i="1" s="1"/>
  <c r="C144" i="1"/>
  <c r="A144" i="1" s="1"/>
  <c r="C143" i="1"/>
  <c r="A143" i="1" s="1"/>
  <c r="C142" i="1"/>
  <c r="A142" i="1" s="1"/>
  <c r="C141" i="1"/>
  <c r="A141" i="1" s="1"/>
  <c r="C140" i="1"/>
  <c r="A140" i="1" s="1"/>
  <c r="C139" i="1"/>
  <c r="A139" i="1" s="1"/>
  <c r="C138" i="1"/>
  <c r="A138" i="1" s="1"/>
  <c r="C136" i="1"/>
  <c r="A136" i="1" s="1"/>
  <c r="C161" i="1" s="1"/>
  <c r="C137" i="1"/>
  <c r="A137" i="1" s="1"/>
  <c r="C128" i="1"/>
  <c r="A128" i="1" s="1"/>
  <c r="C131" i="1"/>
  <c r="A131" i="1" s="1"/>
  <c r="C130" i="1"/>
  <c r="A130" i="1" s="1"/>
  <c r="C129" i="1"/>
  <c r="A129" i="1" s="1"/>
  <c r="C127" i="1"/>
  <c r="A127" i="1" s="1"/>
  <c r="C126" i="1"/>
  <c r="A126" i="1" s="1"/>
  <c r="C125" i="1"/>
  <c r="A125" i="1" s="1"/>
  <c r="C124" i="1"/>
  <c r="A124" i="1" s="1"/>
  <c r="C123" i="1"/>
  <c r="A123" i="1" s="1"/>
  <c r="C122" i="1"/>
  <c r="A122" i="1" s="1"/>
  <c r="C121" i="1"/>
  <c r="A121" i="1" s="1"/>
  <c r="C120" i="1"/>
  <c r="A120" i="1" s="1"/>
  <c r="C119" i="1"/>
  <c r="A119" i="1" s="1"/>
  <c r="C118" i="1"/>
  <c r="A118" i="1" s="1"/>
  <c r="C117" i="1"/>
  <c r="A117" i="1" s="1"/>
  <c r="C160" i="1" s="1"/>
  <c r="C111" i="1"/>
  <c r="A111" i="1" s="1"/>
  <c r="C110" i="1"/>
  <c r="A110" i="1" s="1"/>
  <c r="C109" i="1"/>
  <c r="A109" i="1" s="1"/>
  <c r="C108" i="1"/>
  <c r="A108" i="1" s="1"/>
  <c r="C107" i="1"/>
  <c r="A107" i="1" s="1"/>
  <c r="C106" i="1"/>
  <c r="A106" i="1" s="1"/>
  <c r="C105" i="1"/>
  <c r="A105" i="1" s="1"/>
  <c r="C104" i="1"/>
  <c r="A104" i="1" s="1"/>
  <c r="C103" i="1"/>
  <c r="A103" i="1" s="1"/>
  <c r="C102" i="1"/>
  <c r="A102" i="1" s="1"/>
  <c r="C101" i="1"/>
  <c r="A101" i="1" s="1"/>
  <c r="C100" i="1"/>
  <c r="A100" i="1" s="1"/>
  <c r="C99" i="1"/>
  <c r="A99" i="1" s="1"/>
  <c r="C98" i="1"/>
  <c r="A98" i="1" s="1"/>
  <c r="C94" i="1"/>
  <c r="A94" i="1" s="1"/>
  <c r="C159" i="1" s="1"/>
  <c r="K161" i="1"/>
  <c r="K160" i="1"/>
  <c r="I109" i="1"/>
  <c r="I101" i="1"/>
  <c r="C89" i="1"/>
  <c r="A89" i="1" s="1"/>
  <c r="C88" i="1"/>
  <c r="A88" i="1" s="1"/>
  <c r="C83" i="1"/>
  <c r="A83" i="1" s="1"/>
  <c r="C72" i="1"/>
  <c r="A72" i="1" s="1"/>
  <c r="C158" i="1" s="1"/>
  <c r="C87" i="1"/>
  <c r="A87" i="1" s="1"/>
  <c r="C86" i="1"/>
  <c r="A86" i="1" s="1"/>
  <c r="C85" i="1"/>
  <c r="A85" i="1" s="1"/>
  <c r="C84" i="1"/>
  <c r="A84" i="1" s="1"/>
  <c r="C82" i="1"/>
  <c r="A82" i="1" s="1"/>
  <c r="C81" i="1"/>
  <c r="A81" i="1" s="1"/>
  <c r="C80" i="1"/>
  <c r="A80" i="1" s="1"/>
  <c r="C79" i="1"/>
  <c r="A79" i="1" s="1"/>
  <c r="C78" i="1"/>
  <c r="A78" i="1" s="1"/>
  <c r="C77" i="1"/>
  <c r="A77" i="1" s="1"/>
  <c r="C76" i="1"/>
  <c r="A76" i="1" s="1"/>
  <c r="K158" i="1"/>
  <c r="I67" i="1"/>
  <c r="I61" i="1"/>
  <c r="I60" i="1"/>
  <c r="I59" i="1"/>
  <c r="C42" i="1"/>
  <c r="A42" i="1" s="1"/>
  <c r="C41" i="1"/>
  <c r="A41" i="1" s="1"/>
  <c r="C40" i="1"/>
  <c r="A40" i="1" s="1"/>
  <c r="C39" i="1"/>
  <c r="A39" i="1" s="1"/>
  <c r="C38" i="1"/>
  <c r="A38" i="1" s="1"/>
  <c r="C37" i="1"/>
  <c r="A37" i="1" s="1"/>
  <c r="C36" i="1"/>
  <c r="A36" i="1" s="1"/>
  <c r="C35" i="1"/>
  <c r="A35" i="1" s="1"/>
  <c r="C34" i="1"/>
  <c r="A34" i="1" s="1"/>
  <c r="C33" i="1"/>
  <c r="A33" i="1" s="1"/>
  <c r="C32" i="1"/>
  <c r="A32" i="1" s="1"/>
  <c r="C31" i="1"/>
  <c r="A31" i="1" s="1"/>
  <c r="C30" i="1"/>
  <c r="A30" i="1" s="1"/>
  <c r="C29" i="1"/>
  <c r="A29" i="1" s="1"/>
  <c r="C28" i="1"/>
  <c r="A28" i="1" s="1"/>
  <c r="C156" i="1" s="1"/>
  <c r="I22" i="1"/>
  <c r="I21" i="1"/>
  <c r="I20" i="1"/>
  <c r="I17" i="1"/>
  <c r="I16" i="1"/>
  <c r="I14" i="1"/>
  <c r="I13" i="1"/>
  <c r="A23" i="1"/>
  <c r="A22" i="1"/>
  <c r="A21" i="1"/>
  <c r="A19" i="1"/>
  <c r="A16" i="1"/>
  <c r="A14" i="1"/>
  <c r="A12" i="1"/>
  <c r="A11" i="1"/>
  <c r="E21" i="3" l="1"/>
  <c r="C155" i="1"/>
</calcChain>
</file>

<file path=xl/sharedStrings.xml><?xml version="1.0" encoding="utf-8"?>
<sst xmlns="http://schemas.openxmlformats.org/spreadsheetml/2006/main" count="263" uniqueCount="84">
  <si>
    <t>Epsilon</t>
  </si>
  <si>
    <t>Accuracy (%)</t>
  </si>
  <si>
    <t>all accuracies</t>
  </si>
  <si>
    <t>Mobilenetv2 with MNIST &amp; epsilon mul</t>
  </si>
  <si>
    <t>Mobilenetv2 with CIFAR10 &amp; epsilon mul</t>
  </si>
  <si>
    <t>Mobilenetv2 with CIFAR100 &amp; epsilon mul</t>
  </si>
  <si>
    <t>Mobilenetv2 with MNIST &amp; bit flip</t>
  </si>
  <si>
    <t>Mobilenetv2 with CIFAR10 &amp; bit flip</t>
  </si>
  <si>
    <t>Mobilenetv2 with CIFAR100 &amp; bit flip</t>
  </si>
  <si>
    <t>Bits flipped</t>
  </si>
  <si>
    <t>densenet121 with MNIST &amp; epsilon mul</t>
  </si>
  <si>
    <t>densenet121 with CIFAR10 &amp; epsilon mul</t>
  </si>
  <si>
    <t>densenet121 with CIFAR100 &amp; epsilon mul</t>
  </si>
  <si>
    <t>Mobilenetv2 Tests</t>
  </si>
  <si>
    <t>Densenet121 Tests</t>
  </si>
  <si>
    <t>Googlenet Tests</t>
  </si>
  <si>
    <t>googlenet with MNIST &amp; epsilon mul</t>
  </si>
  <si>
    <t>googlenet with CIFAR10 &amp; epsilon mul</t>
  </si>
  <si>
    <t>googlenet with CIFAR100 &amp; epsilon mul</t>
  </si>
  <si>
    <t>Inception_v3 Tests</t>
  </si>
  <si>
    <t>inception_v3 with MNIST &amp; epsilon mul</t>
  </si>
  <si>
    <t>inception_v3 with CIFAR10 &amp; epsilon mul</t>
  </si>
  <si>
    <t>inception_v3 with CIFAR100 &amp; epsilon mul</t>
  </si>
  <si>
    <t>Resnet18 Tests</t>
  </si>
  <si>
    <t>resnet18 with MNIST &amp; epsilon mul</t>
  </si>
  <si>
    <t>resnet18 with CIFAR10 &amp; epsilon mul</t>
  </si>
  <si>
    <t>resnet18 with CIFAR100 &amp; epsilon mul</t>
  </si>
  <si>
    <t>Squeezenet1_0 Tests</t>
  </si>
  <si>
    <t>squeezenet1_0 with MNIST &amp; epsilon mul</t>
  </si>
  <si>
    <t>squeezenet1_0 with CIFAR10 &amp; epsilon mul</t>
  </si>
  <si>
    <t>Squeezenet1_1 Tests</t>
  </si>
  <si>
    <t>squeezenet1_1 with MNIST &amp; epsilon mul</t>
  </si>
  <si>
    <t>squeezenet1_1 with CIFAR10 &amp; epsilon mul</t>
  </si>
  <si>
    <t>original models with MNIST</t>
  </si>
  <si>
    <t>original models with CIFAR10</t>
  </si>
  <si>
    <t>original models with CIFAR100</t>
  </si>
  <si>
    <t>Model</t>
  </si>
  <si>
    <t>squeezenet1_0</t>
  </si>
  <si>
    <t>squeezenet1_1</t>
  </si>
  <si>
    <t>Praktischer Part - Robustness und Fault tolerance</t>
  </si>
  <si>
    <t>Googlenet with MNIST &amp; bit flip</t>
  </si>
  <si>
    <t>Googlenet with CIFAR10 &amp; bit flip</t>
  </si>
  <si>
    <t>Googlenet with CIFAR100 &amp; bit flip</t>
  </si>
  <si>
    <t>Bit flipped</t>
  </si>
  <si>
    <t>none</t>
  </si>
  <si>
    <t>Resnet18 with MNIST &amp; bit flip</t>
  </si>
  <si>
    <t>Resnet18 with CIFAR10 &amp; bit flip</t>
  </si>
  <si>
    <t>Resnet18 with CIFAR100 &amp; bit flip</t>
  </si>
  <si>
    <t>densenet121 with CIFAR10 &amp; mul one value each layer</t>
  </si>
  <si>
    <t>layer 5</t>
  </si>
  <si>
    <t>value 0</t>
  </si>
  <si>
    <t>densenet121 with CIFAR10 &amp; mul all one layer</t>
  </si>
  <si>
    <t>resnet18 with CIFAR10 &amp; mul all one layer</t>
  </si>
  <si>
    <t>resnet18 with CIFAR10 &amp; mul one value each layer</t>
  </si>
  <si>
    <t>value 7</t>
  </si>
  <si>
    <t>layer 2</t>
  </si>
  <si>
    <t>googlenet with CIFAR10 &amp; mul one value each layer</t>
  </si>
  <si>
    <t>value 20</t>
  </si>
  <si>
    <t>Densenet121 with CIFAR10 &amp; bit flip in only one layer</t>
  </si>
  <si>
    <t>Googlenet with CIFAR100 &amp; bit flip in only one layer</t>
  </si>
  <si>
    <t>Googlenet with CIFAR10 &amp; bit flip in only one layer</t>
  </si>
  <si>
    <t>layer 0</t>
  </si>
  <si>
    <t>layer 7</t>
  </si>
  <si>
    <t>mobilenet_v2 with CIFAR100 &amp; mul all one layer</t>
  </si>
  <si>
    <t>resent18 with CIFAR10 &amp; mul many layers</t>
  </si>
  <si>
    <t>googlenet with CIFAR100 &amp; mul all one layer</t>
  </si>
  <si>
    <t>layer 4</t>
  </si>
  <si>
    <t>densenet121 with CIFAR100 &amp; bit flip in only one layer</t>
  </si>
  <si>
    <t>Resnet18 with MNIST &amp; bit flip one value each layer</t>
  </si>
  <si>
    <t>value 1</t>
  </si>
  <si>
    <t>densenet121 with MNIST &amp; mul many layers</t>
  </si>
  <si>
    <t>5 layers</t>
  </si>
  <si>
    <t>value 3</t>
  </si>
  <si>
    <t>googlenet with CIFAR100 &amp; one value each layer</t>
  </si>
  <si>
    <t>resnet18 with MNIST &amp; one value each layer</t>
  </si>
  <si>
    <t>layer 3</t>
  </si>
  <si>
    <t>mobilenetv2 with CIFAR100 &amp; mul many layers</t>
  </si>
  <si>
    <t>googlenet with CIFAR100 &amp; mul many layers</t>
  </si>
  <si>
    <t>MobileNetV2</t>
  </si>
  <si>
    <t>DenseNet121</t>
  </si>
  <si>
    <t>GoogLeNet</t>
  </si>
  <si>
    <t>InceptionV3</t>
  </si>
  <si>
    <t>ResNet18</t>
  </si>
  <si>
    <t>inceptionv3 with MNIST &amp; bit flip in only one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</si>
</sst>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504A-91A0-4B5A-BF2F-634626D37FD7}">
  <dimension ref="A1:K161"/>
  <sheetViews>
    <sheetView tabSelected="1" topLeftCell="A114" zoomScaleNormal="100" workbookViewId="0">
      <selection activeCell="L139" sqref="L139"/>
    </sheetView>
  </sheetViews>
  <sheetFormatPr baseColWidth="10" defaultRowHeight="15" x14ac:dyDescent="0.25"/>
  <cols>
    <col min="1" max="1" width="12.42578125" bestFit="1" customWidth="1"/>
    <col min="3" max="3" width="13.42578125" bestFit="1" customWidth="1"/>
    <col min="4" max="4" width="3.85546875" customWidth="1"/>
    <col min="5" max="5" width="12.42578125" bestFit="1" customWidth="1"/>
    <col min="7" max="7" width="13.42578125" bestFit="1" customWidth="1"/>
    <col min="8" max="8" width="3" customWidth="1"/>
    <col min="9" max="9" width="12.42578125" bestFit="1" customWidth="1"/>
    <col min="11" max="11" width="13.42578125" bestFit="1" customWidth="1"/>
  </cols>
  <sheetData>
    <row r="1" spans="1:11" ht="18.75" x14ac:dyDescent="0.3">
      <c r="A1" s="10" t="s">
        <v>39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2"/>
      <c r="B2" s="2"/>
      <c r="E2" s="2"/>
      <c r="F2" s="2"/>
      <c r="I2" s="2"/>
      <c r="J2" s="2"/>
    </row>
    <row r="3" spans="1:11" ht="15.75" x14ac:dyDescent="0.25">
      <c r="A3" s="11" t="s">
        <v>13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5">
      <c r="A4" s="12" t="s">
        <v>3</v>
      </c>
      <c r="B4" s="12"/>
      <c r="C4" s="12"/>
      <c r="D4" s="4"/>
      <c r="E4" s="12" t="s">
        <v>4</v>
      </c>
      <c r="F4" s="12"/>
      <c r="G4" s="12"/>
      <c r="H4" s="4"/>
      <c r="I4" s="12" t="s">
        <v>5</v>
      </c>
      <c r="J4" s="12"/>
      <c r="K4" s="12"/>
    </row>
    <row r="5" spans="1:11" s="3" customFormat="1" x14ac:dyDescent="0.25">
      <c r="A5" s="3" t="s">
        <v>1</v>
      </c>
      <c r="B5" s="3" t="s">
        <v>0</v>
      </c>
      <c r="C5" s="3" t="s">
        <v>2</v>
      </c>
      <c r="E5" s="3" t="s">
        <v>1</v>
      </c>
      <c r="F5" s="3" t="s">
        <v>0</v>
      </c>
      <c r="G5" s="3" t="s">
        <v>2</v>
      </c>
      <c r="I5" s="3" t="s">
        <v>1</v>
      </c>
      <c r="J5" s="3" t="s">
        <v>0</v>
      </c>
      <c r="K5" s="3" t="s">
        <v>2</v>
      </c>
    </row>
    <row r="6" spans="1:11" x14ac:dyDescent="0.25">
      <c r="A6" s="2">
        <f>C6</f>
        <v>96.94</v>
      </c>
      <c r="B6" s="2">
        <v>0</v>
      </c>
      <c r="C6">
        <f>96.94</f>
        <v>96.94</v>
      </c>
      <c r="E6" s="2">
        <f t="shared" ref="E6:E9" si="0">G6/5</f>
        <v>83.304000000000002</v>
      </c>
      <c r="F6" s="2">
        <v>0</v>
      </c>
      <c r="G6">
        <f>86.08+85.69+80.2+81.61+82.94</f>
        <v>416.52</v>
      </c>
      <c r="I6" s="2">
        <f>K6/5</f>
        <v>66.687999999999988</v>
      </c>
      <c r="J6" s="2">
        <v>0</v>
      </c>
      <c r="K6">
        <f>68.77+70.37+54.82+71.13+68.35</f>
        <v>333.43999999999994</v>
      </c>
    </row>
    <row r="7" spans="1:11" x14ac:dyDescent="0.25">
      <c r="A7" s="2"/>
      <c r="B7" s="6">
        <v>2.5000000000000001E-3</v>
      </c>
      <c r="C7">
        <f>97.03</f>
        <v>97.03</v>
      </c>
      <c r="E7" s="2">
        <f t="shared" si="0"/>
        <v>83.138000000000005</v>
      </c>
      <c r="F7" s="6">
        <v>2.5000000000000001E-3</v>
      </c>
      <c r="G7">
        <f>86.03+85.54+79.85+81.54+82.73</f>
        <v>415.69</v>
      </c>
      <c r="I7" s="2">
        <f t="shared" ref="I7:I9" si="1">K7/5</f>
        <v>66.60799999999999</v>
      </c>
      <c r="J7" s="6">
        <v>2.5000000000000001E-3</v>
      </c>
      <c r="K7">
        <f>68.99+70.05+54.82+70.9+68.28</f>
        <v>333.03999999999996</v>
      </c>
    </row>
    <row r="8" spans="1:11" x14ac:dyDescent="0.25">
      <c r="A8" s="2"/>
      <c r="B8" s="6">
        <v>5.0000000000000001E-3</v>
      </c>
      <c r="C8">
        <v>97.01</v>
      </c>
      <c r="E8" s="2">
        <f t="shared" si="0"/>
        <v>82.872</v>
      </c>
      <c r="F8" s="6">
        <v>5.0000000000000001E-3</v>
      </c>
      <c r="G8">
        <f>85.87+85.04+79.38+81.6+82.47</f>
        <v>414.36</v>
      </c>
      <c r="I8" s="2">
        <f t="shared" si="1"/>
        <v>66.345999999999989</v>
      </c>
      <c r="J8" s="6">
        <v>5.0000000000000001E-3</v>
      </c>
      <c r="K8">
        <f>69.04+69.59+54.7+70.59+67.81</f>
        <v>331.72999999999996</v>
      </c>
    </row>
    <row r="9" spans="1:11" x14ac:dyDescent="0.25">
      <c r="A9" s="2"/>
      <c r="B9" s="6">
        <v>7.4999999999999997E-3</v>
      </c>
      <c r="C9">
        <v>97.01</v>
      </c>
      <c r="E9" s="2">
        <f t="shared" si="0"/>
        <v>82.381999999999991</v>
      </c>
      <c r="F9" s="6">
        <v>7.4999999999999997E-3</v>
      </c>
      <c r="G9">
        <f>85.73+84.34+78.59+81.1+82.15</f>
        <v>411.90999999999997</v>
      </c>
      <c r="I9" s="2">
        <f t="shared" si="1"/>
        <v>65.67</v>
      </c>
      <c r="J9" s="6">
        <v>7.4999999999999997E-3</v>
      </c>
      <c r="K9">
        <f>68.47+68.84+54.12+69.93+66.99</f>
        <v>328.35</v>
      </c>
    </row>
    <row r="10" spans="1:11" x14ac:dyDescent="0.25">
      <c r="A10" s="2">
        <f t="shared" ref="A10:A23" si="2">C10/5</f>
        <v>19.422000000000001</v>
      </c>
      <c r="B10" s="2">
        <v>0.01</v>
      </c>
      <c r="C10">
        <f>97.11</f>
        <v>97.11</v>
      </c>
      <c r="E10" s="2">
        <f>G10/5</f>
        <v>81.796000000000006</v>
      </c>
      <c r="F10" s="2">
        <v>0.01</v>
      </c>
      <c r="G10">
        <f>85.36+83.51+77.88+80.5+81.73</f>
        <v>408.98</v>
      </c>
      <c r="I10" s="2">
        <f>K10/5</f>
        <v>64.656000000000006</v>
      </c>
      <c r="J10" s="2">
        <v>0.01</v>
      </c>
      <c r="K10">
        <f>67.44+67.73+53.3+69.05+65.76</f>
        <v>323.28000000000003</v>
      </c>
    </row>
    <row r="11" spans="1:11" x14ac:dyDescent="0.25">
      <c r="A11" s="2">
        <f t="shared" si="2"/>
        <v>19.297999999999998</v>
      </c>
      <c r="B11" s="2">
        <v>0.02</v>
      </c>
      <c r="C11">
        <f>96.49</f>
        <v>96.49</v>
      </c>
      <c r="E11" s="2">
        <f t="shared" ref="E11:E23" si="3">G11/5</f>
        <v>78.50200000000001</v>
      </c>
      <c r="F11" s="2">
        <v>0.02</v>
      </c>
      <c r="G11">
        <f>82.79+78.99+74.01+77.74+78.98</f>
        <v>392.51000000000005</v>
      </c>
      <c r="I11" s="2">
        <f t="shared" ref="I11:I23" si="4">K11/5</f>
        <v>58.89200000000001</v>
      </c>
      <c r="J11" s="2">
        <v>0.02</v>
      </c>
      <c r="K11">
        <f>61.99+61.48+48.58+63.22+59.19</f>
        <v>294.46000000000004</v>
      </c>
    </row>
    <row r="12" spans="1:11" x14ac:dyDescent="0.25">
      <c r="A12" s="2">
        <f t="shared" si="2"/>
        <v>19.012</v>
      </c>
      <c r="B12" s="2">
        <v>0.03</v>
      </c>
      <c r="C12">
        <f>95.06</f>
        <v>95.06</v>
      </c>
      <c r="E12" s="2">
        <f t="shared" si="3"/>
        <v>73.602000000000004</v>
      </c>
      <c r="F12" s="2">
        <v>0.03</v>
      </c>
      <c r="G12">
        <f>78.48+73.02+69.36+72.82+74.33</f>
        <v>368.01</v>
      </c>
      <c r="I12" s="2">
        <f t="shared" si="4"/>
        <v>51.32800000000001</v>
      </c>
      <c r="J12" s="2">
        <v>0.03</v>
      </c>
      <c r="K12">
        <f>54.62+52.88+42.49+54.8+51.85</f>
        <v>256.64000000000004</v>
      </c>
    </row>
    <row r="13" spans="1:11" x14ac:dyDescent="0.25">
      <c r="A13" s="2">
        <f t="shared" si="2"/>
        <v>18.509999999999998</v>
      </c>
      <c r="B13" s="2">
        <v>0.04</v>
      </c>
      <c r="C13">
        <f>92.55</f>
        <v>92.55</v>
      </c>
      <c r="E13" s="2">
        <f t="shared" si="3"/>
        <v>67.676000000000002</v>
      </c>
      <c r="F13" s="2">
        <v>0.04</v>
      </c>
      <c r="G13">
        <f>73.77+66.19+63.55+67+67.87</f>
        <v>338.38</v>
      </c>
      <c r="I13" s="2">
        <f t="shared" si="4"/>
        <v>43.357999999999997</v>
      </c>
      <c r="J13" s="2">
        <v>0.04</v>
      </c>
      <c r="K13">
        <f>45.99+43.6+36.1+46.37+44.73</f>
        <v>216.79</v>
      </c>
    </row>
    <row r="14" spans="1:11" x14ac:dyDescent="0.25">
      <c r="A14" s="2">
        <f t="shared" si="2"/>
        <v>18.012</v>
      </c>
      <c r="B14" s="2">
        <v>0.05</v>
      </c>
      <c r="C14">
        <f>90.06</f>
        <v>90.06</v>
      </c>
      <c r="E14" s="2">
        <f t="shared" si="3"/>
        <v>61.025999999999996</v>
      </c>
      <c r="F14" s="2">
        <v>0.05</v>
      </c>
      <c r="G14">
        <f>68.59+59.21+56.52+60.05+60.76</f>
        <v>305.13</v>
      </c>
      <c r="I14" s="2">
        <f t="shared" si="4"/>
        <v>35.926000000000002</v>
      </c>
      <c r="J14" s="2">
        <v>0.05</v>
      </c>
      <c r="K14">
        <f>38.29+35.94+29.52+37.92+37.96</f>
        <v>179.63</v>
      </c>
    </row>
    <row r="15" spans="1:11" x14ac:dyDescent="0.25">
      <c r="A15" s="2">
        <f t="shared" si="2"/>
        <v>17.386000000000003</v>
      </c>
      <c r="B15" s="2">
        <v>0.06</v>
      </c>
      <c r="C15">
        <f>86.93</f>
        <v>86.93</v>
      </c>
      <c r="E15" s="2">
        <f t="shared" si="3"/>
        <v>53.44</v>
      </c>
      <c r="F15" s="2">
        <v>0.06</v>
      </c>
      <c r="G15">
        <f>63.31+52.01+49.21+50.51+52.16</f>
        <v>267.2</v>
      </c>
      <c r="I15" s="2">
        <f t="shared" si="4"/>
        <v>29.425999999999998</v>
      </c>
      <c r="J15" s="2">
        <v>0.06</v>
      </c>
      <c r="K15">
        <f>31.91+29.52+23.49+30.18+32.03</f>
        <v>147.13</v>
      </c>
    </row>
    <row r="16" spans="1:11" x14ac:dyDescent="0.25">
      <c r="A16" s="2">
        <f t="shared" si="2"/>
        <v>16.574000000000002</v>
      </c>
      <c r="B16" s="2">
        <v>7.0000000000000007E-2</v>
      </c>
      <c r="C16">
        <f>82.87</f>
        <v>82.87</v>
      </c>
      <c r="E16" s="2">
        <f t="shared" si="3"/>
        <v>45.915999999999997</v>
      </c>
      <c r="F16" s="2">
        <v>7.0000000000000007E-2</v>
      </c>
      <c r="G16">
        <f>58.68+45.42+42.09+40.23+43.16</f>
        <v>229.57999999999998</v>
      </c>
      <c r="I16" s="2">
        <f t="shared" si="4"/>
        <v>23.68</v>
      </c>
      <c r="J16" s="2">
        <v>7.0000000000000007E-2</v>
      </c>
      <c r="K16">
        <f>25.93+24.02+18.08+23.35+27.02</f>
        <v>118.39999999999999</v>
      </c>
    </row>
    <row r="17" spans="1:11" x14ac:dyDescent="0.25">
      <c r="A17" s="2">
        <f t="shared" si="2"/>
        <v>15.225999999999999</v>
      </c>
      <c r="B17" s="2">
        <v>0.08</v>
      </c>
      <c r="C17">
        <f>76.13</f>
        <v>76.13</v>
      </c>
      <c r="E17" s="2">
        <f t="shared" si="3"/>
        <v>38.81</v>
      </c>
      <c r="F17" s="2">
        <v>0.08</v>
      </c>
      <c r="G17">
        <f>54.08+39.54+35.85+30.24+34.34</f>
        <v>194.05</v>
      </c>
      <c r="I17" s="2">
        <f t="shared" si="4"/>
        <v>18.827999999999999</v>
      </c>
      <c r="J17" s="2">
        <v>0.08</v>
      </c>
      <c r="K17">
        <f>20.91+19.72+13.6+16.69+23.22</f>
        <v>94.14</v>
      </c>
    </row>
    <row r="18" spans="1:11" x14ac:dyDescent="0.25">
      <c r="A18" s="2">
        <f t="shared" si="2"/>
        <v>13.327999999999999</v>
      </c>
      <c r="B18" s="2">
        <v>0.09</v>
      </c>
      <c r="C18">
        <f>66.64</f>
        <v>66.64</v>
      </c>
      <c r="E18" s="2">
        <f t="shared" si="3"/>
        <v>32.69</v>
      </c>
      <c r="F18" s="2">
        <v>0.09</v>
      </c>
      <c r="G18">
        <f>49.72+33.86+30.99+22.23+26.65</f>
        <v>163.44999999999999</v>
      </c>
      <c r="I18" s="2">
        <f t="shared" si="4"/>
        <v>14.99</v>
      </c>
      <c r="J18" s="2">
        <v>0.09</v>
      </c>
      <c r="K18">
        <f>16.9+16.25+10.06+11.86+19.88</f>
        <v>74.95</v>
      </c>
    </row>
    <row r="19" spans="1:11" x14ac:dyDescent="0.25">
      <c r="A19" s="2">
        <f t="shared" si="2"/>
        <v>11.204000000000001</v>
      </c>
      <c r="B19" s="2">
        <v>0.1</v>
      </c>
      <c r="C19">
        <f>56.02</f>
        <v>56.02</v>
      </c>
      <c r="E19" s="2">
        <f t="shared" si="3"/>
        <v>27.604000000000003</v>
      </c>
      <c r="F19" s="2">
        <v>0.1</v>
      </c>
      <c r="G19">
        <f>45.61+28.34+26.75+17.27+20.05</f>
        <v>138.02000000000001</v>
      </c>
      <c r="I19" s="2">
        <f t="shared" si="4"/>
        <v>11.98</v>
      </c>
      <c r="J19" s="2">
        <v>0.1</v>
      </c>
      <c r="K19">
        <f>13.15+13.56+7.7+8.1+17.39</f>
        <v>59.900000000000006</v>
      </c>
    </row>
    <row r="20" spans="1:11" x14ac:dyDescent="0.25">
      <c r="A20" s="2">
        <f t="shared" si="2"/>
        <v>2.9940000000000002</v>
      </c>
      <c r="B20" s="2">
        <v>0.2</v>
      </c>
      <c r="C20">
        <f>14.97</f>
        <v>14.97</v>
      </c>
      <c r="E20" s="2">
        <f t="shared" si="3"/>
        <v>11.968</v>
      </c>
      <c r="F20" s="2">
        <v>0.2</v>
      </c>
      <c r="G20">
        <f>15.51+10.22+13.99+10+10.12</f>
        <v>59.839999999999996</v>
      </c>
      <c r="I20" s="2">
        <f t="shared" si="4"/>
        <v>2.6120000000000001</v>
      </c>
      <c r="J20" s="2">
        <v>0.2</v>
      </c>
      <c r="K20">
        <f>2.1+2.47+1.78+1.73+4.98</f>
        <v>13.06</v>
      </c>
    </row>
    <row r="21" spans="1:11" x14ac:dyDescent="0.25">
      <c r="A21" s="2">
        <f t="shared" si="2"/>
        <v>2.8679999999999999</v>
      </c>
      <c r="B21" s="2">
        <v>0.3</v>
      </c>
      <c r="C21">
        <f>14.34</f>
        <v>14.34</v>
      </c>
      <c r="E21" s="2">
        <f t="shared" si="3"/>
        <v>10.416</v>
      </c>
      <c r="F21" s="2">
        <v>0.3</v>
      </c>
      <c r="G21">
        <f>11.12+10+10.32+10+10.64</f>
        <v>52.08</v>
      </c>
      <c r="I21" s="2">
        <f t="shared" si="4"/>
        <v>1.5100000000000002</v>
      </c>
      <c r="J21" s="2">
        <v>0.3</v>
      </c>
      <c r="K21">
        <f>1.77+0.8+1.33+1.11+2.54</f>
        <v>7.5500000000000007</v>
      </c>
    </row>
    <row r="22" spans="1:11" x14ac:dyDescent="0.25">
      <c r="A22" s="2">
        <f t="shared" si="2"/>
        <v>2.306</v>
      </c>
      <c r="B22" s="2">
        <v>0.4</v>
      </c>
      <c r="C22">
        <f>11.53</f>
        <v>11.53</v>
      </c>
      <c r="E22" s="2">
        <f t="shared" si="3"/>
        <v>10.528</v>
      </c>
      <c r="F22" s="2">
        <v>0.4</v>
      </c>
      <c r="G22">
        <f>10.79+10+10.01+10+11.84</f>
        <v>52.64</v>
      </c>
      <c r="I22" s="2">
        <f t="shared" si="4"/>
        <v>1.0580000000000003</v>
      </c>
      <c r="J22" s="2">
        <v>0.4</v>
      </c>
      <c r="K22">
        <f>1.29+0.34+0.92+1.01+1.73</f>
        <v>5.2900000000000009</v>
      </c>
    </row>
    <row r="23" spans="1:11" x14ac:dyDescent="0.25">
      <c r="A23" s="2">
        <f t="shared" si="2"/>
        <v>2.698</v>
      </c>
      <c r="B23" s="2">
        <v>0.5</v>
      </c>
      <c r="C23">
        <v>13.49</v>
      </c>
      <c r="E23" s="2">
        <f t="shared" si="3"/>
        <v>10.272</v>
      </c>
      <c r="F23" s="2">
        <v>0.5</v>
      </c>
      <c r="G23">
        <f>10.13+10+10+10+11.23</f>
        <v>51.36</v>
      </c>
      <c r="I23" s="2">
        <f t="shared" si="4"/>
        <v>0.94600000000000006</v>
      </c>
      <c r="J23" s="2">
        <v>0.5</v>
      </c>
      <c r="K23">
        <f>1.1+0.28+1.07+0.99+1.29</f>
        <v>4.7300000000000004</v>
      </c>
    </row>
    <row r="24" spans="1:11" x14ac:dyDescent="0.25">
      <c r="A24" s="1"/>
      <c r="B24" s="2"/>
    </row>
    <row r="25" spans="1:11" ht="15.75" x14ac:dyDescent="0.25">
      <c r="A25" s="11" t="s">
        <v>14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5">
      <c r="A26" s="12" t="s">
        <v>10</v>
      </c>
      <c r="B26" s="12"/>
      <c r="C26" s="12"/>
      <c r="D26" s="4"/>
      <c r="E26" s="12" t="s">
        <v>11</v>
      </c>
      <c r="F26" s="12"/>
      <c r="G26" s="12"/>
      <c r="H26" s="4"/>
      <c r="I26" s="12" t="s">
        <v>12</v>
      </c>
      <c r="J26" s="12"/>
      <c r="K26" s="12"/>
    </row>
    <row r="27" spans="1:11" s="3" customFormat="1" x14ac:dyDescent="0.25">
      <c r="A27" s="3" t="s">
        <v>1</v>
      </c>
      <c r="B27" s="3" t="s">
        <v>0</v>
      </c>
      <c r="C27" s="3" t="s">
        <v>2</v>
      </c>
      <c r="E27" s="3" t="s">
        <v>1</v>
      </c>
      <c r="F27" s="3" t="s">
        <v>0</v>
      </c>
      <c r="G27" s="3" t="s">
        <v>2</v>
      </c>
      <c r="I27" s="3" t="s">
        <v>1</v>
      </c>
      <c r="J27" s="3" t="s">
        <v>0</v>
      </c>
      <c r="K27" s="3" t="s">
        <v>2</v>
      </c>
    </row>
    <row r="28" spans="1:11" x14ac:dyDescent="0.25">
      <c r="A28" s="2">
        <f>C28/5</f>
        <v>93.378</v>
      </c>
      <c r="B28" s="6">
        <v>0</v>
      </c>
      <c r="C28">
        <f>96.88+90.95+90+95.03+94.03</f>
        <v>466.89</v>
      </c>
      <c r="E28" s="2">
        <f>G28/5</f>
        <v>90.347999999999999</v>
      </c>
      <c r="F28" s="2">
        <v>0</v>
      </c>
      <c r="G28">
        <f>92.04+89.79+90.07+89.56+90.28</f>
        <v>451.74</v>
      </c>
      <c r="I28" s="2">
        <f>K28/5</f>
        <v>78.207999999999998</v>
      </c>
      <c r="J28" s="2">
        <v>0</v>
      </c>
      <c r="K28">
        <f>82.71+68.88+78.18+80.65+80.62</f>
        <v>391.03999999999996</v>
      </c>
    </row>
    <row r="29" spans="1:11" x14ac:dyDescent="0.25">
      <c r="A29" s="2">
        <f>C29/5</f>
        <v>93.647999999999996</v>
      </c>
      <c r="B29" s="6">
        <v>0.01</v>
      </c>
      <c r="C29">
        <f>97.12+91.07+89.84+95.88+94.33</f>
        <v>468.23999999999995</v>
      </c>
      <c r="E29" s="2">
        <f t="shared" ref="E29:E31" si="5">G29/5</f>
        <v>90.214000000000013</v>
      </c>
      <c r="F29" s="6">
        <v>2.5000000000000001E-3</v>
      </c>
      <c r="G29">
        <f>91.98+89.54+90.06+89.5+89.99</f>
        <v>451.07000000000005</v>
      </c>
      <c r="I29" s="2">
        <f t="shared" ref="I29:I31" si="6">K29/5</f>
        <v>77.856000000000009</v>
      </c>
      <c r="J29" s="6">
        <v>2.5000000000000001E-3</v>
      </c>
      <c r="K29">
        <f>82.44+68.18+77.42+80.43+80.81</f>
        <v>389.28000000000003</v>
      </c>
    </row>
    <row r="30" spans="1:11" x14ac:dyDescent="0.25">
      <c r="A30" s="2">
        <f t="shared" ref="A30:A42" si="7">C30/5</f>
        <v>90.940000000000012</v>
      </c>
      <c r="B30" s="6">
        <v>0.02</v>
      </c>
      <c r="C30">
        <f>92.65+94.58+92.79+88.26+86.42</f>
        <v>454.70000000000005</v>
      </c>
      <c r="E30" s="2">
        <f t="shared" si="5"/>
        <v>90.128</v>
      </c>
      <c r="F30" s="6">
        <v>5.0000000000000001E-3</v>
      </c>
      <c r="G30">
        <f>92.07+89.31+90.08+89.38+89.8</f>
        <v>450.64</v>
      </c>
      <c r="I30" s="2">
        <f t="shared" si="6"/>
        <v>77.442000000000007</v>
      </c>
      <c r="J30" s="6">
        <v>5.0000000000000001E-3</v>
      </c>
      <c r="K30">
        <f>82.18+67.65+76.45+80.27+80.66</f>
        <v>387.21000000000004</v>
      </c>
    </row>
    <row r="31" spans="1:11" x14ac:dyDescent="0.25">
      <c r="A31" s="2">
        <f t="shared" si="7"/>
        <v>86.548000000000002</v>
      </c>
      <c r="B31" s="6">
        <v>0.03</v>
      </c>
      <c r="C31">
        <f>90.12+71.39+85.26+94.85+91.12</f>
        <v>432.74</v>
      </c>
      <c r="E31" s="2">
        <f t="shared" si="5"/>
        <v>89.984000000000009</v>
      </c>
      <c r="F31" s="6">
        <v>7.4999999999999997E-3</v>
      </c>
      <c r="G31">
        <f>92.13+89.09+90.02+89.25+89.43</f>
        <v>449.92</v>
      </c>
      <c r="I31" s="2">
        <f t="shared" si="6"/>
        <v>76.989999999999995</v>
      </c>
      <c r="J31" s="6">
        <v>7.4999999999999997E-3</v>
      </c>
      <c r="K31">
        <f>81.88+67.06+75.68+79.96+80.37</f>
        <v>384.95</v>
      </c>
    </row>
    <row r="32" spans="1:11" x14ac:dyDescent="0.25">
      <c r="A32" s="2">
        <f t="shared" si="7"/>
        <v>91.285999999999987</v>
      </c>
      <c r="B32" s="6">
        <v>0.04</v>
      </c>
      <c r="C32">
        <f>94.07+87.59+94.38+83.73+96.66</f>
        <v>456.42999999999995</v>
      </c>
      <c r="E32" s="2">
        <f>G32/5</f>
        <v>89.786000000000001</v>
      </c>
      <c r="F32" s="2">
        <v>0.01</v>
      </c>
      <c r="G32">
        <f>92.13+88.75+89.84+89.08+89.13</f>
        <v>448.93</v>
      </c>
      <c r="I32" s="2">
        <f>K32/5</f>
        <v>75.282000000000011</v>
      </c>
      <c r="J32" s="2">
        <v>0.01</v>
      </c>
      <c r="K32">
        <f>81.34+66.43+74.62+79.59+74.43</f>
        <v>376.41</v>
      </c>
    </row>
    <row r="33" spans="1:11" x14ac:dyDescent="0.25">
      <c r="A33" s="2">
        <f t="shared" si="7"/>
        <v>92.2</v>
      </c>
      <c r="B33" s="6">
        <v>0.05</v>
      </c>
      <c r="C33">
        <f>95.68+86.93+92.92+91.47+94</f>
        <v>461</v>
      </c>
      <c r="E33" s="2">
        <f t="shared" ref="E33:E45" si="8">G33/5</f>
        <v>87.482000000000014</v>
      </c>
      <c r="F33" s="2">
        <v>0.02</v>
      </c>
      <c r="G33">
        <f>87.42+89.19+87.72+87.23+85.85</f>
        <v>437.41000000000008</v>
      </c>
      <c r="I33" s="2">
        <f t="shared" ref="I33:I45" si="9">K33/5</f>
        <v>73.734000000000009</v>
      </c>
      <c r="J33" s="2">
        <v>0.02</v>
      </c>
      <c r="K33">
        <f>78.83+63.41+70.49+77.45+78.49</f>
        <v>368.67</v>
      </c>
    </row>
    <row r="34" spans="1:11" x14ac:dyDescent="0.25">
      <c r="A34" s="2">
        <f t="shared" si="7"/>
        <v>94.462000000000003</v>
      </c>
      <c r="B34" s="6">
        <v>0.06</v>
      </c>
      <c r="C34">
        <f>94.05+92.59+93.05+95.39+97.23</f>
        <v>472.31</v>
      </c>
      <c r="E34" s="2">
        <f t="shared" si="8"/>
        <v>85.876000000000005</v>
      </c>
      <c r="F34" s="2">
        <v>0.03</v>
      </c>
      <c r="G34">
        <f>88.26+86.28+84.99+84.23+85.62</f>
        <v>429.38000000000005</v>
      </c>
      <c r="I34" s="2">
        <f t="shared" si="9"/>
        <v>69.937999999999988</v>
      </c>
      <c r="J34" s="2">
        <v>0.03</v>
      </c>
      <c r="K34">
        <f>75.11+58.67+65.05+74.95+75.91</f>
        <v>349.68999999999994</v>
      </c>
    </row>
    <row r="35" spans="1:11" x14ac:dyDescent="0.25">
      <c r="A35" s="2">
        <f t="shared" si="7"/>
        <v>84.234000000000009</v>
      </c>
      <c r="B35" s="6">
        <v>7.0000000000000007E-2</v>
      </c>
      <c r="C35">
        <f>85.42+88.29+80.35+89+78.11</f>
        <v>421.17</v>
      </c>
      <c r="E35" s="2">
        <f t="shared" si="8"/>
        <v>84.006</v>
      </c>
      <c r="F35" s="2">
        <v>0.04</v>
      </c>
      <c r="G35">
        <f>87.18+84.31+82.38+82.23+83.93</f>
        <v>420.03000000000003</v>
      </c>
      <c r="I35" s="2">
        <f t="shared" si="9"/>
        <v>65.054000000000002</v>
      </c>
      <c r="J35" s="2">
        <v>0.04</v>
      </c>
      <c r="K35">
        <f>69.99+53.39+58.96+71.18+71.75</f>
        <v>325.27</v>
      </c>
    </row>
    <row r="36" spans="1:11" x14ac:dyDescent="0.25">
      <c r="A36" s="2">
        <f t="shared" si="7"/>
        <v>85.763999999999996</v>
      </c>
      <c r="B36" s="6">
        <v>0.08</v>
      </c>
      <c r="C36">
        <f>86.3+96.9+79.79+78.65+87.18</f>
        <v>428.82</v>
      </c>
      <c r="E36" s="2">
        <f t="shared" si="8"/>
        <v>81.753999999999991</v>
      </c>
      <c r="F36" s="2">
        <v>0.05</v>
      </c>
      <c r="G36">
        <f>85.38+81.88+79.37+80.14+82</f>
        <v>408.77</v>
      </c>
      <c r="I36" s="2">
        <f t="shared" si="9"/>
        <v>59.331999999999994</v>
      </c>
      <c r="J36" s="2">
        <v>0.05</v>
      </c>
      <c r="K36">
        <f>63.67+47.06+52.57+66.89+66.47</f>
        <v>296.65999999999997</v>
      </c>
    </row>
    <row r="37" spans="1:11" x14ac:dyDescent="0.25">
      <c r="A37" s="2">
        <f t="shared" si="7"/>
        <v>81.489999999999995</v>
      </c>
      <c r="B37" s="6">
        <v>0.09</v>
      </c>
      <c r="C37">
        <f>62.74+64.95+92.22+95.17+92.37</f>
        <v>407.45</v>
      </c>
      <c r="E37" s="2">
        <f t="shared" si="8"/>
        <v>78.900000000000006</v>
      </c>
      <c r="F37" s="2">
        <v>0.06</v>
      </c>
      <c r="G37">
        <f>82.5+79.12+75.9+77.26+79.72</f>
        <v>394.5</v>
      </c>
      <c r="I37" s="2">
        <f t="shared" si="9"/>
        <v>59.375999999999998</v>
      </c>
      <c r="J37" s="2">
        <v>0.06</v>
      </c>
      <c r="K37">
        <f>57.18+40.87+46.23+92.39+60.21</f>
        <v>296.88</v>
      </c>
    </row>
    <row r="38" spans="1:11" x14ac:dyDescent="0.25">
      <c r="A38" s="2">
        <f t="shared" si="7"/>
        <v>77.505999999999986</v>
      </c>
      <c r="B38" s="6">
        <v>0.1</v>
      </c>
      <c r="C38">
        <f>55.82+80.88+93.77+79.6+77.46</f>
        <v>387.52999999999992</v>
      </c>
      <c r="E38" s="2">
        <f t="shared" si="8"/>
        <v>75.822000000000003</v>
      </c>
      <c r="F38" s="2">
        <v>7.0000000000000007E-2</v>
      </c>
      <c r="G38">
        <f>78.94+76.2+72.61+74.02+77.34</f>
        <v>379.11</v>
      </c>
      <c r="I38" s="2">
        <f t="shared" si="9"/>
        <v>47.116</v>
      </c>
      <c r="J38" s="2">
        <v>7.0000000000000007E-2</v>
      </c>
      <c r="K38">
        <f>50.57+34.72+39.5+57.44+53.35</f>
        <v>235.57999999999998</v>
      </c>
    </row>
    <row r="39" spans="1:11" x14ac:dyDescent="0.25">
      <c r="A39" s="2">
        <f t="shared" si="7"/>
        <v>41.146000000000001</v>
      </c>
      <c r="B39" s="6">
        <v>0.2</v>
      </c>
      <c r="C39">
        <f>43.14+72.84+21.96+14.65+53.14</f>
        <v>205.73000000000002</v>
      </c>
      <c r="E39" s="2">
        <f t="shared" si="8"/>
        <v>72.42</v>
      </c>
      <c r="F39" s="2">
        <v>0.08</v>
      </c>
      <c r="G39">
        <f>74.19+72.88+69.23+71.08+74.72</f>
        <v>362.1</v>
      </c>
      <c r="I39" s="2">
        <f t="shared" si="9"/>
        <v>40.653999999999996</v>
      </c>
      <c r="J39" s="2">
        <v>0.08</v>
      </c>
      <c r="K39">
        <f>43.7+28.08+33.13+52.03+46.33</f>
        <v>203.26999999999998</v>
      </c>
    </row>
    <row r="40" spans="1:11" x14ac:dyDescent="0.25">
      <c r="A40" s="2">
        <f t="shared" si="7"/>
        <v>6.1899999999999995</v>
      </c>
      <c r="B40" s="6">
        <v>0.3</v>
      </c>
      <c r="C40">
        <f>0.02+9.8+0+11.34+9.79</f>
        <v>30.95</v>
      </c>
      <c r="E40" s="2">
        <f t="shared" si="8"/>
        <v>68.972000000000008</v>
      </c>
      <c r="F40" s="2">
        <v>0.09</v>
      </c>
      <c r="G40">
        <f>69.51+68.83+66.41+68.14+71.97</f>
        <v>344.86</v>
      </c>
      <c r="I40" s="2">
        <f t="shared" si="9"/>
        <v>34.516000000000005</v>
      </c>
      <c r="J40" s="2">
        <v>0.09</v>
      </c>
      <c r="K40">
        <f>36.8+21.96+27.52+46.83+39.47</f>
        <v>172.58</v>
      </c>
    </row>
    <row r="41" spans="1:11" x14ac:dyDescent="0.25">
      <c r="A41" s="2">
        <f t="shared" si="7"/>
        <v>10.134</v>
      </c>
      <c r="B41" s="6">
        <v>0.4</v>
      </c>
      <c r="C41">
        <f>9.8+11.35+10.28+8.92+10.32</f>
        <v>50.67</v>
      </c>
      <c r="E41" s="2">
        <f t="shared" si="8"/>
        <v>65.123999999999995</v>
      </c>
      <c r="F41" s="2">
        <v>0.1</v>
      </c>
      <c r="G41">
        <f>63.46+64.95+63.48+65.1+68.63</f>
        <v>325.62</v>
      </c>
      <c r="I41" s="2">
        <f t="shared" si="9"/>
        <v>28.875999999999998</v>
      </c>
      <c r="J41" s="2">
        <v>0.1</v>
      </c>
      <c r="K41">
        <f>30.47+16.81+22.57+41.5+33.03</f>
        <v>144.38</v>
      </c>
    </row>
    <row r="42" spans="1:11" x14ac:dyDescent="0.25">
      <c r="A42" s="2">
        <f t="shared" si="7"/>
        <v>7.8120000000000003</v>
      </c>
      <c r="B42" s="6">
        <v>0.5</v>
      </c>
      <c r="C42">
        <f>9.58+0+9.58+9.58+10.32</f>
        <v>39.06</v>
      </c>
      <c r="E42" s="2">
        <f t="shared" si="8"/>
        <v>29.687999999999999</v>
      </c>
      <c r="F42" s="2">
        <v>0.2</v>
      </c>
      <c r="G42">
        <f>12.3+23.15+32.19+41.7+39.1</f>
        <v>148.44</v>
      </c>
      <c r="I42" s="2">
        <f t="shared" si="9"/>
        <v>2.2760000000000002</v>
      </c>
      <c r="J42" s="2">
        <v>0.2</v>
      </c>
      <c r="K42">
        <f>0.13+1+2.2+4.74+3.31</f>
        <v>11.38</v>
      </c>
    </row>
    <row r="43" spans="1:11" x14ac:dyDescent="0.25">
      <c r="E43" s="2">
        <f t="shared" si="8"/>
        <v>13.059999999999999</v>
      </c>
      <c r="F43" s="2">
        <v>0.3</v>
      </c>
      <c r="G43">
        <f>10+14.9+10.1+14.71+15.59</f>
        <v>65.3</v>
      </c>
      <c r="I43" s="2">
        <f t="shared" si="9"/>
        <v>0.44799999999999995</v>
      </c>
      <c r="J43" s="2">
        <v>0.3</v>
      </c>
      <c r="K43">
        <f>0+1+0.25+0.98+0.01</f>
        <v>2.2399999999999998</v>
      </c>
    </row>
    <row r="44" spans="1:11" x14ac:dyDescent="0.25">
      <c r="E44" s="2">
        <f t="shared" si="8"/>
        <v>10</v>
      </c>
      <c r="F44" s="2">
        <v>0.4</v>
      </c>
      <c r="G44">
        <f>10+10+10+10+10</f>
        <v>50</v>
      </c>
      <c r="I44" s="2">
        <f t="shared" si="9"/>
        <v>0.2</v>
      </c>
      <c r="J44" s="2">
        <v>0.4</v>
      </c>
      <c r="K44">
        <f>0+1+0+0+0</f>
        <v>1</v>
      </c>
    </row>
    <row r="45" spans="1:11" x14ac:dyDescent="0.25">
      <c r="E45" s="2">
        <f t="shared" si="8"/>
        <v>8</v>
      </c>
      <c r="F45" s="2">
        <v>0.5</v>
      </c>
      <c r="G45">
        <f>10+10+10+10+0</f>
        <v>40</v>
      </c>
      <c r="I45" s="2">
        <f t="shared" si="9"/>
        <v>0.2</v>
      </c>
      <c r="J45" s="2">
        <v>0.5</v>
      </c>
      <c r="K45">
        <f>0+1+0+0+0</f>
        <v>1</v>
      </c>
    </row>
    <row r="46" spans="1:11" x14ac:dyDescent="0.25">
      <c r="A46" s="2"/>
      <c r="B46" s="2"/>
      <c r="E46" s="2"/>
      <c r="F46" s="2"/>
      <c r="I46" s="2"/>
      <c r="J46" s="2"/>
    </row>
    <row r="47" spans="1:11" ht="15.75" x14ac:dyDescent="0.25">
      <c r="A47" s="11" t="s">
        <v>15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5">
      <c r="A48" s="12" t="s">
        <v>16</v>
      </c>
      <c r="B48" s="12"/>
      <c r="C48" s="12"/>
      <c r="D48" s="4"/>
      <c r="E48" s="12" t="s">
        <v>17</v>
      </c>
      <c r="F48" s="12"/>
      <c r="G48" s="12"/>
      <c r="H48" s="4"/>
      <c r="I48" s="12" t="s">
        <v>18</v>
      </c>
      <c r="J48" s="12"/>
      <c r="K48" s="12"/>
    </row>
    <row r="49" spans="1:11" s="3" customFormat="1" x14ac:dyDescent="0.25">
      <c r="A49" s="3" t="s">
        <v>1</v>
      </c>
      <c r="B49" s="3" t="s">
        <v>0</v>
      </c>
      <c r="C49" s="3" t="s">
        <v>2</v>
      </c>
      <c r="E49" s="3" t="s">
        <v>1</v>
      </c>
      <c r="F49" s="3" t="s">
        <v>0</v>
      </c>
      <c r="G49" s="3" t="s">
        <v>2</v>
      </c>
      <c r="I49" s="3" t="s">
        <v>1</v>
      </c>
      <c r="J49" s="3" t="s">
        <v>0</v>
      </c>
      <c r="K49" s="3" t="s">
        <v>2</v>
      </c>
    </row>
    <row r="50" spans="1:11" x14ac:dyDescent="0.25">
      <c r="A50" s="2">
        <f>C50/5</f>
        <v>97.001999999999995</v>
      </c>
      <c r="B50" s="2">
        <v>0</v>
      </c>
      <c r="C50">
        <f>98.48+97.87+96.01+96.16+96.49</f>
        <v>485.01</v>
      </c>
      <c r="E50" s="2">
        <f>G50/5</f>
        <v>86.82</v>
      </c>
      <c r="F50" s="2">
        <v>0</v>
      </c>
      <c r="G50">
        <f>96.95+88.98+86.47+85.31+76.39</f>
        <v>434.09999999999997</v>
      </c>
      <c r="I50" s="2">
        <f>K50/5</f>
        <v>74.179999999999993</v>
      </c>
      <c r="J50" s="2">
        <v>0</v>
      </c>
      <c r="K50">
        <f>72.94+76.5+75.63+72.36+73.47</f>
        <v>370.9</v>
      </c>
    </row>
    <row r="51" spans="1:11" x14ac:dyDescent="0.25">
      <c r="A51" s="2">
        <f>C51/5</f>
        <v>96.841999999999999</v>
      </c>
      <c r="B51" s="2">
        <v>0.01</v>
      </c>
      <c r="C51">
        <f>98.43+97.75+96.25+96.27+95.51</f>
        <v>484.21</v>
      </c>
      <c r="E51" s="2">
        <f t="shared" ref="E51:E53" si="10">G51/5</f>
        <v>86.653999999999996</v>
      </c>
      <c r="F51" s="6">
        <v>2.5000000000000001E-3</v>
      </c>
      <c r="G51">
        <f>96.16+89.13+86.28+85.35+76.35</f>
        <v>433.27</v>
      </c>
      <c r="I51" s="2">
        <f t="shared" ref="I51:I53" si="11">K51/5</f>
        <v>74.205999999999989</v>
      </c>
      <c r="J51" s="6">
        <v>2.5000000000000001E-3</v>
      </c>
      <c r="K51">
        <f>72.9+76.65+75.57+72.38+73.53</f>
        <v>371.03</v>
      </c>
    </row>
    <row r="52" spans="1:11" x14ac:dyDescent="0.25">
      <c r="A52" s="2">
        <f t="shared" ref="A52:A64" si="12">C52/5</f>
        <v>96.669999999999987</v>
      </c>
      <c r="B52" s="2">
        <v>0.02</v>
      </c>
      <c r="C52">
        <f>98.37+97.63+96.32+96.14+94.89</f>
        <v>483.34999999999997</v>
      </c>
      <c r="E52" s="2">
        <f t="shared" si="10"/>
        <v>84.609999999999985</v>
      </c>
      <c r="F52" s="6">
        <v>5.0000000000000001E-3</v>
      </c>
      <c r="G52">
        <f>86.23+89.21+86.13+85.39+76.09</f>
        <v>423.04999999999995</v>
      </c>
      <c r="I52" s="2">
        <f t="shared" si="11"/>
        <v>74.22399999999999</v>
      </c>
      <c r="J52" s="6">
        <v>5.0000000000000001E-3</v>
      </c>
      <c r="K52">
        <f>72.91+76.8+75.21+72.76+73.44</f>
        <v>371.11999999999995</v>
      </c>
    </row>
    <row r="53" spans="1:11" x14ac:dyDescent="0.25">
      <c r="A53" s="2">
        <f t="shared" si="12"/>
        <v>96.551999999999992</v>
      </c>
      <c r="B53" s="2">
        <v>0.03</v>
      </c>
      <c r="C53">
        <f>98.23+97.46+96.39+95.79+94.89</f>
        <v>482.76</v>
      </c>
      <c r="E53" s="2">
        <f t="shared" si="10"/>
        <v>84.559999999999988</v>
      </c>
      <c r="F53" s="6">
        <v>7.4999999999999997E-3</v>
      </c>
      <c r="G53">
        <f>86.37+89.28+85.99+85.39+75.77</f>
        <v>422.79999999999995</v>
      </c>
      <c r="I53" s="2">
        <f t="shared" si="11"/>
        <v>74.190000000000012</v>
      </c>
      <c r="J53" s="6">
        <v>7.4999999999999997E-3</v>
      </c>
      <c r="K53">
        <f>72.83+76.97+74.94+72.81+73.4</f>
        <v>370.95000000000005</v>
      </c>
    </row>
    <row r="54" spans="1:11" x14ac:dyDescent="0.25">
      <c r="A54" s="2">
        <f t="shared" si="12"/>
        <v>96.201999999999998</v>
      </c>
      <c r="B54" s="2">
        <v>0.04</v>
      </c>
      <c r="C54">
        <f>97.99+97.32+96.29+95.41+94</f>
        <v>481.01</v>
      </c>
      <c r="E54" s="2">
        <f>G54/5</f>
        <v>84.537999999999982</v>
      </c>
      <c r="F54" s="2">
        <v>0.01</v>
      </c>
      <c r="G54">
        <f>86.51+89.43+85.82+85.46+75.47</f>
        <v>422.68999999999994</v>
      </c>
      <c r="I54" s="2">
        <f>K54/5</f>
        <v>73.837999999999994</v>
      </c>
      <c r="J54" s="2">
        <v>0.01</v>
      </c>
      <c r="K54">
        <f>71.7+76.81+74.45+72.92+73.31</f>
        <v>369.19</v>
      </c>
    </row>
    <row r="55" spans="1:11" x14ac:dyDescent="0.25">
      <c r="A55" s="2">
        <f t="shared" si="12"/>
        <v>90.266000000000005</v>
      </c>
      <c r="B55" s="2">
        <v>0.05</v>
      </c>
      <c r="C55">
        <f>97.79+69.9+96.13+94.73+92.78</f>
        <v>451.33000000000004</v>
      </c>
      <c r="E55" s="2">
        <f t="shared" ref="E55:E67" si="13">G55/5</f>
        <v>83.888000000000005</v>
      </c>
      <c r="F55" s="2">
        <v>0.02</v>
      </c>
      <c r="G55">
        <f>86.71+89.36+84.42+85.18+73.77</f>
        <v>419.44</v>
      </c>
      <c r="I55" s="2">
        <f t="shared" ref="I55:I67" si="14">K55/5</f>
        <v>72.894000000000005</v>
      </c>
      <c r="J55" s="2">
        <v>0.02</v>
      </c>
      <c r="K55">
        <f>71.35+75.96+72.83+72.43+71.9</f>
        <v>364.47</v>
      </c>
    </row>
    <row r="56" spans="1:11" x14ac:dyDescent="0.25">
      <c r="A56" s="2">
        <f t="shared" si="12"/>
        <v>94.97</v>
      </c>
      <c r="B56" s="2">
        <v>0.06</v>
      </c>
      <c r="C56">
        <f>97.38+96.52+95.74+93.85+91.36</f>
        <v>474.85</v>
      </c>
      <c r="E56" s="2">
        <f t="shared" si="13"/>
        <v>82.890000000000015</v>
      </c>
      <c r="F56" s="2">
        <v>0.03</v>
      </c>
      <c r="G56">
        <f>86.4+89.04+82.78+84.42+71.81</f>
        <v>414.45000000000005</v>
      </c>
      <c r="I56" s="2">
        <f t="shared" si="14"/>
        <v>70.998000000000019</v>
      </c>
      <c r="J56" s="2">
        <v>0.03</v>
      </c>
      <c r="K56">
        <f>69.4+74.76+70.24+71.05+69.54</f>
        <v>354.99000000000007</v>
      </c>
    </row>
    <row r="57" spans="1:11" x14ac:dyDescent="0.25">
      <c r="A57" s="2">
        <f t="shared" si="12"/>
        <v>94.055999999999997</v>
      </c>
      <c r="B57" s="2">
        <v>7.0000000000000007E-2</v>
      </c>
      <c r="C57">
        <f>96.94+96.03+95.36+92.73+89.22</f>
        <v>470.28</v>
      </c>
      <c r="E57" s="2">
        <f t="shared" si="13"/>
        <v>81.695999999999998</v>
      </c>
      <c r="F57" s="2">
        <v>0.04</v>
      </c>
      <c r="G57">
        <f>85.67+88.39+80.68+83.75+69.99</f>
        <v>408.48</v>
      </c>
      <c r="I57" s="2">
        <f t="shared" si="14"/>
        <v>68.300000000000011</v>
      </c>
      <c r="J57" s="2">
        <v>0.04</v>
      </c>
      <c r="K57">
        <f>66.59+72.01+67.31+69.15+66.44</f>
        <v>341.50000000000006</v>
      </c>
    </row>
    <row r="58" spans="1:11" x14ac:dyDescent="0.25">
      <c r="A58" s="2">
        <f t="shared" si="12"/>
        <v>92.853999999999999</v>
      </c>
      <c r="B58" s="2">
        <v>0.08</v>
      </c>
      <c r="C58">
        <f>96.23+95.39+94.71+91.03+86.91</f>
        <v>464.27</v>
      </c>
      <c r="E58" s="2">
        <f t="shared" si="13"/>
        <v>80.152000000000001</v>
      </c>
      <c r="F58" s="2">
        <v>0.05</v>
      </c>
      <c r="G58">
        <f>84.81+87.44+77.98+82.7+67.83</f>
        <v>400.76</v>
      </c>
      <c r="I58" s="2">
        <f t="shared" si="14"/>
        <v>65.160000000000011</v>
      </c>
      <c r="J58" s="2">
        <v>0.05</v>
      </c>
      <c r="K58">
        <f>63.43+68.81+63.71+66.87+62.98</f>
        <v>325.80000000000007</v>
      </c>
    </row>
    <row r="59" spans="1:11" x14ac:dyDescent="0.25">
      <c r="A59" s="2">
        <f t="shared" si="12"/>
        <v>91.210000000000008</v>
      </c>
      <c r="B59" s="2">
        <v>0.09</v>
      </c>
      <c r="C59">
        <f>95.62+94.5+93.49+88.43+84.01</f>
        <v>456.05</v>
      </c>
      <c r="E59" s="2">
        <f t="shared" si="13"/>
        <v>78.35799999999999</v>
      </c>
      <c r="F59" s="2">
        <v>0.06</v>
      </c>
      <c r="G59">
        <f>83.33+86.03+75.38+81.39+65.66</f>
        <v>391.78999999999996</v>
      </c>
      <c r="I59" s="2">
        <f t="shared" si="14"/>
        <v>61.653999999999996</v>
      </c>
      <c r="J59" s="2">
        <v>0.06</v>
      </c>
      <c r="K59">
        <f>60.07+65.36+59.85+63.73+59.26</f>
        <v>308.27</v>
      </c>
    </row>
    <row r="60" spans="1:11" x14ac:dyDescent="0.25">
      <c r="A60" s="2">
        <f t="shared" si="12"/>
        <v>83.988</v>
      </c>
      <c r="B60" s="2">
        <v>0.1</v>
      </c>
      <c r="C60">
        <f>93.59+92.11+85.58+52.54+96.12</f>
        <v>419.94</v>
      </c>
      <c r="E60" s="2">
        <f t="shared" si="13"/>
        <v>76.465999999999994</v>
      </c>
      <c r="F60" s="2">
        <v>7.0000000000000007E-2</v>
      </c>
      <c r="G60">
        <f>81.86+84.8+72.54+79.93+63.2</f>
        <v>382.33</v>
      </c>
      <c r="I60" s="2">
        <f t="shared" si="14"/>
        <v>57.96</v>
      </c>
      <c r="J60" s="2">
        <v>7.0000000000000007E-2</v>
      </c>
      <c r="K60">
        <f>56.4+61.67+56.21+60.19+55.33</f>
        <v>289.8</v>
      </c>
    </row>
    <row r="61" spans="1:11" x14ac:dyDescent="0.25">
      <c r="A61" s="2">
        <f t="shared" si="12"/>
        <v>57.220000000000006</v>
      </c>
      <c r="B61" s="2">
        <v>0.2</v>
      </c>
      <c r="C61">
        <f>74.86+72.57+61.09+36.51+41.07</f>
        <v>286.10000000000002</v>
      </c>
      <c r="E61" s="2">
        <f t="shared" si="13"/>
        <v>74.234000000000009</v>
      </c>
      <c r="F61" s="2">
        <v>0.08</v>
      </c>
      <c r="G61">
        <f>79.73+83.29+69.18+78.28+60.69</f>
        <v>371.17</v>
      </c>
      <c r="I61" s="2">
        <f t="shared" si="14"/>
        <v>54.125999999999998</v>
      </c>
      <c r="J61" s="2">
        <v>0.08</v>
      </c>
      <c r="K61">
        <f>52.76+57.96+52.1+56.61+51.2</f>
        <v>270.63</v>
      </c>
    </row>
    <row r="62" spans="1:11" x14ac:dyDescent="0.25">
      <c r="A62" s="2">
        <f t="shared" si="12"/>
        <v>38.152000000000001</v>
      </c>
      <c r="B62" s="2">
        <v>0.3</v>
      </c>
      <c r="C62">
        <f>55.2+44.61+32.49+17.39+41.07</f>
        <v>190.76</v>
      </c>
      <c r="E62" s="2">
        <f t="shared" si="13"/>
        <v>71.994</v>
      </c>
      <c r="F62" s="2">
        <v>0.09</v>
      </c>
      <c r="G62">
        <f>77.83+81.74+65.7+76.37+58.33</f>
        <v>359.96999999999997</v>
      </c>
      <c r="I62" s="2">
        <f t="shared" si="14"/>
        <v>50.287999999999997</v>
      </c>
      <c r="J62" s="2">
        <v>0.09</v>
      </c>
      <c r="K62">
        <f>48.85+54.07+48.21+52.69+47.62</f>
        <v>251.44</v>
      </c>
    </row>
    <row r="63" spans="1:11" x14ac:dyDescent="0.25">
      <c r="A63" s="2">
        <f t="shared" si="12"/>
        <v>26.806000000000001</v>
      </c>
      <c r="B63" s="2">
        <v>0.4</v>
      </c>
      <c r="C63">
        <f>38.23+24.14+25.02+12.43+34.21</f>
        <v>134.03</v>
      </c>
      <c r="E63" s="2">
        <f t="shared" si="13"/>
        <v>69.830000000000013</v>
      </c>
      <c r="F63" s="2">
        <v>0.1</v>
      </c>
      <c r="G63">
        <f>76.02+80.22+62.41+74.51+55.99</f>
        <v>349.15000000000003</v>
      </c>
      <c r="I63" s="2">
        <f t="shared" si="14"/>
        <v>46.338000000000008</v>
      </c>
      <c r="J63" s="2">
        <v>0.1</v>
      </c>
      <c r="K63">
        <f>44.83+49.88+44.39+48.43+44.16</f>
        <v>231.69000000000003</v>
      </c>
    </row>
    <row r="64" spans="1:11" x14ac:dyDescent="0.25">
      <c r="A64" s="2">
        <f t="shared" si="12"/>
        <v>21.365999999999996</v>
      </c>
      <c r="B64" s="2">
        <v>0.5</v>
      </c>
      <c r="C64">
        <f>30.47+12.83+20.55+14.13+28.85</f>
        <v>106.82999999999998</v>
      </c>
      <c r="E64" s="2">
        <f t="shared" si="13"/>
        <v>46.958000000000006</v>
      </c>
      <c r="F64" s="2">
        <v>0.2</v>
      </c>
      <c r="G64">
        <f>53.35+60.42+35.23+49.37+36.42</f>
        <v>234.79000000000002</v>
      </c>
      <c r="I64" s="2">
        <f t="shared" si="14"/>
        <v>14.044</v>
      </c>
      <c r="J64" s="2">
        <v>0.2</v>
      </c>
      <c r="K64">
        <f>10.23+20.96+14.53+10.56+13.94</f>
        <v>70.22</v>
      </c>
    </row>
    <row r="65" spans="1:11" x14ac:dyDescent="0.25">
      <c r="E65" s="2">
        <f t="shared" si="13"/>
        <v>27.121999999999996</v>
      </c>
      <c r="F65" s="2">
        <v>0.3</v>
      </c>
      <c r="G65">
        <f>30.14+31.8+23.66+27.31+22.7</f>
        <v>135.60999999999999</v>
      </c>
      <c r="I65" s="2">
        <f t="shared" si="14"/>
        <v>3.3240000000000003</v>
      </c>
      <c r="J65" s="2">
        <v>0.3</v>
      </c>
      <c r="K65">
        <f>1.15+8.64+3.95+1.14+1.74</f>
        <v>16.62</v>
      </c>
    </row>
    <row r="66" spans="1:11" x14ac:dyDescent="0.25">
      <c r="E66" s="2">
        <f t="shared" si="13"/>
        <v>19.167999999999999</v>
      </c>
      <c r="F66" s="2">
        <v>0.4</v>
      </c>
      <c r="G66">
        <f>20.97+18.74+17.93+19.65+18.55</f>
        <v>95.839999999999989</v>
      </c>
      <c r="I66" s="2">
        <f t="shared" si="14"/>
        <v>1.2840000000000003</v>
      </c>
      <c r="J66" s="2">
        <v>0.4</v>
      </c>
      <c r="K66">
        <f>1+3.97+1.18+0.23+0.04</f>
        <v>6.4200000000000008</v>
      </c>
    </row>
    <row r="67" spans="1:11" x14ac:dyDescent="0.25">
      <c r="E67" s="2">
        <f t="shared" si="13"/>
        <v>14.441999999999998</v>
      </c>
      <c r="F67" s="2">
        <v>0.5</v>
      </c>
      <c r="G67">
        <f>15.53+11.86+11.36+18.33+15.13</f>
        <v>72.209999999999994</v>
      </c>
      <c r="I67" s="2">
        <f t="shared" si="14"/>
        <v>0.55800000000000005</v>
      </c>
      <c r="J67" s="2">
        <v>0.5</v>
      </c>
      <c r="K67">
        <f>1+1.73+0.06+0+0</f>
        <v>2.79</v>
      </c>
    </row>
    <row r="69" spans="1:11" ht="15.75" x14ac:dyDescent="0.25">
      <c r="A69" s="11" t="s">
        <v>19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25">
      <c r="A70" s="12" t="s">
        <v>20</v>
      </c>
      <c r="B70" s="12"/>
      <c r="C70" s="12"/>
      <c r="D70" s="4"/>
      <c r="E70" s="12" t="s">
        <v>21</v>
      </c>
      <c r="F70" s="12"/>
      <c r="G70" s="12"/>
      <c r="H70" s="4"/>
      <c r="I70" s="12" t="s">
        <v>22</v>
      </c>
      <c r="J70" s="12"/>
      <c r="K70" s="12"/>
    </row>
    <row r="71" spans="1:11" s="3" customFormat="1" x14ac:dyDescent="0.25">
      <c r="A71" s="3" t="s">
        <v>1</v>
      </c>
      <c r="B71" s="3" t="s">
        <v>0</v>
      </c>
      <c r="C71" s="3" t="s">
        <v>2</v>
      </c>
      <c r="E71" s="3" t="s">
        <v>1</v>
      </c>
      <c r="F71" s="3" t="s">
        <v>0</v>
      </c>
      <c r="G71" s="3" t="s">
        <v>2</v>
      </c>
      <c r="I71" s="3" t="s">
        <v>1</v>
      </c>
      <c r="J71" s="3" t="s">
        <v>0</v>
      </c>
      <c r="K71" s="3" t="s">
        <v>2</v>
      </c>
    </row>
    <row r="72" spans="1:11" x14ac:dyDescent="0.25">
      <c r="A72" s="2">
        <f>C72/5</f>
        <v>97.97</v>
      </c>
      <c r="B72" s="2">
        <v>0</v>
      </c>
      <c r="C72">
        <f>95.95+98.4+98.42+98.68+98.4</f>
        <v>489.85</v>
      </c>
      <c r="E72" s="2">
        <f>G72/5</f>
        <v>90.92</v>
      </c>
      <c r="F72" s="2">
        <v>0</v>
      </c>
      <c r="G72">
        <f>90.92*5</f>
        <v>454.6</v>
      </c>
      <c r="I72" s="2">
        <v>85.03</v>
      </c>
      <c r="J72" s="2">
        <v>0</v>
      </c>
    </row>
    <row r="73" spans="1:11" x14ac:dyDescent="0.25">
      <c r="A73" s="2">
        <f>97.87</f>
        <v>97.87</v>
      </c>
      <c r="B73" s="6">
        <v>2.5000000000000001E-3</v>
      </c>
      <c r="E73" s="2">
        <f>G73/5</f>
        <v>90.24</v>
      </c>
      <c r="F73" s="2">
        <v>0.01</v>
      </c>
      <c r="G73">
        <f>90.24*5</f>
        <v>451.2</v>
      </c>
      <c r="I73" s="2"/>
      <c r="J73" s="6"/>
    </row>
    <row r="74" spans="1:11" x14ac:dyDescent="0.25">
      <c r="A74" s="2">
        <f>97.77</f>
        <v>97.77</v>
      </c>
      <c r="B74" s="6">
        <v>5.0000000000000001E-3</v>
      </c>
      <c r="E74" s="2">
        <f t="shared" ref="E74:E86" si="15">G74/5</f>
        <v>88.56</v>
      </c>
      <c r="F74" s="2">
        <v>0.02</v>
      </c>
      <c r="G74">
        <f>88.56*5</f>
        <v>442.8</v>
      </c>
      <c r="I74" s="2"/>
      <c r="J74" s="6"/>
    </row>
    <row r="75" spans="1:11" x14ac:dyDescent="0.25">
      <c r="A75" s="2">
        <f>97.72</f>
        <v>97.72</v>
      </c>
      <c r="B75" s="6">
        <v>7.4999999999999997E-3</v>
      </c>
      <c r="E75" s="2">
        <f t="shared" si="15"/>
        <v>85.93</v>
      </c>
      <c r="F75" s="2">
        <v>0.03</v>
      </c>
      <c r="G75">
        <f>85.93*5</f>
        <v>429.65000000000003</v>
      </c>
      <c r="I75" s="2"/>
      <c r="J75" s="6"/>
    </row>
    <row r="76" spans="1:11" x14ac:dyDescent="0.25">
      <c r="A76" s="2">
        <f>C76/5</f>
        <v>97.657999999999987</v>
      </c>
      <c r="B76" s="2">
        <v>0.01</v>
      </c>
      <c r="C76">
        <f>97.45+95.55+98.32+98.25+98.72</f>
        <v>488.28999999999996</v>
      </c>
      <c r="E76" s="2">
        <f t="shared" si="15"/>
        <v>82.97</v>
      </c>
      <c r="F76" s="2">
        <v>0.04</v>
      </c>
      <c r="G76">
        <f>82.97*5</f>
        <v>414.85</v>
      </c>
      <c r="I76" s="2"/>
      <c r="J76" s="2"/>
    </row>
    <row r="77" spans="1:11" x14ac:dyDescent="0.25">
      <c r="A77" s="2">
        <f t="shared" ref="A77:A89" si="16">C77/5</f>
        <v>95.917999999999992</v>
      </c>
      <c r="B77" s="2">
        <v>0.02</v>
      </c>
      <c r="C77">
        <f>89.81+95.1+97.98+97.95+98.75</f>
        <v>479.59</v>
      </c>
      <c r="E77" s="2">
        <f t="shared" si="15"/>
        <v>79.239999999999995</v>
      </c>
      <c r="F77" s="2">
        <v>0.05</v>
      </c>
      <c r="G77">
        <f>79.24*5</f>
        <v>396.2</v>
      </c>
      <c r="I77" s="2"/>
      <c r="J77" s="2"/>
    </row>
    <row r="78" spans="1:11" x14ac:dyDescent="0.25">
      <c r="A78" s="2">
        <f t="shared" si="16"/>
        <v>88.963999999999999</v>
      </c>
      <c r="B78" s="2">
        <v>0.03</v>
      </c>
      <c r="C78">
        <f>56.57+94.45+97.63+97.48+98.69</f>
        <v>444.82</v>
      </c>
      <c r="E78" s="2">
        <f t="shared" si="15"/>
        <v>75.010000000000005</v>
      </c>
      <c r="F78" s="2">
        <v>0.06</v>
      </c>
      <c r="G78">
        <f>75.01*5</f>
        <v>375.05</v>
      </c>
      <c r="I78" s="2"/>
      <c r="J78" s="2"/>
    </row>
    <row r="79" spans="1:11" x14ac:dyDescent="0.25">
      <c r="A79" s="2">
        <f t="shared" si="16"/>
        <v>83.427999999999997</v>
      </c>
      <c r="B79" s="2">
        <v>0.04</v>
      </c>
      <c r="C79">
        <f>30.56+93.77+97.25+96.89+98.67</f>
        <v>417.14</v>
      </c>
      <c r="E79" s="2">
        <f t="shared" si="15"/>
        <v>70.61</v>
      </c>
      <c r="F79" s="2">
        <v>7.0000000000000007E-2</v>
      </c>
      <c r="G79">
        <f>70.61*5</f>
        <v>353.05</v>
      </c>
      <c r="I79" s="2"/>
      <c r="J79" s="2"/>
    </row>
    <row r="80" spans="1:11" x14ac:dyDescent="0.25">
      <c r="A80" s="2">
        <f t="shared" si="16"/>
        <v>80.568000000000012</v>
      </c>
      <c r="B80" s="2">
        <v>0.05</v>
      </c>
      <c r="C80">
        <f>18.35+92.85+96.81+96.17+98.66</f>
        <v>402.84000000000003</v>
      </c>
      <c r="E80" s="2">
        <f t="shared" si="15"/>
        <v>65.94</v>
      </c>
      <c r="F80" s="2">
        <v>0.08</v>
      </c>
      <c r="G80">
        <f>65.94*5</f>
        <v>329.7</v>
      </c>
      <c r="I80" s="2"/>
      <c r="J80" s="2"/>
    </row>
    <row r="81" spans="1:11" x14ac:dyDescent="0.25">
      <c r="A81" s="2">
        <f t="shared" si="16"/>
        <v>79.712000000000003</v>
      </c>
      <c r="B81" s="2">
        <v>0.06</v>
      </c>
      <c r="C81">
        <f>16.78+91.95+96.22+94.99+98.62</f>
        <v>398.56</v>
      </c>
      <c r="E81" s="2">
        <f t="shared" si="15"/>
        <v>59.970000000000006</v>
      </c>
      <c r="F81" s="2">
        <v>0.09</v>
      </c>
      <c r="G81">
        <f>59.97*5</f>
        <v>299.85000000000002</v>
      </c>
      <c r="I81" s="2"/>
      <c r="J81" s="2"/>
    </row>
    <row r="82" spans="1:11" x14ac:dyDescent="0.25">
      <c r="A82" s="2">
        <f t="shared" si="16"/>
        <v>78.822000000000003</v>
      </c>
      <c r="B82" s="2">
        <v>7.0000000000000007E-2</v>
      </c>
      <c r="C82">
        <f>15.31+90.94+95.58+93.67+98.61</f>
        <v>394.11</v>
      </c>
      <c r="E82" s="2">
        <f t="shared" si="15"/>
        <v>54.39</v>
      </c>
      <c r="F82" s="2">
        <v>0.1</v>
      </c>
      <c r="G82">
        <f>54.39*5</f>
        <v>271.95</v>
      </c>
      <c r="I82" s="2"/>
      <c r="J82" s="2"/>
    </row>
    <row r="83" spans="1:11" x14ac:dyDescent="0.25">
      <c r="A83" s="2">
        <f t="shared" si="16"/>
        <v>79.331999999999994</v>
      </c>
      <c r="B83" s="2">
        <v>0.08</v>
      </c>
      <c r="C83">
        <f>15.87+89.73+94.47+98.58+98.01</f>
        <v>396.65999999999997</v>
      </c>
      <c r="E83" s="2">
        <f t="shared" si="15"/>
        <v>16.489999999999998</v>
      </c>
      <c r="F83" s="2">
        <v>0.2</v>
      </c>
      <c r="G83">
        <f>16.49*5</f>
        <v>82.449999999999989</v>
      </c>
      <c r="I83" s="2"/>
      <c r="J83" s="2"/>
    </row>
    <row r="84" spans="1:11" x14ac:dyDescent="0.25">
      <c r="A84" s="2">
        <f t="shared" si="16"/>
        <v>77.347999999999999</v>
      </c>
      <c r="B84" s="2">
        <v>0.09</v>
      </c>
      <c r="C84">
        <f>16.75+88.46+93.56+89.38+98.59</f>
        <v>386.74</v>
      </c>
      <c r="E84" s="2">
        <f t="shared" si="15"/>
        <v>12.74</v>
      </c>
      <c r="F84" s="2">
        <v>0.3</v>
      </c>
      <c r="G84">
        <f>12.74*5</f>
        <v>63.7</v>
      </c>
      <c r="I84" s="2"/>
      <c r="J84" s="2"/>
    </row>
    <row r="85" spans="1:11" x14ac:dyDescent="0.25">
      <c r="A85" s="2">
        <f t="shared" si="16"/>
        <v>74.798000000000002</v>
      </c>
      <c r="B85" s="2">
        <v>0.1</v>
      </c>
      <c r="C85">
        <f>9.34+86.92+92.3+86.87+98.56</f>
        <v>373.99</v>
      </c>
      <c r="E85" s="2">
        <f t="shared" si="15"/>
        <v>11.93</v>
      </c>
      <c r="F85" s="2">
        <v>0.4</v>
      </c>
      <c r="G85">
        <f>11.93*5</f>
        <v>59.65</v>
      </c>
      <c r="I85" s="2"/>
      <c r="J85" s="2"/>
    </row>
    <row r="86" spans="1:11" x14ac:dyDescent="0.25">
      <c r="A86" s="2">
        <f t="shared" si="16"/>
        <v>56.875999999999998</v>
      </c>
      <c r="B86" s="2">
        <v>0.2</v>
      </c>
      <c r="C86">
        <f>0+67.06+67.77+52.89+96.66</f>
        <v>284.38</v>
      </c>
      <c r="E86" s="2">
        <f t="shared" si="15"/>
        <v>10.6</v>
      </c>
      <c r="F86" s="2">
        <v>0.5</v>
      </c>
      <c r="G86">
        <f>10.6*5</f>
        <v>53</v>
      </c>
      <c r="I86" s="2"/>
      <c r="J86" s="2"/>
    </row>
    <row r="87" spans="1:11" x14ac:dyDescent="0.25">
      <c r="A87" s="2">
        <f t="shared" si="16"/>
        <v>39.688000000000002</v>
      </c>
      <c r="B87" s="2">
        <v>0.3</v>
      </c>
      <c r="C87">
        <f>0+38.4+48.97+43.68+67.39</f>
        <v>198.44</v>
      </c>
      <c r="I87" s="2"/>
      <c r="J87" s="2"/>
    </row>
    <row r="88" spans="1:11" x14ac:dyDescent="0.25">
      <c r="A88" s="2">
        <f t="shared" si="16"/>
        <v>18.134</v>
      </c>
      <c r="B88" s="2">
        <v>0.4</v>
      </c>
      <c r="C88">
        <f>0.43+24.91+27.89+21.03+16.41</f>
        <v>90.67</v>
      </c>
      <c r="I88" s="2"/>
      <c r="J88" s="2"/>
    </row>
    <row r="89" spans="1:11" x14ac:dyDescent="0.25">
      <c r="A89" s="2">
        <f t="shared" si="16"/>
        <v>19.834</v>
      </c>
      <c r="B89" s="2">
        <v>0.5</v>
      </c>
      <c r="C89">
        <f>10.11+19.09+20.32+19.57+30.08</f>
        <v>99.17</v>
      </c>
      <c r="I89" s="2"/>
      <c r="J89" s="2"/>
    </row>
    <row r="91" spans="1:11" ht="15.75" x14ac:dyDescent="0.25">
      <c r="A91" s="11" t="s">
        <v>23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1" x14ac:dyDescent="0.25">
      <c r="A92" s="12" t="s">
        <v>24</v>
      </c>
      <c r="B92" s="12"/>
      <c r="C92" s="12"/>
      <c r="D92" s="4"/>
      <c r="E92" s="12" t="s">
        <v>25</v>
      </c>
      <c r="F92" s="12"/>
      <c r="G92" s="12"/>
      <c r="H92" s="4"/>
      <c r="I92" s="12" t="s">
        <v>26</v>
      </c>
      <c r="J92" s="12"/>
      <c r="K92" s="12"/>
    </row>
    <row r="93" spans="1:11" x14ac:dyDescent="0.25">
      <c r="A93" s="3" t="s">
        <v>1</v>
      </c>
      <c r="B93" s="3" t="s">
        <v>0</v>
      </c>
      <c r="C93" s="3" t="s">
        <v>2</v>
      </c>
      <c r="D93" s="3"/>
      <c r="E93" s="3" t="s">
        <v>1</v>
      </c>
      <c r="F93" s="3" t="s">
        <v>0</v>
      </c>
      <c r="G93" s="3" t="s">
        <v>2</v>
      </c>
      <c r="H93" s="3"/>
      <c r="I93" s="3" t="s">
        <v>1</v>
      </c>
      <c r="J93" s="3" t="s">
        <v>0</v>
      </c>
      <c r="K93" s="3" t="s">
        <v>2</v>
      </c>
    </row>
    <row r="94" spans="1:11" x14ac:dyDescent="0.25">
      <c r="A94" s="2">
        <f>C94/5</f>
        <v>95.24</v>
      </c>
      <c r="B94" s="2">
        <v>0</v>
      </c>
      <c r="C94">
        <f>97.83+99.07+83.25+98.42+97.63</f>
        <v>476.2</v>
      </c>
      <c r="E94" s="2">
        <f>G94/5</f>
        <v>87.483999999999995</v>
      </c>
      <c r="F94" s="2">
        <v>0</v>
      </c>
      <c r="G94">
        <f>84.99+90.59+87.51+87.23+87.1</f>
        <v>437.41999999999996</v>
      </c>
      <c r="I94" s="2">
        <f>K94/5</f>
        <v>79.777999999999992</v>
      </c>
      <c r="J94" s="2">
        <v>0</v>
      </c>
      <c r="K94">
        <f>79.4+79.92+82.94+80.08+76.55</f>
        <v>398.89</v>
      </c>
    </row>
    <row r="95" spans="1:11" x14ac:dyDescent="0.25">
      <c r="A95" s="2"/>
      <c r="B95" s="6">
        <v>2.5000000000000001E-3</v>
      </c>
      <c r="E95" s="2">
        <f t="shared" ref="E95:E97" si="17">G95/5</f>
        <v>81.466000000000008</v>
      </c>
      <c r="F95" s="6">
        <v>2.5000000000000001E-3</v>
      </c>
      <c r="G95">
        <f>84.88+90.54+87.55+57.29+87.07</f>
        <v>407.33000000000004</v>
      </c>
      <c r="I95" s="2">
        <f t="shared" ref="I95:I97" si="18">K95/5</f>
        <v>79.811999999999998</v>
      </c>
      <c r="J95" s="6">
        <v>2.5000000000000001E-3</v>
      </c>
      <c r="K95">
        <f>79.43+80.14+82.81+80.06+76.62</f>
        <v>399.06</v>
      </c>
    </row>
    <row r="96" spans="1:11" x14ac:dyDescent="0.25">
      <c r="A96" s="2"/>
      <c r="B96" s="6">
        <v>5.0000000000000001E-3</v>
      </c>
      <c r="E96" s="2">
        <f t="shared" si="17"/>
        <v>87.461999999999989</v>
      </c>
      <c r="F96" s="6">
        <v>5.0000000000000001E-3</v>
      </c>
      <c r="G96">
        <f>84.82+90.56+87.78+87.26+86.89</f>
        <v>437.30999999999995</v>
      </c>
      <c r="I96" s="2">
        <f t="shared" si="18"/>
        <v>79.8</v>
      </c>
      <c r="J96" s="6">
        <v>5.0000000000000001E-3</v>
      </c>
      <c r="K96">
        <f>79.39+80.19+82.72+80.16+76.54</f>
        <v>399</v>
      </c>
    </row>
    <row r="97" spans="1:11" x14ac:dyDescent="0.25">
      <c r="A97" s="2"/>
      <c r="B97" s="6">
        <v>7.4999999999999997E-3</v>
      </c>
      <c r="E97" s="2">
        <f t="shared" si="17"/>
        <v>87.441999999999993</v>
      </c>
      <c r="F97" s="6">
        <v>7.4999999999999997E-3</v>
      </c>
      <c r="G97">
        <f>84.79+90.58+87.78+87.32+86.74</f>
        <v>437.21</v>
      </c>
      <c r="I97" s="2">
        <f t="shared" si="18"/>
        <v>79.759999999999991</v>
      </c>
      <c r="J97" s="6">
        <v>7.4999999999999997E-3</v>
      </c>
      <c r="K97">
        <f>79.33+80.14+82.62+80.24+76.47</f>
        <v>398.79999999999995</v>
      </c>
    </row>
    <row r="98" spans="1:11" x14ac:dyDescent="0.25">
      <c r="A98" s="2">
        <f>C98/5</f>
        <v>95.244</v>
      </c>
      <c r="B98" s="2">
        <v>0.01</v>
      </c>
      <c r="C98">
        <f>97.68+99.04+82.95+98.62+97.93</f>
        <v>476.22</v>
      </c>
      <c r="E98" s="2">
        <f t="shared" ref="E98:E105" si="19">G98/5</f>
        <v>87.378</v>
      </c>
      <c r="F98" s="2">
        <v>0.01</v>
      </c>
      <c r="G98">
        <f>84.79+90.54+87.73+87.31+86.52</f>
        <v>436.89</v>
      </c>
      <c r="I98" s="2">
        <f>K98/5</f>
        <v>79.7</v>
      </c>
      <c r="J98" s="2">
        <v>0.01</v>
      </c>
      <c r="K98">
        <f>79.28+80.13+82.48+80.26+76.35</f>
        <v>398.5</v>
      </c>
    </row>
    <row r="99" spans="1:11" x14ac:dyDescent="0.25">
      <c r="A99" s="2">
        <f t="shared" ref="A99:A111" si="20">C99/5</f>
        <v>95.166000000000011</v>
      </c>
      <c r="B99" s="2">
        <v>0.02</v>
      </c>
      <c r="C99">
        <f>97.5+99.03+82.51+98.78+98.01</f>
        <v>475.83000000000004</v>
      </c>
      <c r="E99" s="2">
        <f t="shared" si="19"/>
        <v>87.102000000000004</v>
      </c>
      <c r="F99" s="2">
        <v>0.02</v>
      </c>
      <c r="G99">
        <f>84.7+90.26+87.55+87.07+85.93</f>
        <v>435.51</v>
      </c>
      <c r="I99" s="2">
        <f t="shared" ref="I99:I111" si="21">K99/5</f>
        <v>79.244</v>
      </c>
      <c r="J99" s="2">
        <v>0.02</v>
      </c>
      <c r="K99">
        <f>78.93+79.97+81.88+80.04+75.4</f>
        <v>396.22</v>
      </c>
    </row>
    <row r="100" spans="1:11" x14ac:dyDescent="0.25">
      <c r="A100" s="2">
        <f t="shared" si="20"/>
        <v>95.03</v>
      </c>
      <c r="B100" s="2">
        <v>0.03</v>
      </c>
      <c r="C100">
        <f>97.25+99+82.13+98.78+97.99</f>
        <v>475.15</v>
      </c>
      <c r="E100" s="2">
        <f t="shared" si="19"/>
        <v>86.616000000000014</v>
      </c>
      <c r="F100" s="2">
        <v>0.03</v>
      </c>
      <c r="G100">
        <f>84.2+89.92+87.17+86.57+85.22</f>
        <v>433.08000000000004</v>
      </c>
      <c r="I100" s="2">
        <f t="shared" si="21"/>
        <v>78.481999999999999</v>
      </c>
      <c r="J100" s="2">
        <v>0.03</v>
      </c>
      <c r="K100">
        <f>78.01+79.55+81.08+79.52+74.25</f>
        <v>392.40999999999997</v>
      </c>
    </row>
    <row r="101" spans="1:11" x14ac:dyDescent="0.25">
      <c r="A101" s="2">
        <f t="shared" si="20"/>
        <v>94.834000000000003</v>
      </c>
      <c r="B101" s="2">
        <v>0.04</v>
      </c>
      <c r="C101">
        <f>97+98.94+81.68+98.75+97.8</f>
        <v>474.17</v>
      </c>
      <c r="E101" s="2">
        <f t="shared" si="19"/>
        <v>86.033999999999992</v>
      </c>
      <c r="F101" s="2">
        <v>0.04</v>
      </c>
      <c r="G101">
        <f>83.42+89.52+86.77+86.05+84.41</f>
        <v>430.16999999999996</v>
      </c>
      <c r="I101" s="2">
        <f t="shared" si="21"/>
        <v>77.876000000000005</v>
      </c>
      <c r="J101" s="2">
        <v>0.04</v>
      </c>
      <c r="K101">
        <f>77.24+78.93+79.86+78.77+74.58</f>
        <v>389.38</v>
      </c>
    </row>
    <row r="102" spans="1:11" x14ac:dyDescent="0.25">
      <c r="A102" s="2">
        <f t="shared" si="20"/>
        <v>94.568000000000012</v>
      </c>
      <c r="B102" s="2">
        <v>0.05</v>
      </c>
      <c r="C102">
        <f>96.76+98.87+81.18+98.37+97.66</f>
        <v>472.84000000000003</v>
      </c>
      <c r="E102" s="2">
        <f t="shared" si="19"/>
        <v>85.41</v>
      </c>
      <c r="F102" s="2">
        <v>0.05</v>
      </c>
      <c r="G102">
        <f>82.83+89.05+86.26+85.33+83.58</f>
        <v>427.04999999999995</v>
      </c>
      <c r="I102" s="2">
        <f t="shared" si="21"/>
        <v>76.188000000000002</v>
      </c>
      <c r="J102" s="2">
        <v>0.05</v>
      </c>
      <c r="K102">
        <f>76.1+78.02+78.44+77.51+70.87</f>
        <v>380.94</v>
      </c>
    </row>
    <row r="103" spans="1:11" x14ac:dyDescent="0.25">
      <c r="A103" s="2">
        <f t="shared" si="20"/>
        <v>94.366</v>
      </c>
      <c r="B103" s="2">
        <v>0.06</v>
      </c>
      <c r="C103">
        <f>96.37+98.81+80.49+98.6+97.56</f>
        <v>471.83</v>
      </c>
      <c r="E103" s="2">
        <f t="shared" si="19"/>
        <v>84.50800000000001</v>
      </c>
      <c r="F103" s="2">
        <v>0.06</v>
      </c>
      <c r="G103">
        <f>82.2+88.34+85.57+84.09+82.34</f>
        <v>422.54000000000008</v>
      </c>
      <c r="I103" s="2">
        <f t="shared" si="21"/>
        <v>74.628</v>
      </c>
      <c r="J103" s="2">
        <v>0.06</v>
      </c>
      <c r="K103">
        <f>74.97+76.79+76.6+76.41+68.37</f>
        <v>373.14</v>
      </c>
    </row>
    <row r="104" spans="1:11" x14ac:dyDescent="0.25">
      <c r="A104" s="2">
        <f t="shared" si="20"/>
        <v>94.081999999999994</v>
      </c>
      <c r="B104" s="2">
        <v>7.0000000000000007E-2</v>
      </c>
      <c r="C104">
        <f>96.03+98.72+79.92+98.46+97.28</f>
        <v>470.40999999999997</v>
      </c>
      <c r="E104" s="2">
        <f t="shared" si="19"/>
        <v>83.572000000000003</v>
      </c>
      <c r="F104" s="2">
        <v>7.0000000000000007E-2</v>
      </c>
      <c r="G104">
        <f>81.42+87.58+84.54+83.19+81.13</f>
        <v>417.86</v>
      </c>
      <c r="I104" s="2">
        <f t="shared" si="21"/>
        <v>72.62</v>
      </c>
      <c r="J104" s="2">
        <v>7.0000000000000007E-2</v>
      </c>
      <c r="K104">
        <f>73.42+74.98+74.22+74.84+65.64</f>
        <v>363.1</v>
      </c>
    </row>
    <row r="105" spans="1:11" x14ac:dyDescent="0.25">
      <c r="A105" s="2">
        <f t="shared" si="20"/>
        <v>93.695999999999998</v>
      </c>
      <c r="B105" s="2">
        <v>0.08</v>
      </c>
      <c r="C105">
        <f>95.61+98.62+79.18+98.16+96.91</f>
        <v>468.48</v>
      </c>
      <c r="E105" s="2">
        <f t="shared" si="19"/>
        <v>82.581999999999994</v>
      </c>
      <c r="F105" s="2">
        <v>0.08</v>
      </c>
      <c r="G105">
        <f>80.49+86.96+83.46+82.07+79.93</f>
        <v>412.90999999999997</v>
      </c>
      <c r="I105" s="2">
        <f t="shared" si="21"/>
        <v>72.543999999999997</v>
      </c>
      <c r="J105" s="2">
        <v>0.08</v>
      </c>
      <c r="K105">
        <f>71.46+73.45+71.75+73.12+72.94</f>
        <v>362.71999999999997</v>
      </c>
    </row>
    <row r="106" spans="1:11" x14ac:dyDescent="0.25">
      <c r="A106" s="2">
        <f t="shared" si="20"/>
        <v>93.156000000000006</v>
      </c>
      <c r="B106" s="2">
        <v>0.09</v>
      </c>
      <c r="C106">
        <f>94.92+98.52+78.49+97.43+96.42</f>
        <v>465.78000000000003</v>
      </c>
      <c r="E106" s="2">
        <f t="shared" ref="E106:E111" si="22">G106/5</f>
        <v>83.372</v>
      </c>
      <c r="F106" s="2">
        <v>0.09</v>
      </c>
      <c r="G106">
        <f>79.52+96.08+82.13+80.64+78.49</f>
        <v>416.86</v>
      </c>
      <c r="I106" s="2">
        <f t="shared" si="21"/>
        <v>68.126000000000005</v>
      </c>
      <c r="J106" s="2">
        <v>0.09</v>
      </c>
      <c r="K106">
        <f>69.65+71.53+68.85+70.87+59.73</f>
        <v>340.63</v>
      </c>
    </row>
    <row r="107" spans="1:11" x14ac:dyDescent="0.25">
      <c r="A107" s="2">
        <f t="shared" si="20"/>
        <v>92.82</v>
      </c>
      <c r="B107" s="2">
        <v>0.1</v>
      </c>
      <c r="C107">
        <f>94.38+98.45+77.83+97.57+95.87</f>
        <v>464.09999999999997</v>
      </c>
      <c r="E107" s="2">
        <f t="shared" si="22"/>
        <v>80.193999999999988</v>
      </c>
      <c r="F107" s="2">
        <v>0.1</v>
      </c>
      <c r="G107">
        <f>78.62+85.27+81+79.02+77.06</f>
        <v>400.96999999999997</v>
      </c>
      <c r="I107" s="2">
        <f t="shared" si="21"/>
        <v>65.55</v>
      </c>
      <c r="J107" s="2">
        <v>0.1</v>
      </c>
      <c r="K107">
        <f>67.8+69.41+65.49+68.51+56.54</f>
        <v>327.75</v>
      </c>
    </row>
    <row r="108" spans="1:11" x14ac:dyDescent="0.25">
      <c r="A108" s="2">
        <f t="shared" si="20"/>
        <v>83.591999999999999</v>
      </c>
      <c r="B108" s="2">
        <v>0.2</v>
      </c>
      <c r="C108">
        <f>84.45+96.76+68.48+86.07+82.2</f>
        <v>417.96</v>
      </c>
      <c r="E108" s="2">
        <f t="shared" si="22"/>
        <v>64.95</v>
      </c>
      <c r="F108" s="2">
        <v>0.2</v>
      </c>
      <c r="G108">
        <f>68.19+74.3+65.4+53.42+63.44</f>
        <v>324.75</v>
      </c>
      <c r="I108" s="2">
        <f t="shared" si="21"/>
        <v>37.414000000000001</v>
      </c>
      <c r="J108" s="2">
        <v>0.2</v>
      </c>
      <c r="K108">
        <f>45.2+42.8+34.09+40.98+24</f>
        <v>187.07</v>
      </c>
    </row>
    <row r="109" spans="1:11" x14ac:dyDescent="0.25">
      <c r="A109" s="2">
        <f t="shared" si="20"/>
        <v>69.099999999999994</v>
      </c>
      <c r="B109" s="2">
        <v>0.3</v>
      </c>
      <c r="C109">
        <f>69.14+93.57+52.43+80.77+49.59</f>
        <v>345.5</v>
      </c>
      <c r="E109" s="2">
        <f t="shared" si="22"/>
        <v>46.769999999999996</v>
      </c>
      <c r="F109" s="2">
        <v>0.3</v>
      </c>
      <c r="G109">
        <f>54.27+62.33+44.91+26.25+46.09</f>
        <v>233.85</v>
      </c>
      <c r="I109" s="2">
        <f t="shared" si="21"/>
        <v>11.513999999999999</v>
      </c>
      <c r="J109" s="2">
        <v>0.3</v>
      </c>
      <c r="K109">
        <f>19.3+8.97+10.12+14.81+4.37</f>
        <v>57.57</v>
      </c>
    </row>
    <row r="110" spans="1:11" x14ac:dyDescent="0.25">
      <c r="A110" s="2">
        <f t="shared" si="20"/>
        <v>55.946000000000005</v>
      </c>
      <c r="B110" s="2">
        <v>0.4</v>
      </c>
      <c r="C110">
        <f>58.58+83.95+44.19+72.15+20.86</f>
        <v>279.73</v>
      </c>
      <c r="E110" s="2">
        <f t="shared" si="22"/>
        <v>30.838000000000001</v>
      </c>
      <c r="F110" s="2">
        <v>0.4</v>
      </c>
      <c r="G110">
        <f>36.12+51.76+22.96+15.97+27.38</f>
        <v>154.19</v>
      </c>
      <c r="I110" s="2">
        <f t="shared" si="21"/>
        <v>3.8479999999999999</v>
      </c>
      <c r="J110" s="2">
        <v>0.4</v>
      </c>
      <c r="K110">
        <f>5.61+1.68+3.3+7.31+1.34</f>
        <v>19.239999999999998</v>
      </c>
    </row>
    <row r="111" spans="1:11" x14ac:dyDescent="0.25">
      <c r="A111" s="2">
        <f t="shared" si="20"/>
        <v>44.491999999999997</v>
      </c>
      <c r="B111" s="2">
        <v>0.5</v>
      </c>
      <c r="C111">
        <f>52.56+61.19+40.08+58.25+10.38</f>
        <v>222.45999999999998</v>
      </c>
      <c r="E111" s="2">
        <f t="shared" si="22"/>
        <v>22.223999999999997</v>
      </c>
      <c r="F111" s="2">
        <v>0.5</v>
      </c>
      <c r="G111">
        <f>22.78+41.54+14.44+13.84+18.52</f>
        <v>111.11999999999999</v>
      </c>
      <c r="I111" s="2">
        <f t="shared" si="21"/>
        <v>1.8</v>
      </c>
      <c r="J111" s="2">
        <v>0.5</v>
      </c>
      <c r="K111">
        <f>1.58+0.99+1.23+4.17+1.03</f>
        <v>9</v>
      </c>
    </row>
    <row r="112" spans="1:11" x14ac:dyDescent="0.25">
      <c r="A112" s="2"/>
      <c r="B112" s="2"/>
      <c r="E112" s="2"/>
      <c r="F112" s="2"/>
      <c r="I112" s="2"/>
      <c r="J112" s="2"/>
    </row>
    <row r="114" spans="1:11" ht="15.75" x14ac:dyDescent="0.25">
      <c r="A114" s="11" t="s">
        <v>27</v>
      </c>
      <c r="B114" s="11"/>
      <c r="C114" s="11"/>
      <c r="D114" s="11"/>
      <c r="E114" s="11"/>
      <c r="F114" s="11"/>
      <c r="G114" s="11"/>
      <c r="H114" s="14"/>
      <c r="I114" s="14"/>
      <c r="J114" s="14"/>
      <c r="K114" s="14"/>
    </row>
    <row r="115" spans="1:11" x14ac:dyDescent="0.25">
      <c r="A115" s="12" t="s">
        <v>28</v>
      </c>
      <c r="B115" s="12"/>
      <c r="C115" s="12"/>
      <c r="D115" s="4"/>
      <c r="E115" s="12" t="s">
        <v>29</v>
      </c>
      <c r="F115" s="12"/>
      <c r="G115" s="12"/>
      <c r="H115" s="4"/>
      <c r="I115" s="12"/>
      <c r="J115" s="12"/>
      <c r="K115" s="12"/>
    </row>
    <row r="116" spans="1:11" x14ac:dyDescent="0.25">
      <c r="A116" s="3" t="s">
        <v>1</v>
      </c>
      <c r="B116" s="3" t="s">
        <v>0</v>
      </c>
      <c r="C116" s="3" t="s">
        <v>2</v>
      </c>
      <c r="D116" s="3"/>
      <c r="E116" s="3" t="s">
        <v>1</v>
      </c>
      <c r="F116" s="3" t="s">
        <v>0</v>
      </c>
      <c r="G116" s="3" t="s">
        <v>2</v>
      </c>
      <c r="H116" s="3"/>
      <c r="I116" s="3"/>
      <c r="J116" s="3"/>
      <c r="K116" s="3"/>
    </row>
    <row r="117" spans="1:11" x14ac:dyDescent="0.25">
      <c r="A117" s="2">
        <f>C117/5</f>
        <v>16.669999999999998</v>
      </c>
      <c r="B117" s="2">
        <v>0</v>
      </c>
      <c r="C117">
        <f>11.87+18.46+23.92+10.74+18.36</f>
        <v>83.35</v>
      </c>
      <c r="E117" s="2">
        <f>G117/5</f>
        <v>39.391999999999996</v>
      </c>
      <c r="F117" s="2">
        <v>0</v>
      </c>
      <c r="G117">
        <f>33.89+37.76+40.41+40.39+44.51</f>
        <v>196.95999999999998</v>
      </c>
      <c r="I117" s="2"/>
      <c r="J117" s="2"/>
    </row>
    <row r="118" spans="1:11" x14ac:dyDescent="0.25">
      <c r="A118" s="2">
        <f>C118/5</f>
        <v>17.274000000000001</v>
      </c>
      <c r="B118" s="2">
        <v>0.01</v>
      </c>
      <c r="C118">
        <f>11.54+19.54+24.24+11.98+19.07</f>
        <v>86.37</v>
      </c>
      <c r="E118" s="2">
        <f t="shared" ref="E118:E131" si="23">G118/5</f>
        <v>39.328000000000003</v>
      </c>
      <c r="F118" s="2">
        <v>0.01</v>
      </c>
      <c r="G118">
        <f>34.32+36.96+40.81+40.59+43.96</f>
        <v>196.64000000000001</v>
      </c>
      <c r="I118" s="2"/>
      <c r="J118" s="2"/>
    </row>
    <row r="119" spans="1:11" x14ac:dyDescent="0.25">
      <c r="A119" s="2">
        <f t="shared" ref="A119:A131" si="24">C119/5</f>
        <v>17.874000000000002</v>
      </c>
      <c r="B119" s="2">
        <v>0.02</v>
      </c>
      <c r="C119">
        <f>11.25+19.9+24.33+14.14+19.75</f>
        <v>89.37</v>
      </c>
      <c r="E119" s="2">
        <f t="shared" si="23"/>
        <v>39.233999999999995</v>
      </c>
      <c r="F119" s="2">
        <v>0.02</v>
      </c>
      <c r="G119">
        <f>34.41+36.35+41.11+40.86+43.44</f>
        <v>196.17</v>
      </c>
      <c r="I119" s="2"/>
      <c r="J119" s="2"/>
    </row>
    <row r="120" spans="1:11" x14ac:dyDescent="0.25">
      <c r="A120" s="2">
        <f t="shared" si="24"/>
        <v>18.100000000000001</v>
      </c>
      <c r="B120" s="2">
        <v>0.03</v>
      </c>
      <c r="C120">
        <f>11.06+19.96+24.28+15.02+20.18</f>
        <v>90.5</v>
      </c>
      <c r="E120" s="2">
        <f t="shared" si="23"/>
        <v>38.917999999999999</v>
      </c>
      <c r="F120" s="2">
        <v>0.03</v>
      </c>
      <c r="G120">
        <f>34.72+35.41+41.14+40.67+42.65</f>
        <v>194.59</v>
      </c>
      <c r="I120" s="2"/>
      <c r="J120" s="2"/>
    </row>
    <row r="121" spans="1:11" x14ac:dyDescent="0.25">
      <c r="A121" s="2">
        <f t="shared" si="24"/>
        <v>17.705999999999996</v>
      </c>
      <c r="B121" s="2">
        <v>0.04</v>
      </c>
      <c r="C121">
        <f>10.87+19.65+24.16+13.46+20.39</f>
        <v>88.529999999999987</v>
      </c>
      <c r="E121" s="2">
        <f t="shared" si="23"/>
        <v>38.494</v>
      </c>
      <c r="F121" s="2">
        <v>0.04</v>
      </c>
      <c r="G121">
        <f>34.84+34.66+41.36+40.36+41.25</f>
        <v>192.47</v>
      </c>
      <c r="I121" s="2"/>
      <c r="J121" s="2"/>
    </row>
    <row r="122" spans="1:11" x14ac:dyDescent="0.25">
      <c r="A122" s="2">
        <f t="shared" si="24"/>
        <v>17.077999999999996</v>
      </c>
      <c r="B122" s="2">
        <v>0.05</v>
      </c>
      <c r="C122">
        <f>10.74+18.62+23.82+11.56+20.65</f>
        <v>85.389999999999986</v>
      </c>
      <c r="E122" s="2">
        <f t="shared" si="23"/>
        <v>38.315999999999995</v>
      </c>
      <c r="F122" s="2">
        <v>0.05</v>
      </c>
      <c r="G122">
        <f>34.93+33.88+41.32+40.2+41.25</f>
        <v>191.57999999999998</v>
      </c>
      <c r="I122" s="2"/>
      <c r="J122" s="2"/>
    </row>
    <row r="123" spans="1:11" x14ac:dyDescent="0.25">
      <c r="A123" s="2">
        <f t="shared" si="24"/>
        <v>16.518000000000001</v>
      </c>
      <c r="B123" s="2">
        <v>0.06</v>
      </c>
      <c r="C123">
        <f>10.67+17.27+23.44+10.5+20.71</f>
        <v>82.59</v>
      </c>
      <c r="E123" s="2">
        <f t="shared" si="23"/>
        <v>37.950000000000003</v>
      </c>
      <c r="F123" s="2">
        <v>0.06</v>
      </c>
      <c r="G123">
        <f>35.01+33.16+41.13+39.77+40.68</f>
        <v>189.75</v>
      </c>
      <c r="I123" s="2"/>
      <c r="J123" s="2"/>
    </row>
    <row r="124" spans="1:11" x14ac:dyDescent="0.25">
      <c r="A124" s="2">
        <f t="shared" si="24"/>
        <v>15.827999999999999</v>
      </c>
      <c r="B124" s="2">
        <v>7.0000000000000007E-2</v>
      </c>
      <c r="C124">
        <f>10.58+15.07+22.68+10.19+20.62</f>
        <v>79.14</v>
      </c>
      <c r="E124" s="2">
        <f t="shared" si="23"/>
        <v>37.608000000000004</v>
      </c>
      <c r="F124" s="2">
        <v>7.0000000000000007E-2</v>
      </c>
      <c r="G124">
        <f>35.34+32.31+41.09+39.34+39.96</f>
        <v>188.04000000000002</v>
      </c>
      <c r="I124" s="2"/>
      <c r="J124" s="2"/>
    </row>
    <row r="125" spans="1:11" x14ac:dyDescent="0.25">
      <c r="A125" s="2">
        <f t="shared" si="24"/>
        <v>15.190000000000001</v>
      </c>
      <c r="B125" s="2">
        <v>0.08</v>
      </c>
      <c r="C125">
        <f>10.52+13.41+21.91+10.11+20</f>
        <v>75.95</v>
      </c>
      <c r="E125" s="2">
        <f t="shared" si="23"/>
        <v>37.257999999999996</v>
      </c>
      <c r="F125" s="2">
        <v>0.08</v>
      </c>
      <c r="G125">
        <f>35.4+31.51+41.05+38.92+39.41</f>
        <v>186.29</v>
      </c>
      <c r="I125" s="2"/>
      <c r="J125" s="2"/>
    </row>
    <row r="126" spans="1:11" x14ac:dyDescent="0.25">
      <c r="A126" s="2">
        <f t="shared" si="24"/>
        <v>14.406000000000001</v>
      </c>
      <c r="B126" s="2">
        <v>0.09</v>
      </c>
      <c r="C126">
        <f>10.49+11.69+20.94+10.09+18.82</f>
        <v>72.03</v>
      </c>
      <c r="E126" s="2">
        <f t="shared" si="23"/>
        <v>36.746000000000002</v>
      </c>
      <c r="F126" s="2">
        <v>0.09</v>
      </c>
      <c r="G126">
        <f>35.36+30.67+40.87+38.16+38.67</f>
        <v>183.73000000000002</v>
      </c>
      <c r="I126" s="2"/>
      <c r="J126" s="2"/>
    </row>
    <row r="127" spans="1:11" x14ac:dyDescent="0.25">
      <c r="A127" s="2">
        <f t="shared" si="24"/>
        <v>13.52</v>
      </c>
      <c r="B127" s="2">
        <v>0.1</v>
      </c>
      <c r="C127">
        <f>10.43+10.63+19.3+10.09+17.15</f>
        <v>67.599999999999994</v>
      </c>
      <c r="E127" s="2">
        <f t="shared" si="23"/>
        <v>36.351999999999997</v>
      </c>
      <c r="F127" s="2">
        <v>0.1</v>
      </c>
      <c r="G127">
        <f>35.31+30.1+40.66+37.6+38.09</f>
        <v>181.76</v>
      </c>
      <c r="I127" s="2"/>
      <c r="J127" s="2"/>
    </row>
    <row r="128" spans="1:11" x14ac:dyDescent="0.25">
      <c r="A128" s="2">
        <f t="shared" si="24"/>
        <v>10.886000000000001</v>
      </c>
      <c r="B128" s="2">
        <v>0.2</v>
      </c>
      <c r="C128">
        <f>10.38+13.5+10.67+10.1+9.78</f>
        <v>54.430000000000007</v>
      </c>
      <c r="E128" s="2">
        <f t="shared" si="23"/>
        <v>32.858000000000004</v>
      </c>
      <c r="F128" s="2">
        <v>0.2</v>
      </c>
      <c r="G128">
        <f>35.19+25.62+37.85+32.71+32.92</f>
        <v>164.29000000000002</v>
      </c>
      <c r="I128" s="2"/>
      <c r="J128" s="2"/>
    </row>
    <row r="129" spans="1:11" x14ac:dyDescent="0.25">
      <c r="A129" s="2">
        <f t="shared" si="24"/>
        <v>10.492000000000001</v>
      </c>
      <c r="B129" s="2">
        <v>0.3</v>
      </c>
      <c r="C129">
        <f>10.32+9.83+12.12+10.09+10.1</f>
        <v>52.46</v>
      </c>
      <c r="E129" s="2">
        <f t="shared" si="23"/>
        <v>30.659999999999997</v>
      </c>
      <c r="F129" s="2">
        <v>0.3</v>
      </c>
      <c r="G129">
        <f>34.36+22.72+35.99+30.39+29.84</f>
        <v>153.29999999999998</v>
      </c>
      <c r="I129" s="2"/>
      <c r="J129" s="2"/>
    </row>
    <row r="130" spans="1:11" x14ac:dyDescent="0.25">
      <c r="A130" s="2">
        <f t="shared" si="24"/>
        <v>10.672000000000001</v>
      </c>
      <c r="B130" s="2">
        <v>0.4</v>
      </c>
      <c r="C130">
        <f>10.57+9.76+12.83+10.1+10.1</f>
        <v>53.36</v>
      </c>
      <c r="E130" s="2">
        <f t="shared" si="23"/>
        <v>29.417999999999999</v>
      </c>
      <c r="F130" s="2">
        <v>0.4</v>
      </c>
      <c r="G130">
        <f>33.64+21.25+34.36+29.19+28.65</f>
        <v>147.09</v>
      </c>
      <c r="I130" s="2"/>
      <c r="J130" s="2"/>
    </row>
    <row r="131" spans="1:11" x14ac:dyDescent="0.25">
      <c r="A131" s="2">
        <f t="shared" si="24"/>
        <v>11.194000000000001</v>
      </c>
      <c r="B131" s="2">
        <v>0.5</v>
      </c>
      <c r="C131">
        <f>12.09+9.76+13.92+10.1+10.1</f>
        <v>55.970000000000006</v>
      </c>
      <c r="E131" s="2">
        <f t="shared" si="23"/>
        <v>28.814</v>
      </c>
      <c r="F131" s="2">
        <v>0.5</v>
      </c>
      <c r="G131">
        <f>33.3+20.42+33.31+28.81+28.23</f>
        <v>144.07</v>
      </c>
      <c r="I131" s="2"/>
      <c r="J131" s="2"/>
    </row>
    <row r="133" spans="1:11" ht="15.75" x14ac:dyDescent="0.25">
      <c r="A133" s="11" t="s">
        <v>30</v>
      </c>
      <c r="B133" s="11"/>
      <c r="C133" s="11"/>
      <c r="D133" s="11"/>
      <c r="E133" s="11"/>
      <c r="F133" s="11"/>
      <c r="G133" s="11"/>
      <c r="H133" s="14"/>
      <c r="I133" s="14"/>
      <c r="J133" s="14"/>
      <c r="K133" s="14"/>
    </row>
    <row r="134" spans="1:11" x14ac:dyDescent="0.25">
      <c r="A134" s="12" t="s">
        <v>31</v>
      </c>
      <c r="B134" s="12"/>
      <c r="C134" s="12"/>
      <c r="D134" s="4"/>
      <c r="E134" s="12" t="s">
        <v>32</v>
      </c>
      <c r="F134" s="12"/>
      <c r="G134" s="12"/>
      <c r="H134" s="4"/>
      <c r="I134" s="12"/>
      <c r="J134" s="12"/>
      <c r="K134" s="12"/>
    </row>
    <row r="135" spans="1:11" x14ac:dyDescent="0.25">
      <c r="A135" s="3" t="s">
        <v>1</v>
      </c>
      <c r="B135" s="3" t="s">
        <v>0</v>
      </c>
      <c r="C135" s="3" t="s">
        <v>2</v>
      </c>
      <c r="D135" s="3"/>
      <c r="E135" s="3" t="s">
        <v>1</v>
      </c>
      <c r="F135" s="3" t="s">
        <v>0</v>
      </c>
      <c r="G135" s="3" t="s">
        <v>2</v>
      </c>
      <c r="H135" s="3"/>
      <c r="I135" s="3"/>
      <c r="J135" s="3"/>
      <c r="K135" s="3"/>
    </row>
    <row r="136" spans="1:11" x14ac:dyDescent="0.25">
      <c r="A136" s="2">
        <f>C136/5</f>
        <v>11.032</v>
      </c>
      <c r="B136" s="2">
        <v>0</v>
      </c>
      <c r="C136">
        <f>10.09+10.09+10.09+10.51+14.38</f>
        <v>55.160000000000004</v>
      </c>
      <c r="E136" s="2">
        <f>G136/5</f>
        <v>17.494</v>
      </c>
      <c r="F136" s="2">
        <v>0</v>
      </c>
      <c r="G136">
        <f>17.13+19.12+21.68+10+19.54</f>
        <v>87.47</v>
      </c>
      <c r="I136" s="2"/>
      <c r="J136" s="2"/>
    </row>
    <row r="137" spans="1:11" x14ac:dyDescent="0.25">
      <c r="A137" s="2">
        <f>C137/5</f>
        <v>10.937999999999999</v>
      </c>
      <c r="B137" s="2">
        <v>0.01</v>
      </c>
      <c r="C137">
        <f>10.09+10.09+10.09+11.02+13.4</f>
        <v>54.69</v>
      </c>
      <c r="E137" s="2">
        <f>G137/5</f>
        <v>17.161999999999999</v>
      </c>
      <c r="F137" s="2">
        <v>0.01</v>
      </c>
      <c r="G137">
        <f>16.95+18.63+21.24+10+18.99</f>
        <v>85.809999999999988</v>
      </c>
      <c r="I137" s="2"/>
      <c r="J137" s="2"/>
    </row>
    <row r="138" spans="1:11" x14ac:dyDescent="0.25">
      <c r="A138" s="2">
        <f t="shared" ref="A138:A150" si="25">C138/5</f>
        <v>10.958</v>
      </c>
      <c r="B138" s="2">
        <v>0.02</v>
      </c>
      <c r="C138">
        <f>10.09+10.09+10.09+11.94+12.58</f>
        <v>54.79</v>
      </c>
      <c r="E138" s="2">
        <f t="shared" ref="E138:E150" si="26">G138/5</f>
        <v>16.956000000000003</v>
      </c>
      <c r="F138" s="2">
        <v>0.02</v>
      </c>
      <c r="G138">
        <f>16.76+18.34+20.8+10.01+18.87</f>
        <v>84.780000000000015</v>
      </c>
      <c r="I138" s="2"/>
      <c r="J138" s="2"/>
    </row>
    <row r="139" spans="1:11" x14ac:dyDescent="0.25">
      <c r="A139" s="2">
        <f t="shared" si="25"/>
        <v>10.918000000000001</v>
      </c>
      <c r="B139" s="2">
        <v>0.03</v>
      </c>
      <c r="C139">
        <f>10.09+10.09+10.09+12.33+11.99</f>
        <v>54.59</v>
      </c>
      <c r="E139" s="2">
        <f t="shared" si="26"/>
        <v>16.8</v>
      </c>
      <c r="F139" s="2">
        <v>0.03</v>
      </c>
      <c r="G139">
        <f>16.61+18.33+20.31+10.06+18.69</f>
        <v>84</v>
      </c>
      <c r="I139" s="2"/>
      <c r="J139" s="2"/>
    </row>
    <row r="140" spans="1:11" x14ac:dyDescent="0.25">
      <c r="A140" s="2">
        <f t="shared" si="25"/>
        <v>10.878</v>
      </c>
      <c r="B140" s="2">
        <v>0.04</v>
      </c>
      <c r="C140">
        <f>10.09+10.09+10.09+12.42+11.7</f>
        <v>54.39</v>
      </c>
      <c r="E140" s="2">
        <f t="shared" si="26"/>
        <v>16.631999999999998</v>
      </c>
      <c r="F140" s="2">
        <v>0.04</v>
      </c>
      <c r="G140">
        <f>16.38+18.28+19.79+10.11+18.6</f>
        <v>83.16</v>
      </c>
      <c r="I140" s="2"/>
      <c r="J140" s="2"/>
    </row>
    <row r="141" spans="1:11" x14ac:dyDescent="0.25">
      <c r="A141" s="2">
        <f t="shared" si="25"/>
        <v>10.824000000000002</v>
      </c>
      <c r="B141" s="2">
        <v>0.05</v>
      </c>
      <c r="C141">
        <f>10.09+10.09+10.09+12.32+11.53</f>
        <v>54.120000000000005</v>
      </c>
      <c r="E141" s="2">
        <f t="shared" si="26"/>
        <v>16.523999999999997</v>
      </c>
      <c r="F141" s="2">
        <v>0.05</v>
      </c>
      <c r="G141">
        <f>16.17+18.29+19.31+10.22+18.63</f>
        <v>82.61999999999999</v>
      </c>
      <c r="I141" s="2"/>
      <c r="J141" s="2"/>
    </row>
    <row r="142" spans="1:11" x14ac:dyDescent="0.25">
      <c r="A142" s="2">
        <f t="shared" si="25"/>
        <v>10.827999999999999</v>
      </c>
      <c r="B142" s="2">
        <v>0.06</v>
      </c>
      <c r="C142">
        <f>10.09+10.09+10.09+12.42+11.45</f>
        <v>54.14</v>
      </c>
      <c r="E142" s="2">
        <f t="shared" si="26"/>
        <v>16.372</v>
      </c>
      <c r="F142" s="2">
        <v>0.06</v>
      </c>
      <c r="G142">
        <f>15.98+18.25+18.94+10.05+18.64</f>
        <v>81.86</v>
      </c>
      <c r="I142" s="2"/>
      <c r="J142" s="2"/>
    </row>
    <row r="143" spans="1:11" x14ac:dyDescent="0.25">
      <c r="A143" s="2">
        <f t="shared" si="25"/>
        <v>10.788</v>
      </c>
      <c r="B143" s="2">
        <v>7.0000000000000007E-2</v>
      </c>
      <c r="C143">
        <f>10.09+10.09+10.09+12.25+11.42</f>
        <v>53.94</v>
      </c>
      <c r="E143" s="2">
        <f t="shared" si="26"/>
        <v>16.161999999999999</v>
      </c>
      <c r="F143" s="2">
        <v>7.0000000000000007E-2</v>
      </c>
      <c r="G143">
        <f>15.92+18.21+18.57+9.43+18.68</f>
        <v>80.81</v>
      </c>
      <c r="I143" s="2"/>
      <c r="J143" s="2"/>
    </row>
    <row r="144" spans="1:11" x14ac:dyDescent="0.25">
      <c r="A144" s="2">
        <f t="shared" si="25"/>
        <v>11.01</v>
      </c>
      <c r="B144" s="2">
        <v>0.08</v>
      </c>
      <c r="C144">
        <f>10.09+10.09+10.09+13.38+11.4</f>
        <v>55.05</v>
      </c>
      <c r="E144" s="2">
        <f t="shared" si="26"/>
        <v>16.058</v>
      </c>
      <c r="F144" s="2">
        <v>0.08</v>
      </c>
      <c r="G144">
        <f>15.88+18.18+18.3+9.23+18.7</f>
        <v>80.290000000000006</v>
      </c>
      <c r="I144" s="2"/>
      <c r="J144" s="2"/>
    </row>
    <row r="145" spans="1:11" x14ac:dyDescent="0.25">
      <c r="A145" s="2">
        <f t="shared" si="25"/>
        <v>11.494</v>
      </c>
      <c r="B145" s="2">
        <v>0.09</v>
      </c>
      <c r="C145">
        <f>10.09+10.09+10.09+15.83+11.37</f>
        <v>57.47</v>
      </c>
      <c r="E145" s="2">
        <f t="shared" si="26"/>
        <v>15.976000000000003</v>
      </c>
      <c r="F145" s="2">
        <v>0.09</v>
      </c>
      <c r="G145">
        <f>15.74+18.26+18.09+9.09+18.7</f>
        <v>79.88000000000001</v>
      </c>
      <c r="I145" s="2"/>
      <c r="J145" s="2"/>
    </row>
    <row r="146" spans="1:11" x14ac:dyDescent="0.25">
      <c r="A146" s="2">
        <f t="shared" si="25"/>
        <v>11.899999999999999</v>
      </c>
      <c r="B146" s="2">
        <v>0.1</v>
      </c>
      <c r="C146">
        <f>10.09+10.09+10.09+17.86+11.37</f>
        <v>59.499999999999993</v>
      </c>
      <c r="E146" s="2">
        <f t="shared" si="26"/>
        <v>15.974</v>
      </c>
      <c r="F146" s="2">
        <v>0.1</v>
      </c>
      <c r="G146">
        <f>15.66+18.32+17.87+9.28+18.74</f>
        <v>79.87</v>
      </c>
      <c r="I146" s="2"/>
      <c r="J146" s="2"/>
    </row>
    <row r="147" spans="1:11" x14ac:dyDescent="0.25">
      <c r="A147" s="2">
        <f t="shared" si="25"/>
        <v>10.148</v>
      </c>
      <c r="B147" s="2">
        <v>0.2</v>
      </c>
      <c r="C147">
        <f>10.09+10.09+10.09+9+11.47</f>
        <v>50.739999999999995</v>
      </c>
      <c r="E147" s="2">
        <f t="shared" si="26"/>
        <v>15.731999999999999</v>
      </c>
      <c r="F147" s="2">
        <v>0.2</v>
      </c>
      <c r="G147">
        <f>15+18.38+16.44+10+18.84</f>
        <v>78.66</v>
      </c>
      <c r="I147" s="2"/>
      <c r="J147" s="2"/>
    </row>
    <row r="148" spans="1:11" x14ac:dyDescent="0.25">
      <c r="A148" s="2">
        <f t="shared" si="25"/>
        <v>10.66</v>
      </c>
      <c r="B148" s="2">
        <v>0.3</v>
      </c>
      <c r="C148">
        <f>10.09+10.09+10.09+9+14.03</f>
        <v>53.3</v>
      </c>
      <c r="E148" s="2">
        <f t="shared" si="26"/>
        <v>15.457999999999998</v>
      </c>
      <c r="F148" s="2">
        <v>0.3</v>
      </c>
      <c r="G148">
        <f>14.47+18.43+15.62+9.99+18.78</f>
        <v>77.289999999999992</v>
      </c>
      <c r="I148" s="2"/>
      <c r="J148" s="2"/>
    </row>
    <row r="149" spans="1:11" x14ac:dyDescent="0.25">
      <c r="A149" s="2">
        <f t="shared" si="25"/>
        <v>11.474</v>
      </c>
      <c r="B149" s="2">
        <v>0.4</v>
      </c>
      <c r="C149">
        <f>10.09+10.09+10.09+9+18.1</f>
        <v>57.37</v>
      </c>
      <c r="E149" s="2">
        <f t="shared" si="26"/>
        <v>15.223999999999998</v>
      </c>
      <c r="F149" s="2">
        <v>0.4</v>
      </c>
      <c r="G149">
        <f>14.23+18.33+14.77+10.02+18.77</f>
        <v>76.11999999999999</v>
      </c>
      <c r="I149" s="2"/>
      <c r="J149" s="2"/>
    </row>
    <row r="150" spans="1:11" x14ac:dyDescent="0.25">
      <c r="A150" s="2">
        <f t="shared" si="25"/>
        <v>11.745999999999999</v>
      </c>
      <c r="B150" s="2">
        <v>0.5</v>
      </c>
      <c r="C150">
        <f>10.09+10.09+10.09+9+19.46</f>
        <v>58.73</v>
      </c>
      <c r="E150" s="2">
        <f t="shared" si="26"/>
        <v>15.112</v>
      </c>
      <c r="F150" s="2">
        <v>0.5</v>
      </c>
      <c r="G150">
        <f>14.06+18.47+14.3+10.02+18.71</f>
        <v>75.56</v>
      </c>
      <c r="I150" s="2"/>
      <c r="J150" s="2"/>
    </row>
    <row r="153" spans="1:11" x14ac:dyDescent="0.25">
      <c r="A153" s="12" t="s">
        <v>33</v>
      </c>
      <c r="B153" s="12"/>
      <c r="C153" s="12"/>
      <c r="E153" s="12" t="s">
        <v>34</v>
      </c>
      <c r="F153" s="12"/>
      <c r="G153" s="12"/>
      <c r="I153" s="12" t="s">
        <v>35</v>
      </c>
      <c r="J153" s="12"/>
      <c r="K153" s="12"/>
    </row>
    <row r="154" spans="1:11" s="3" customFormat="1" x14ac:dyDescent="0.25">
      <c r="A154" s="3" t="s">
        <v>36</v>
      </c>
      <c r="B154"/>
      <c r="C154" s="3" t="s">
        <v>1</v>
      </c>
      <c r="E154" s="3" t="s">
        <v>36</v>
      </c>
      <c r="F154"/>
      <c r="G154" s="3" t="s">
        <v>1</v>
      </c>
      <c r="I154" s="3" t="s">
        <v>36</v>
      </c>
      <c r="J154"/>
      <c r="K154" s="3" t="s">
        <v>1</v>
      </c>
    </row>
    <row r="155" spans="1:11" x14ac:dyDescent="0.25">
      <c r="A155" t="s">
        <v>78</v>
      </c>
      <c r="C155" s="2">
        <f>A6</f>
        <v>96.94</v>
      </c>
      <c r="E155" t="s">
        <v>78</v>
      </c>
      <c r="G155" s="2">
        <f>E6</f>
        <v>83.304000000000002</v>
      </c>
      <c r="I155" t="s">
        <v>78</v>
      </c>
      <c r="K155" s="2">
        <f>I6</f>
        <v>66.687999999999988</v>
      </c>
    </row>
    <row r="156" spans="1:11" x14ac:dyDescent="0.25">
      <c r="A156" t="s">
        <v>79</v>
      </c>
      <c r="C156" s="2">
        <f>A28</f>
        <v>93.378</v>
      </c>
      <c r="E156" t="s">
        <v>79</v>
      </c>
      <c r="G156" s="2">
        <f>E28</f>
        <v>90.347999999999999</v>
      </c>
      <c r="I156" t="s">
        <v>79</v>
      </c>
      <c r="K156" s="2">
        <f>I28</f>
        <v>78.207999999999998</v>
      </c>
    </row>
    <row r="157" spans="1:11" x14ac:dyDescent="0.25">
      <c r="A157" t="s">
        <v>80</v>
      </c>
      <c r="C157" s="2">
        <f>A50</f>
        <v>97.001999999999995</v>
      </c>
      <c r="E157" t="s">
        <v>80</v>
      </c>
      <c r="G157" s="2">
        <f>E50</f>
        <v>86.82</v>
      </c>
      <c r="I157" t="s">
        <v>80</v>
      </c>
      <c r="K157" s="2">
        <f>I50</f>
        <v>74.179999999999993</v>
      </c>
    </row>
    <row r="158" spans="1:11" x14ac:dyDescent="0.25">
      <c r="A158" t="s">
        <v>81</v>
      </c>
      <c r="C158" s="2">
        <f>A72</f>
        <v>97.97</v>
      </c>
      <c r="E158" t="s">
        <v>81</v>
      </c>
      <c r="G158" s="2">
        <f>E72</f>
        <v>90.92</v>
      </c>
      <c r="I158" t="s">
        <v>81</v>
      </c>
      <c r="K158" s="2">
        <f>I72</f>
        <v>85.03</v>
      </c>
    </row>
    <row r="159" spans="1:11" x14ac:dyDescent="0.25">
      <c r="A159" t="s">
        <v>82</v>
      </c>
      <c r="C159" s="2">
        <f>A94</f>
        <v>95.24</v>
      </c>
      <c r="E159" t="s">
        <v>82</v>
      </c>
      <c r="G159" s="2">
        <f>E94</f>
        <v>87.483999999999995</v>
      </c>
      <c r="I159" t="s">
        <v>82</v>
      </c>
      <c r="K159" s="2">
        <f>I94</f>
        <v>79.777999999999992</v>
      </c>
    </row>
    <row r="160" spans="1:11" x14ac:dyDescent="0.25">
      <c r="A160" t="s">
        <v>37</v>
      </c>
      <c r="C160" s="2">
        <f>A117</f>
        <v>16.669999999999998</v>
      </c>
      <c r="E160" t="s">
        <v>37</v>
      </c>
      <c r="G160" s="2">
        <f>E117</f>
        <v>39.391999999999996</v>
      </c>
      <c r="I160" t="s">
        <v>37</v>
      </c>
      <c r="K160" s="2">
        <f>I117</f>
        <v>0</v>
      </c>
    </row>
    <row r="161" spans="1:11" x14ac:dyDescent="0.25">
      <c r="A161" t="s">
        <v>38</v>
      </c>
      <c r="C161" s="2">
        <f>A136</f>
        <v>11.032</v>
      </c>
      <c r="E161" t="s">
        <v>38</v>
      </c>
      <c r="G161" s="2">
        <f>E136</f>
        <v>17.494</v>
      </c>
      <c r="I161" t="s">
        <v>38</v>
      </c>
      <c r="K161" s="2">
        <f>I136</f>
        <v>0</v>
      </c>
    </row>
  </sheetData>
  <mergeCells count="32">
    <mergeCell ref="A153:C153"/>
    <mergeCell ref="E153:G153"/>
    <mergeCell ref="I153:K153"/>
    <mergeCell ref="A134:C134"/>
    <mergeCell ref="E134:G134"/>
    <mergeCell ref="I134:K134"/>
    <mergeCell ref="A133:G133"/>
    <mergeCell ref="A115:C115"/>
    <mergeCell ref="E115:G115"/>
    <mergeCell ref="I115:K115"/>
    <mergeCell ref="A91:K91"/>
    <mergeCell ref="A92:C92"/>
    <mergeCell ref="E92:G92"/>
    <mergeCell ref="I92:K92"/>
    <mergeCell ref="A114:G114"/>
    <mergeCell ref="A69:K69"/>
    <mergeCell ref="A70:C70"/>
    <mergeCell ref="E70:G70"/>
    <mergeCell ref="I70:K70"/>
    <mergeCell ref="A47:K47"/>
    <mergeCell ref="A48:C48"/>
    <mergeCell ref="E48:G48"/>
    <mergeCell ref="I48:K48"/>
    <mergeCell ref="A1:K1"/>
    <mergeCell ref="A3:K3"/>
    <mergeCell ref="A25:K25"/>
    <mergeCell ref="A26:C26"/>
    <mergeCell ref="E26:G26"/>
    <mergeCell ref="I26:K26"/>
    <mergeCell ref="A4:C4"/>
    <mergeCell ref="E4:G4"/>
    <mergeCell ref="I4:K4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FB46-611D-4C69-BF4D-AAF86A3749DC}">
  <dimension ref="A1:K65"/>
  <sheetViews>
    <sheetView topLeftCell="A39" workbookViewId="0">
      <selection activeCell="C3" sqref="C3"/>
    </sheetView>
  </sheetViews>
  <sheetFormatPr baseColWidth="10" defaultRowHeight="15" x14ac:dyDescent="0.25"/>
  <cols>
    <col min="1" max="1" width="12.42578125" bestFit="1" customWidth="1"/>
    <col min="3" max="3" width="17.140625" customWidth="1"/>
    <col min="5" max="5" width="15.28515625" customWidth="1"/>
    <col min="6" max="6" width="16.5703125" customWidth="1"/>
    <col min="7" max="7" width="17.140625" customWidth="1"/>
    <col min="9" max="9" width="12.42578125" bestFit="1" customWidth="1"/>
    <col min="11" max="11" width="13.42578125" bestFit="1" customWidth="1"/>
  </cols>
  <sheetData>
    <row r="1" spans="1:11" ht="15.75" x14ac:dyDescent="0.25">
      <c r="A1" s="11" t="s">
        <v>14</v>
      </c>
      <c r="B1" s="11"/>
      <c r="C1" s="11"/>
      <c r="D1" s="11"/>
      <c r="E1" s="11"/>
      <c r="F1" s="11"/>
      <c r="G1" s="11"/>
      <c r="H1" s="7"/>
      <c r="I1" s="7"/>
      <c r="J1" s="7"/>
      <c r="K1" s="7"/>
    </row>
    <row r="2" spans="1:11" x14ac:dyDescent="0.25">
      <c r="A2" s="12" t="s">
        <v>51</v>
      </c>
      <c r="B2" s="12"/>
      <c r="C2" s="12"/>
      <c r="D2" s="4"/>
      <c r="E2" s="12" t="s">
        <v>48</v>
      </c>
      <c r="F2" s="12"/>
      <c r="G2" s="12"/>
      <c r="H2" s="4"/>
      <c r="I2" s="12"/>
      <c r="J2" s="12"/>
      <c r="K2" s="12"/>
    </row>
    <row r="3" spans="1:11" x14ac:dyDescent="0.25">
      <c r="A3" s="3" t="s">
        <v>1</v>
      </c>
      <c r="B3" s="3" t="s">
        <v>0</v>
      </c>
      <c r="C3" s="3" t="s">
        <v>49</v>
      </c>
      <c r="E3" s="3" t="s">
        <v>1</v>
      </c>
      <c r="F3" s="3" t="s">
        <v>0</v>
      </c>
      <c r="G3" s="3" t="s">
        <v>50</v>
      </c>
      <c r="I3" s="3"/>
      <c r="J3" s="3"/>
      <c r="K3" s="3"/>
    </row>
    <row r="4" spans="1:11" x14ac:dyDescent="0.25">
      <c r="A4">
        <f>90.35</f>
        <v>90.35</v>
      </c>
      <c r="B4" s="2">
        <v>0</v>
      </c>
      <c r="E4">
        <v>90.35</v>
      </c>
      <c r="F4" s="2">
        <v>0</v>
      </c>
      <c r="I4" s="2"/>
      <c r="J4" s="2"/>
    </row>
    <row r="5" spans="1:11" x14ac:dyDescent="0.25">
      <c r="A5">
        <f>90.98</f>
        <v>90.98</v>
      </c>
      <c r="B5" s="2">
        <v>0.01</v>
      </c>
      <c r="E5">
        <f>90.35</f>
        <v>90.35</v>
      </c>
      <c r="F5" s="6">
        <v>2.5000000000000001E-3</v>
      </c>
      <c r="I5" s="2"/>
      <c r="J5" s="2"/>
    </row>
    <row r="6" spans="1:11" x14ac:dyDescent="0.25">
      <c r="A6">
        <f t="shared" ref="A6:A12" si="0">90.98</f>
        <v>90.98</v>
      </c>
      <c r="B6" s="2">
        <v>0.02</v>
      </c>
      <c r="E6">
        <f>90.35</f>
        <v>90.35</v>
      </c>
      <c r="F6" s="6">
        <v>5.0000000000000001E-3</v>
      </c>
      <c r="I6" s="2"/>
      <c r="J6" s="2"/>
    </row>
    <row r="7" spans="1:11" x14ac:dyDescent="0.25">
      <c r="A7">
        <f t="shared" si="0"/>
        <v>90.98</v>
      </c>
      <c r="B7" s="2">
        <v>0.03</v>
      </c>
      <c r="E7">
        <f>90.35</f>
        <v>90.35</v>
      </c>
      <c r="F7" s="6">
        <v>7.4999999999999997E-3</v>
      </c>
      <c r="I7" s="2"/>
      <c r="J7" s="2"/>
    </row>
    <row r="8" spans="1:11" x14ac:dyDescent="0.25">
      <c r="A8">
        <f t="shared" si="0"/>
        <v>90.98</v>
      </c>
      <c r="B8" s="2">
        <v>0.04</v>
      </c>
      <c r="E8">
        <f>89.97</f>
        <v>89.97</v>
      </c>
      <c r="F8" s="2">
        <v>0.01</v>
      </c>
      <c r="I8" s="2"/>
      <c r="J8" s="2"/>
    </row>
    <row r="9" spans="1:11" x14ac:dyDescent="0.25">
      <c r="A9">
        <f t="shared" si="0"/>
        <v>90.98</v>
      </c>
      <c r="B9" s="2">
        <v>0.05</v>
      </c>
      <c r="E9">
        <f>89.96</f>
        <v>89.96</v>
      </c>
      <c r="F9" s="2">
        <v>0.02</v>
      </c>
      <c r="I9" s="2"/>
      <c r="J9" s="2"/>
    </row>
    <row r="10" spans="1:11" x14ac:dyDescent="0.25">
      <c r="A10">
        <f t="shared" si="0"/>
        <v>90.98</v>
      </c>
      <c r="B10" s="2">
        <v>0.06</v>
      </c>
      <c r="E10">
        <f>89.96</f>
        <v>89.96</v>
      </c>
      <c r="F10" s="2">
        <v>0.03</v>
      </c>
      <c r="I10" s="2"/>
      <c r="J10" s="2"/>
    </row>
    <row r="11" spans="1:11" x14ac:dyDescent="0.25">
      <c r="A11">
        <f>90.98</f>
        <v>90.98</v>
      </c>
      <c r="B11" s="2">
        <v>7.0000000000000007E-2</v>
      </c>
      <c r="E11">
        <f>89.93</f>
        <v>89.93</v>
      </c>
      <c r="F11" s="2">
        <v>0.04</v>
      </c>
      <c r="I11" s="2"/>
      <c r="J11" s="2"/>
    </row>
    <row r="12" spans="1:11" x14ac:dyDescent="0.25">
      <c r="A12">
        <f t="shared" si="0"/>
        <v>90.98</v>
      </c>
      <c r="B12" s="2">
        <v>0.08</v>
      </c>
      <c r="E12">
        <f>89.92</f>
        <v>89.92</v>
      </c>
      <c r="F12" s="2">
        <v>0.05</v>
      </c>
      <c r="I12" s="2"/>
      <c r="J12" s="2"/>
    </row>
    <row r="13" spans="1:11" x14ac:dyDescent="0.25">
      <c r="A13">
        <f>90.97</f>
        <v>90.97</v>
      </c>
      <c r="B13" s="2">
        <v>0.09</v>
      </c>
      <c r="E13">
        <f>89.88</f>
        <v>89.88</v>
      </c>
      <c r="F13" s="2">
        <v>0.06</v>
      </c>
      <c r="I13" s="2"/>
      <c r="J13" s="2"/>
    </row>
    <row r="14" spans="1:11" x14ac:dyDescent="0.25">
      <c r="A14">
        <f>90.97</f>
        <v>90.97</v>
      </c>
      <c r="B14" s="2">
        <v>0.1</v>
      </c>
      <c r="E14">
        <f>89.85</f>
        <v>89.85</v>
      </c>
      <c r="F14" s="2">
        <v>7.0000000000000007E-2</v>
      </c>
      <c r="I14" s="2"/>
      <c r="J14" s="2"/>
    </row>
    <row r="15" spans="1:11" x14ac:dyDescent="0.25">
      <c r="A15">
        <f>90.98</f>
        <v>90.98</v>
      </c>
      <c r="B15" s="2">
        <v>0.2</v>
      </c>
      <c r="E15">
        <f>89.81</f>
        <v>89.81</v>
      </c>
      <c r="F15" s="2">
        <v>0.08</v>
      </c>
      <c r="I15" s="2"/>
      <c r="J15" s="2"/>
    </row>
    <row r="16" spans="1:11" x14ac:dyDescent="0.25">
      <c r="A16">
        <f t="shared" ref="A16:A17" si="1">90.98</f>
        <v>90.98</v>
      </c>
      <c r="B16" s="2">
        <v>0.3</v>
      </c>
      <c r="E16">
        <f>89.77</f>
        <v>89.77</v>
      </c>
      <c r="F16" s="2">
        <v>0.09</v>
      </c>
      <c r="I16" s="2"/>
      <c r="J16" s="2"/>
    </row>
    <row r="17" spans="1:10" x14ac:dyDescent="0.25">
      <c r="A17">
        <f t="shared" si="1"/>
        <v>90.98</v>
      </c>
      <c r="B17" s="2">
        <v>0.4</v>
      </c>
      <c r="E17">
        <f>89.73</f>
        <v>89.73</v>
      </c>
      <c r="F17" s="2">
        <v>0.1</v>
      </c>
      <c r="I17" s="2"/>
      <c r="J17" s="2"/>
    </row>
    <row r="18" spans="1:10" x14ac:dyDescent="0.25">
      <c r="A18">
        <f>90.99</f>
        <v>90.99</v>
      </c>
      <c r="B18" s="2">
        <v>0.5</v>
      </c>
      <c r="E18">
        <f>89.45</f>
        <v>89.45</v>
      </c>
      <c r="F18" s="2">
        <v>0.2</v>
      </c>
      <c r="I18" s="2"/>
      <c r="J18" s="2"/>
    </row>
    <row r="19" spans="1:10" x14ac:dyDescent="0.25">
      <c r="E19">
        <f>89.45</f>
        <v>89.45</v>
      </c>
      <c r="F19" s="2">
        <v>0.3</v>
      </c>
      <c r="I19" s="2"/>
      <c r="J19" s="2"/>
    </row>
    <row r="20" spans="1:10" x14ac:dyDescent="0.25">
      <c r="E20">
        <f>89.1</f>
        <v>89.1</v>
      </c>
      <c r="F20" s="2">
        <v>0.4</v>
      </c>
      <c r="I20" s="2"/>
      <c r="J20" s="2"/>
    </row>
    <row r="21" spans="1:10" x14ac:dyDescent="0.25">
      <c r="E21">
        <f>E20</f>
        <v>89.1</v>
      </c>
      <c r="F21" s="2">
        <v>0.5</v>
      </c>
      <c r="I21" s="2"/>
      <c r="J21" s="2"/>
    </row>
    <row r="23" spans="1:10" ht="15.75" x14ac:dyDescent="0.25">
      <c r="A23" s="11" t="s">
        <v>23</v>
      </c>
      <c r="B23" s="11"/>
      <c r="C23" s="11"/>
      <c r="D23" s="11"/>
      <c r="E23" s="11"/>
      <c r="F23" s="11"/>
      <c r="G23" s="11"/>
    </row>
    <row r="24" spans="1:10" x14ac:dyDescent="0.25">
      <c r="A24" s="12" t="s">
        <v>52</v>
      </c>
      <c r="B24" s="12"/>
      <c r="C24" s="12"/>
      <c r="D24" s="4"/>
      <c r="E24" s="12" t="s">
        <v>53</v>
      </c>
      <c r="F24" s="12"/>
      <c r="G24" s="12"/>
    </row>
    <row r="25" spans="1:10" x14ac:dyDescent="0.25">
      <c r="A25" s="3" t="s">
        <v>1</v>
      </c>
      <c r="B25" s="3" t="s">
        <v>0</v>
      </c>
      <c r="C25" s="3" t="s">
        <v>55</v>
      </c>
      <c r="E25" s="3" t="s">
        <v>1</v>
      </c>
      <c r="F25" s="3" t="s">
        <v>0</v>
      </c>
      <c r="G25" s="3" t="s">
        <v>54</v>
      </c>
    </row>
    <row r="26" spans="1:10" x14ac:dyDescent="0.25">
      <c r="A26">
        <f>86.75</f>
        <v>86.75</v>
      </c>
      <c r="B26" s="2">
        <v>0</v>
      </c>
      <c r="E26">
        <f>91.85</f>
        <v>91.85</v>
      </c>
      <c r="F26" s="2">
        <v>0</v>
      </c>
    </row>
    <row r="27" spans="1:10" x14ac:dyDescent="0.25">
      <c r="A27">
        <f>86.75</f>
        <v>86.75</v>
      </c>
      <c r="B27" s="2">
        <v>0.01</v>
      </c>
      <c r="E27">
        <v>91.85</v>
      </c>
      <c r="F27" s="6">
        <v>2.5000000000000001E-3</v>
      </c>
    </row>
    <row r="28" spans="1:10" x14ac:dyDescent="0.25">
      <c r="A28">
        <f>86.75</f>
        <v>86.75</v>
      </c>
      <c r="B28" s="2">
        <v>0.02</v>
      </c>
      <c r="E28">
        <v>91.85</v>
      </c>
      <c r="F28" s="6">
        <v>5.0000000000000001E-3</v>
      </c>
    </row>
    <row r="29" spans="1:10" x14ac:dyDescent="0.25">
      <c r="A29">
        <f>86.76</f>
        <v>86.76</v>
      </c>
      <c r="B29" s="2">
        <v>0.03</v>
      </c>
      <c r="E29">
        <v>91.85</v>
      </c>
      <c r="F29" s="6">
        <v>7.4999999999999997E-3</v>
      </c>
    </row>
    <row r="30" spans="1:10" x14ac:dyDescent="0.25">
      <c r="A30">
        <f t="shared" ref="A30:A31" si="2">86.76</f>
        <v>86.76</v>
      </c>
      <c r="B30" s="2">
        <v>0.04</v>
      </c>
      <c r="E30">
        <f>91.84</f>
        <v>91.84</v>
      </c>
      <c r="F30" s="2">
        <v>0.01</v>
      </c>
    </row>
    <row r="31" spans="1:10" x14ac:dyDescent="0.25">
      <c r="A31">
        <f t="shared" si="2"/>
        <v>86.76</v>
      </c>
      <c r="B31" s="2">
        <v>0.05</v>
      </c>
      <c r="E31">
        <f>98.83</f>
        <v>98.83</v>
      </c>
      <c r="F31" s="2">
        <v>0.02</v>
      </c>
    </row>
    <row r="32" spans="1:10" x14ac:dyDescent="0.25">
      <c r="A32">
        <f>86.76</f>
        <v>86.76</v>
      </c>
      <c r="B32" s="2">
        <v>0.06</v>
      </c>
      <c r="E32">
        <f t="shared" ref="E32:E33" si="3">98.83</f>
        <v>98.83</v>
      </c>
      <c r="F32" s="2">
        <v>0.03</v>
      </c>
    </row>
    <row r="33" spans="1:7" x14ac:dyDescent="0.25">
      <c r="A33">
        <f>86.76</f>
        <v>86.76</v>
      </c>
      <c r="B33" s="2">
        <v>7.0000000000000007E-2</v>
      </c>
      <c r="E33">
        <f t="shared" si="3"/>
        <v>98.83</v>
      </c>
      <c r="F33" s="2">
        <v>0.04</v>
      </c>
    </row>
    <row r="34" spans="1:7" x14ac:dyDescent="0.25">
      <c r="A34">
        <f>86.76</f>
        <v>86.76</v>
      </c>
      <c r="B34" s="2">
        <v>0.08</v>
      </c>
      <c r="E34">
        <f>91.82</f>
        <v>91.82</v>
      </c>
      <c r="F34" s="2">
        <v>0.05</v>
      </c>
    </row>
    <row r="35" spans="1:7" x14ac:dyDescent="0.25">
      <c r="A35">
        <f>86.76</f>
        <v>86.76</v>
      </c>
      <c r="B35" s="2">
        <v>0.09</v>
      </c>
      <c r="E35">
        <f>91.82</f>
        <v>91.82</v>
      </c>
      <c r="F35" s="2">
        <v>0.06</v>
      </c>
    </row>
    <row r="36" spans="1:7" x14ac:dyDescent="0.25">
      <c r="A36">
        <f>86.76</f>
        <v>86.76</v>
      </c>
      <c r="B36" s="2">
        <v>0.1</v>
      </c>
      <c r="E36">
        <f>91.81</f>
        <v>91.81</v>
      </c>
      <c r="F36" s="2">
        <v>7.0000000000000007E-2</v>
      </c>
    </row>
    <row r="37" spans="1:7" x14ac:dyDescent="0.25">
      <c r="A37">
        <f>86.75</f>
        <v>86.75</v>
      </c>
      <c r="B37" s="2">
        <v>0.2</v>
      </c>
      <c r="E37">
        <f t="shared" ref="E37:E38" si="4">91.81</f>
        <v>91.81</v>
      </c>
      <c r="F37" s="2">
        <v>0.08</v>
      </c>
    </row>
    <row r="38" spans="1:7" x14ac:dyDescent="0.25">
      <c r="A38">
        <f>86.74</f>
        <v>86.74</v>
      </c>
      <c r="B38" s="2">
        <v>0.3</v>
      </c>
      <c r="E38">
        <f t="shared" si="4"/>
        <v>91.81</v>
      </c>
      <c r="F38" s="2">
        <v>0.09</v>
      </c>
    </row>
    <row r="39" spans="1:7" x14ac:dyDescent="0.25">
      <c r="A39">
        <f>86.73</f>
        <v>86.73</v>
      </c>
      <c r="B39" s="2">
        <v>0.4</v>
      </c>
      <c r="E39">
        <f>91.8</f>
        <v>91.8</v>
      </c>
      <c r="F39" s="2">
        <v>0.1</v>
      </c>
    </row>
    <row r="40" spans="1:7" x14ac:dyDescent="0.25">
      <c r="A40">
        <f>86.74</f>
        <v>86.74</v>
      </c>
      <c r="B40" s="2">
        <v>0.5</v>
      </c>
      <c r="E40">
        <f>91.72</f>
        <v>91.72</v>
      </c>
      <c r="F40" s="2">
        <v>0.2</v>
      </c>
    </row>
    <row r="41" spans="1:7" x14ac:dyDescent="0.25">
      <c r="E41">
        <f>91.54</f>
        <v>91.54</v>
      </c>
      <c r="F41" s="2">
        <v>0.3</v>
      </c>
    </row>
    <row r="42" spans="1:7" x14ac:dyDescent="0.25">
      <c r="E42">
        <f>91.16</f>
        <v>91.16</v>
      </c>
      <c r="F42" s="2">
        <v>0.4</v>
      </c>
    </row>
    <row r="43" spans="1:7" x14ac:dyDescent="0.25">
      <c r="E43">
        <f>91.02</f>
        <v>91.02</v>
      </c>
      <c r="F43" s="2">
        <v>0.5</v>
      </c>
    </row>
    <row r="45" spans="1:7" ht="15.75" x14ac:dyDescent="0.25">
      <c r="A45" s="11" t="s">
        <v>15</v>
      </c>
      <c r="B45" s="11"/>
      <c r="C45" s="11"/>
      <c r="D45" s="11"/>
      <c r="E45" s="11"/>
      <c r="F45" s="11"/>
      <c r="G45" s="11"/>
    </row>
    <row r="46" spans="1:7" x14ac:dyDescent="0.25">
      <c r="A46" s="12" t="s">
        <v>65</v>
      </c>
      <c r="B46" s="12"/>
      <c r="C46" s="12"/>
      <c r="D46" s="4"/>
      <c r="E46" s="12" t="s">
        <v>56</v>
      </c>
      <c r="F46" s="12"/>
      <c r="G46" s="12"/>
    </row>
    <row r="47" spans="1:7" x14ac:dyDescent="0.25">
      <c r="A47" s="3" t="s">
        <v>1</v>
      </c>
      <c r="B47" s="3" t="s">
        <v>0</v>
      </c>
      <c r="C47" s="3" t="s">
        <v>49</v>
      </c>
      <c r="E47" s="3" t="s">
        <v>1</v>
      </c>
      <c r="F47" s="3" t="s">
        <v>0</v>
      </c>
      <c r="G47" s="3" t="s">
        <v>57</v>
      </c>
    </row>
    <row r="48" spans="1:7" x14ac:dyDescent="0.25">
      <c r="A48" s="2">
        <f>74.18</f>
        <v>74.180000000000007</v>
      </c>
      <c r="B48" s="2">
        <v>0</v>
      </c>
      <c r="E48">
        <f>90.93</f>
        <v>90.93</v>
      </c>
      <c r="F48" s="2">
        <v>0</v>
      </c>
    </row>
    <row r="49" spans="1:6" x14ac:dyDescent="0.25">
      <c r="A49" s="2">
        <f>73.31</f>
        <v>73.31</v>
      </c>
      <c r="B49" s="6">
        <v>2.5000000000000001E-3</v>
      </c>
      <c r="E49">
        <f>90.94</f>
        <v>90.94</v>
      </c>
      <c r="F49" s="2">
        <v>0.01</v>
      </c>
    </row>
    <row r="50" spans="1:6" x14ac:dyDescent="0.25">
      <c r="A50" s="2">
        <f>73.33</f>
        <v>73.33</v>
      </c>
      <c r="B50" s="6">
        <v>5.0000000000000001E-3</v>
      </c>
      <c r="E50">
        <f t="shared" ref="E50:E51" si="5">90.94</f>
        <v>90.94</v>
      </c>
      <c r="F50" s="2">
        <v>0.02</v>
      </c>
    </row>
    <row r="51" spans="1:6" x14ac:dyDescent="0.25">
      <c r="A51" s="2">
        <f>73.33</f>
        <v>73.33</v>
      </c>
      <c r="B51" s="6">
        <v>7.4999999999999997E-3</v>
      </c>
      <c r="E51">
        <f t="shared" si="5"/>
        <v>90.94</v>
      </c>
      <c r="F51" s="2">
        <v>0.03</v>
      </c>
    </row>
    <row r="52" spans="1:6" x14ac:dyDescent="0.25">
      <c r="A52" s="2">
        <f>73.33</f>
        <v>73.33</v>
      </c>
      <c r="B52" s="2">
        <v>0.01</v>
      </c>
      <c r="E52">
        <f>90.93</f>
        <v>90.93</v>
      </c>
      <c r="F52" s="2">
        <v>0.04</v>
      </c>
    </row>
    <row r="53" spans="1:6" x14ac:dyDescent="0.25">
      <c r="A53" s="2">
        <f>73.33</f>
        <v>73.33</v>
      </c>
      <c r="B53" s="2">
        <v>0.02</v>
      </c>
      <c r="E53">
        <f>90.91</f>
        <v>90.91</v>
      </c>
      <c r="F53" s="2">
        <v>0.05</v>
      </c>
    </row>
    <row r="54" spans="1:6" x14ac:dyDescent="0.25">
      <c r="A54" s="2">
        <f>73.33</f>
        <v>73.33</v>
      </c>
      <c r="B54" s="2">
        <v>0.03</v>
      </c>
      <c r="E54">
        <f>90.9</f>
        <v>90.9</v>
      </c>
      <c r="F54" s="2">
        <v>0.06</v>
      </c>
    </row>
    <row r="55" spans="1:6" x14ac:dyDescent="0.25">
      <c r="A55" s="2">
        <f>73.34</f>
        <v>73.34</v>
      </c>
      <c r="B55" s="2">
        <v>0.04</v>
      </c>
      <c r="E55">
        <f>90.89</f>
        <v>90.89</v>
      </c>
      <c r="F55" s="2">
        <v>7.0000000000000007E-2</v>
      </c>
    </row>
    <row r="56" spans="1:6" x14ac:dyDescent="0.25">
      <c r="A56" s="2">
        <f>73.34</f>
        <v>73.34</v>
      </c>
      <c r="B56" s="2">
        <v>0.05</v>
      </c>
      <c r="E56">
        <f>90.88</f>
        <v>90.88</v>
      </c>
      <c r="F56" s="2">
        <v>0.08</v>
      </c>
    </row>
    <row r="57" spans="1:6" x14ac:dyDescent="0.25">
      <c r="A57" s="2">
        <f>73.32</f>
        <v>73.319999999999993</v>
      </c>
      <c r="B57" s="2">
        <v>0.06</v>
      </c>
      <c r="E57">
        <f>90.87</f>
        <v>90.87</v>
      </c>
      <c r="F57" s="2">
        <v>0.09</v>
      </c>
    </row>
    <row r="58" spans="1:6" x14ac:dyDescent="0.25">
      <c r="A58" s="2">
        <f>73.32</f>
        <v>73.319999999999993</v>
      </c>
      <c r="B58" s="2">
        <v>7.0000000000000007E-2</v>
      </c>
      <c r="E58">
        <f>90.82</f>
        <v>90.82</v>
      </c>
      <c r="F58" s="2">
        <v>0.1</v>
      </c>
    </row>
    <row r="59" spans="1:6" x14ac:dyDescent="0.25">
      <c r="A59" s="2">
        <f>73.32</f>
        <v>73.319999999999993</v>
      </c>
      <c r="B59" s="2">
        <v>0.08</v>
      </c>
      <c r="E59">
        <f>90.63</f>
        <v>90.63</v>
      </c>
      <c r="F59" s="2">
        <v>0.2</v>
      </c>
    </row>
    <row r="60" spans="1:6" x14ac:dyDescent="0.25">
      <c r="A60" s="2">
        <f>73.33</f>
        <v>73.33</v>
      </c>
      <c r="B60" s="2">
        <v>0.09</v>
      </c>
      <c r="E60">
        <f>90.38</f>
        <v>90.38</v>
      </c>
      <c r="F60" s="2">
        <v>0.3</v>
      </c>
    </row>
    <row r="61" spans="1:6" x14ac:dyDescent="0.25">
      <c r="A61" s="2">
        <f>73.33</f>
        <v>73.33</v>
      </c>
      <c r="B61" s="2">
        <v>0.1</v>
      </c>
      <c r="E61">
        <f>90.3</f>
        <v>90.3</v>
      </c>
      <c r="F61" s="2">
        <v>0.4</v>
      </c>
    </row>
    <row r="62" spans="1:6" x14ac:dyDescent="0.25">
      <c r="A62" s="2">
        <f>73.34</f>
        <v>73.34</v>
      </c>
      <c r="B62" s="2">
        <v>0.2</v>
      </c>
      <c r="E62">
        <f>90.22</f>
        <v>90.22</v>
      </c>
      <c r="F62" s="2">
        <v>0.5</v>
      </c>
    </row>
    <row r="63" spans="1:6" x14ac:dyDescent="0.25">
      <c r="A63" s="2">
        <f>73.29</f>
        <v>73.290000000000006</v>
      </c>
      <c r="B63" s="2">
        <v>0.3</v>
      </c>
    </row>
    <row r="64" spans="1:6" x14ac:dyDescent="0.25">
      <c r="A64" s="2">
        <f>73.26</f>
        <v>73.260000000000005</v>
      </c>
      <c r="B64" s="2">
        <v>0.4</v>
      </c>
    </row>
    <row r="65" spans="1:2" x14ac:dyDescent="0.25">
      <c r="A65" s="2">
        <f>73.25</f>
        <v>73.25</v>
      </c>
      <c r="B65" s="2">
        <v>0.5</v>
      </c>
    </row>
  </sheetData>
  <mergeCells count="10">
    <mergeCell ref="I2:K2"/>
    <mergeCell ref="A1:G1"/>
    <mergeCell ref="A45:G45"/>
    <mergeCell ref="A46:C46"/>
    <mergeCell ref="E46:G46"/>
    <mergeCell ref="A23:G23"/>
    <mergeCell ref="A24:C24"/>
    <mergeCell ref="E24:G24"/>
    <mergeCell ref="A2:C2"/>
    <mergeCell ref="E2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9264-4CD7-4986-94A3-1DEF854F93EC}">
  <dimension ref="A1:O56"/>
  <sheetViews>
    <sheetView topLeftCell="A19" workbookViewId="0">
      <selection activeCell="I17" sqref="I17"/>
    </sheetView>
  </sheetViews>
  <sheetFormatPr baseColWidth="10" defaultRowHeight="15" x14ac:dyDescent="0.25"/>
  <sheetData>
    <row r="1" spans="1:7" x14ac:dyDescent="0.25">
      <c r="A1" s="12" t="s">
        <v>63</v>
      </c>
      <c r="B1" s="12"/>
      <c r="C1" s="12"/>
      <c r="D1" s="4"/>
      <c r="E1" s="12" t="s">
        <v>52</v>
      </c>
      <c r="F1" s="12"/>
      <c r="G1" s="12"/>
    </row>
    <row r="2" spans="1:7" x14ac:dyDescent="0.25">
      <c r="A2" s="3" t="s">
        <v>1</v>
      </c>
      <c r="B2" s="3" t="s">
        <v>0</v>
      </c>
      <c r="C2" t="s">
        <v>49</v>
      </c>
      <c r="E2" s="3" t="s">
        <v>1</v>
      </c>
      <c r="F2" s="3" t="s">
        <v>0</v>
      </c>
      <c r="G2" t="s">
        <v>75</v>
      </c>
    </row>
    <row r="3" spans="1:7" x14ac:dyDescent="0.25">
      <c r="A3" s="2">
        <v>66.69</v>
      </c>
      <c r="B3" s="6">
        <v>0</v>
      </c>
      <c r="E3" s="2">
        <f>70.13</f>
        <v>70.13</v>
      </c>
      <c r="F3" s="6">
        <v>0</v>
      </c>
    </row>
    <row r="4" spans="1:7" x14ac:dyDescent="0.25">
      <c r="A4" s="2">
        <f>66.65</f>
        <v>66.650000000000006</v>
      </c>
      <c r="B4" s="6">
        <v>2.5000000000000001E-3</v>
      </c>
      <c r="E4" s="2">
        <f>70.16</f>
        <v>70.16</v>
      </c>
      <c r="F4" s="6">
        <v>2.5000000000000001E-3</v>
      </c>
    </row>
    <row r="5" spans="1:7" x14ac:dyDescent="0.25">
      <c r="A5" s="2">
        <f>66.6</f>
        <v>66.599999999999994</v>
      </c>
      <c r="B5" s="6">
        <v>5.0000000000000001E-3</v>
      </c>
      <c r="E5" s="2">
        <f>70.14</f>
        <v>70.14</v>
      </c>
      <c r="F5" s="6">
        <v>5.0000000000000001E-3</v>
      </c>
    </row>
    <row r="6" spans="1:7" x14ac:dyDescent="0.25">
      <c r="A6" s="2">
        <f>66.59</f>
        <v>66.59</v>
      </c>
      <c r="B6" s="6">
        <v>7.4999999999999997E-3</v>
      </c>
      <c r="E6" s="2">
        <f>70.16</f>
        <v>70.16</v>
      </c>
      <c r="F6" s="6">
        <v>7.4999999999999997E-3</v>
      </c>
    </row>
    <row r="7" spans="1:7" x14ac:dyDescent="0.25">
      <c r="A7" s="2">
        <f>66.57</f>
        <v>66.569999999999993</v>
      </c>
      <c r="B7" s="2">
        <v>0.01</v>
      </c>
      <c r="E7" s="2">
        <f>70.14</f>
        <v>70.14</v>
      </c>
      <c r="F7" s="2">
        <v>0.01</v>
      </c>
    </row>
    <row r="8" spans="1:7" x14ac:dyDescent="0.25">
      <c r="A8" s="2">
        <f>66.49</f>
        <v>66.489999999999995</v>
      </c>
      <c r="B8" s="2">
        <v>0.02</v>
      </c>
      <c r="E8" s="2">
        <f>70.03</f>
        <v>70.03</v>
      </c>
      <c r="F8" s="2">
        <v>0.04</v>
      </c>
    </row>
    <row r="9" spans="1:7" x14ac:dyDescent="0.25">
      <c r="A9" s="2">
        <f>66.35</f>
        <v>66.349999999999994</v>
      </c>
      <c r="B9" s="2">
        <v>0.03</v>
      </c>
      <c r="E9" s="2">
        <f>70.03</f>
        <v>70.03</v>
      </c>
      <c r="F9" s="2">
        <v>7.0000000000000007E-2</v>
      </c>
    </row>
    <row r="10" spans="1:7" x14ac:dyDescent="0.25">
      <c r="A10" s="2">
        <f>65.82</f>
        <v>65.819999999999993</v>
      </c>
      <c r="B10" s="2">
        <v>0.04</v>
      </c>
      <c r="E10" s="2">
        <f>70.02</f>
        <v>70.02</v>
      </c>
      <c r="F10" s="2">
        <v>0.1</v>
      </c>
    </row>
    <row r="11" spans="1:7" x14ac:dyDescent="0.25">
      <c r="A11" s="2">
        <f>65.11</f>
        <v>65.11</v>
      </c>
      <c r="B11" s="2">
        <v>0.05</v>
      </c>
      <c r="E11" s="2">
        <f>69.35</f>
        <v>69.349999999999994</v>
      </c>
      <c r="F11" s="2">
        <v>0.2</v>
      </c>
    </row>
    <row r="12" spans="1:7" x14ac:dyDescent="0.25">
      <c r="A12" s="2">
        <f>64.46</f>
        <v>64.459999999999994</v>
      </c>
      <c r="B12" s="2">
        <v>0.06</v>
      </c>
      <c r="E12" s="2">
        <f>68.69</f>
        <v>68.69</v>
      </c>
      <c r="F12" s="2">
        <v>0.3</v>
      </c>
    </row>
    <row r="13" spans="1:7" x14ac:dyDescent="0.25">
      <c r="A13" s="2">
        <f>63.36</f>
        <v>63.36</v>
      </c>
      <c r="B13" s="2">
        <v>7.0000000000000007E-2</v>
      </c>
      <c r="E13" s="2">
        <f>67.23</f>
        <v>67.23</v>
      </c>
      <c r="F13" s="2">
        <v>0.4</v>
      </c>
    </row>
    <row r="14" spans="1:7" x14ac:dyDescent="0.25">
      <c r="A14" s="2">
        <f>62.17</f>
        <v>62.17</v>
      </c>
      <c r="B14" s="2">
        <v>0.08</v>
      </c>
      <c r="E14" s="2">
        <f>65.62</f>
        <v>65.62</v>
      </c>
      <c r="F14" s="2">
        <v>0.5</v>
      </c>
    </row>
    <row r="15" spans="1:7" x14ac:dyDescent="0.25">
      <c r="A15" s="2">
        <f>61</f>
        <v>61</v>
      </c>
      <c r="B15" s="2">
        <v>0.09</v>
      </c>
      <c r="E15" s="2"/>
    </row>
    <row r="16" spans="1:7" x14ac:dyDescent="0.25">
      <c r="A16" s="2">
        <f>59.59</f>
        <v>59.59</v>
      </c>
      <c r="B16" s="2">
        <v>0.1</v>
      </c>
      <c r="E16" s="2"/>
      <c r="F16" s="9"/>
    </row>
    <row r="17" spans="1:11" x14ac:dyDescent="0.25">
      <c r="A17" s="2">
        <f>42.28</f>
        <v>42.28</v>
      </c>
      <c r="B17" s="2">
        <v>0.2</v>
      </c>
      <c r="E17" s="2"/>
    </row>
    <row r="18" spans="1:11" x14ac:dyDescent="0.25">
      <c r="A18" s="2">
        <f>24.99</f>
        <v>24.99</v>
      </c>
      <c r="B18" s="2">
        <v>0.3</v>
      </c>
    </row>
    <row r="19" spans="1:11" x14ac:dyDescent="0.25">
      <c r="A19" s="2">
        <f>13.02</f>
        <v>13.02</v>
      </c>
      <c r="B19" s="2">
        <v>0.4</v>
      </c>
    </row>
    <row r="20" spans="1:11" x14ac:dyDescent="0.25">
      <c r="A20" s="2">
        <f>5.8</f>
        <v>5.8</v>
      </c>
      <c r="B20" s="2">
        <v>0.5</v>
      </c>
    </row>
    <row r="22" spans="1:11" x14ac:dyDescent="0.25">
      <c r="A22" s="12" t="s">
        <v>73</v>
      </c>
      <c r="B22" s="12"/>
      <c r="C22" s="12"/>
      <c r="D22" s="4"/>
      <c r="E22" s="12" t="s">
        <v>74</v>
      </c>
      <c r="F22" s="12"/>
      <c r="G22" s="12"/>
      <c r="I22" s="12" t="s">
        <v>48</v>
      </c>
      <c r="J22" s="12"/>
      <c r="K22" s="12"/>
    </row>
    <row r="23" spans="1:11" x14ac:dyDescent="0.25">
      <c r="A23" s="3" t="s">
        <v>1</v>
      </c>
      <c r="B23" s="3" t="s">
        <v>0</v>
      </c>
      <c r="C23" t="s">
        <v>72</v>
      </c>
      <c r="E23" s="3" t="s">
        <v>1</v>
      </c>
      <c r="F23" s="3" t="s">
        <v>0</v>
      </c>
      <c r="G23" t="s">
        <v>54</v>
      </c>
      <c r="I23" s="3" t="s">
        <v>1</v>
      </c>
      <c r="J23" s="3" t="s">
        <v>0</v>
      </c>
      <c r="K23" t="s">
        <v>50</v>
      </c>
    </row>
    <row r="24" spans="1:11" x14ac:dyDescent="0.25">
      <c r="A24" s="2">
        <f>75.65</f>
        <v>75.650000000000006</v>
      </c>
      <c r="B24" s="6">
        <v>0</v>
      </c>
      <c r="E24" s="2">
        <f>95.24</f>
        <v>95.24</v>
      </c>
      <c r="F24" s="6">
        <v>0</v>
      </c>
      <c r="I24">
        <f>90.15</f>
        <v>90.15</v>
      </c>
      <c r="J24" s="6">
        <v>0</v>
      </c>
    </row>
    <row r="25" spans="1:11" x14ac:dyDescent="0.25">
      <c r="A25" s="2">
        <f>75.66</f>
        <v>75.66</v>
      </c>
      <c r="B25" s="6">
        <v>2.5000000000000001E-3</v>
      </c>
      <c r="E25" s="2">
        <f t="shared" ref="E25:E35" si="0">95.24</f>
        <v>95.24</v>
      </c>
      <c r="F25" s="6">
        <v>2.5000000000000001E-3</v>
      </c>
      <c r="I25">
        <f t="shared" ref="I25:I30" si="1">90.15</f>
        <v>90.15</v>
      </c>
      <c r="J25" s="6">
        <v>2.5000000000000001E-3</v>
      </c>
    </row>
    <row r="26" spans="1:11" x14ac:dyDescent="0.25">
      <c r="A26" s="2">
        <f>75.66</f>
        <v>75.66</v>
      </c>
      <c r="B26" s="6">
        <v>5.0000000000000001E-3</v>
      </c>
      <c r="E26" s="2">
        <f t="shared" si="0"/>
        <v>95.24</v>
      </c>
      <c r="F26" s="6">
        <v>5.0000000000000001E-3</v>
      </c>
      <c r="I26">
        <f t="shared" si="1"/>
        <v>90.15</v>
      </c>
      <c r="J26" s="6">
        <v>5.0000000000000001E-3</v>
      </c>
    </row>
    <row r="27" spans="1:11" x14ac:dyDescent="0.25">
      <c r="A27" s="2">
        <f t="shared" ref="A27:A28" si="2">75.66</f>
        <v>75.66</v>
      </c>
      <c r="B27" s="6">
        <v>7.4999999999999997E-3</v>
      </c>
      <c r="E27" s="2">
        <f t="shared" si="0"/>
        <v>95.24</v>
      </c>
      <c r="F27" s="6">
        <v>7.4999999999999997E-3</v>
      </c>
      <c r="I27">
        <f t="shared" si="1"/>
        <v>90.15</v>
      </c>
      <c r="J27" s="6">
        <v>7.4999999999999997E-3</v>
      </c>
    </row>
    <row r="28" spans="1:11" x14ac:dyDescent="0.25">
      <c r="A28" s="2">
        <f t="shared" si="2"/>
        <v>75.66</v>
      </c>
      <c r="B28" s="2">
        <v>0.01</v>
      </c>
      <c r="E28" s="2">
        <f t="shared" si="0"/>
        <v>95.24</v>
      </c>
      <c r="F28" s="2">
        <v>0.01</v>
      </c>
      <c r="I28">
        <f t="shared" si="1"/>
        <v>90.15</v>
      </c>
      <c r="J28" s="2">
        <v>0.01</v>
      </c>
    </row>
    <row r="29" spans="1:11" x14ac:dyDescent="0.25">
      <c r="A29" s="2">
        <f>75.7</f>
        <v>75.7</v>
      </c>
      <c r="B29" s="2">
        <v>0.04</v>
      </c>
      <c r="E29" s="2">
        <f t="shared" si="0"/>
        <v>95.24</v>
      </c>
      <c r="F29" s="2">
        <v>0.04</v>
      </c>
      <c r="I29">
        <f t="shared" si="1"/>
        <v>90.15</v>
      </c>
      <c r="J29" s="2">
        <v>0.04</v>
      </c>
    </row>
    <row r="30" spans="1:11" x14ac:dyDescent="0.25">
      <c r="A30" s="2">
        <f>75.72</f>
        <v>75.72</v>
      </c>
      <c r="B30" s="2">
        <v>7.0000000000000007E-2</v>
      </c>
      <c r="E30" s="2">
        <f t="shared" si="0"/>
        <v>95.24</v>
      </c>
      <c r="F30" s="2">
        <v>7.0000000000000007E-2</v>
      </c>
      <c r="I30">
        <f t="shared" si="1"/>
        <v>90.15</v>
      </c>
      <c r="J30" s="2">
        <v>7.0000000000000007E-2</v>
      </c>
    </row>
    <row r="31" spans="1:11" x14ac:dyDescent="0.25">
      <c r="A31" s="2">
        <f>75.73</f>
        <v>75.73</v>
      </c>
      <c r="B31" s="2">
        <v>0.1</v>
      </c>
      <c r="E31" s="2">
        <f t="shared" si="0"/>
        <v>95.24</v>
      </c>
      <c r="F31" s="2">
        <v>0.1</v>
      </c>
      <c r="I31">
        <f>90.14</f>
        <v>90.14</v>
      </c>
      <c r="J31" s="2">
        <v>0.1</v>
      </c>
    </row>
    <row r="32" spans="1:11" x14ac:dyDescent="0.25">
      <c r="A32" s="2">
        <f>75.7</f>
        <v>75.7</v>
      </c>
      <c r="B32" s="2">
        <v>0.2</v>
      </c>
      <c r="E32" s="2">
        <f t="shared" si="0"/>
        <v>95.24</v>
      </c>
      <c r="F32" s="2">
        <v>0.2</v>
      </c>
      <c r="I32">
        <f>90.13</f>
        <v>90.13</v>
      </c>
      <c r="J32" s="2">
        <v>0.2</v>
      </c>
    </row>
    <row r="33" spans="1:15" x14ac:dyDescent="0.25">
      <c r="A33" s="2">
        <f>75.73</f>
        <v>75.73</v>
      </c>
      <c r="B33" s="2">
        <v>0.3</v>
      </c>
      <c r="E33" s="2">
        <f t="shared" si="0"/>
        <v>95.24</v>
      </c>
      <c r="F33" s="2">
        <v>0.3</v>
      </c>
      <c r="I33">
        <f>90.12</f>
        <v>90.12</v>
      </c>
      <c r="J33" s="2">
        <v>0.3</v>
      </c>
    </row>
    <row r="34" spans="1:15" x14ac:dyDescent="0.25">
      <c r="A34" s="2">
        <f>75.74</f>
        <v>75.739999999999995</v>
      </c>
      <c r="B34" s="2">
        <v>0.4</v>
      </c>
      <c r="E34" s="2">
        <f t="shared" si="0"/>
        <v>95.24</v>
      </c>
      <c r="F34" s="2">
        <v>0.4</v>
      </c>
      <c r="I34">
        <f>90.11</f>
        <v>90.11</v>
      </c>
      <c r="J34" s="2">
        <v>0.4</v>
      </c>
    </row>
    <row r="35" spans="1:15" x14ac:dyDescent="0.25">
      <c r="A35" s="2">
        <f>75.73</f>
        <v>75.73</v>
      </c>
      <c r="B35" s="2">
        <v>0.5</v>
      </c>
      <c r="E35" s="2">
        <f t="shared" si="0"/>
        <v>95.24</v>
      </c>
      <c r="F35" s="2">
        <v>0.5</v>
      </c>
      <c r="I35">
        <f>90.11</f>
        <v>90.11</v>
      </c>
      <c r="J35" s="2">
        <v>0.5</v>
      </c>
    </row>
    <row r="37" spans="1:15" x14ac:dyDescent="0.25">
      <c r="A37" s="12" t="s">
        <v>64</v>
      </c>
      <c r="B37" s="12"/>
      <c r="C37" s="12"/>
      <c r="E37" s="12" t="s">
        <v>70</v>
      </c>
      <c r="F37" s="12"/>
      <c r="G37" s="12"/>
      <c r="I37" s="12" t="s">
        <v>76</v>
      </c>
      <c r="J37" s="12"/>
      <c r="K37" s="12"/>
      <c r="M37" s="12" t="s">
        <v>77</v>
      </c>
      <c r="N37" s="12"/>
      <c r="O37" s="12"/>
    </row>
    <row r="38" spans="1:15" x14ac:dyDescent="0.25">
      <c r="A38" s="3" t="s">
        <v>1</v>
      </c>
      <c r="B38" s="3" t="s">
        <v>0</v>
      </c>
      <c r="C38" s="3" t="s">
        <v>71</v>
      </c>
      <c r="E38" s="3" t="s">
        <v>1</v>
      </c>
      <c r="F38" s="3" t="s">
        <v>0</v>
      </c>
      <c r="G38" s="3" t="s">
        <v>71</v>
      </c>
      <c r="I38" s="3" t="s">
        <v>1</v>
      </c>
      <c r="J38" s="3" t="s">
        <v>0</v>
      </c>
      <c r="K38" s="3" t="s">
        <v>71</v>
      </c>
      <c r="M38" s="3" t="s">
        <v>1</v>
      </c>
      <c r="N38" s="3" t="s">
        <v>0</v>
      </c>
      <c r="O38" s="3" t="s">
        <v>71</v>
      </c>
    </row>
    <row r="39" spans="1:15" x14ac:dyDescent="0.25">
      <c r="A39" s="2">
        <v>87.48</v>
      </c>
      <c r="B39" s="6">
        <v>0</v>
      </c>
      <c r="E39" s="2">
        <f>93.38</f>
        <v>93.38</v>
      </c>
      <c r="F39" s="6">
        <v>0</v>
      </c>
      <c r="H39">
        <v>66.69</v>
      </c>
      <c r="I39" s="2">
        <f>74.25</f>
        <v>74.25</v>
      </c>
      <c r="J39" s="6">
        <v>0</v>
      </c>
      <c r="M39" s="2">
        <f>66.65</f>
        <v>66.650000000000006</v>
      </c>
      <c r="N39" s="6">
        <v>0</v>
      </c>
    </row>
    <row r="40" spans="1:15" x14ac:dyDescent="0.25">
      <c r="A40" s="2">
        <f>84.28</f>
        <v>84.28</v>
      </c>
      <c r="B40" s="6">
        <v>2.5000000000000001E-3</v>
      </c>
      <c r="E40" s="2">
        <f t="shared" ref="E40:E42" si="3">93.38</f>
        <v>93.38</v>
      </c>
      <c r="F40" s="6">
        <v>2.5000000000000001E-3</v>
      </c>
      <c r="I40" s="2">
        <f>74.69</f>
        <v>74.69</v>
      </c>
      <c r="J40" s="6">
        <v>2.5000000000000001E-3</v>
      </c>
      <c r="M40" s="2">
        <f>66.97</f>
        <v>66.97</v>
      </c>
      <c r="N40" s="6">
        <v>2.5000000000000001E-3</v>
      </c>
    </row>
    <row r="41" spans="1:15" x14ac:dyDescent="0.25">
      <c r="A41" s="2">
        <f>84.27</f>
        <v>84.27</v>
      </c>
      <c r="B41" s="6">
        <v>5.0000000000000001E-3</v>
      </c>
      <c r="E41" s="2">
        <f t="shared" si="3"/>
        <v>93.38</v>
      </c>
      <c r="F41" s="6">
        <v>5.0000000000000001E-3</v>
      </c>
      <c r="I41" s="2">
        <f>74.67</f>
        <v>74.67</v>
      </c>
      <c r="J41" s="6">
        <v>5.0000000000000001E-3</v>
      </c>
      <c r="M41" s="2">
        <f>67.17</f>
        <v>67.17</v>
      </c>
      <c r="N41" s="6">
        <v>5.0000000000000001E-3</v>
      </c>
    </row>
    <row r="42" spans="1:15" x14ac:dyDescent="0.25">
      <c r="A42" s="2">
        <f>84.23</f>
        <v>84.23</v>
      </c>
      <c r="B42" s="6">
        <v>7.4999999999999997E-3</v>
      </c>
      <c r="E42" s="2">
        <f t="shared" si="3"/>
        <v>93.38</v>
      </c>
      <c r="F42" s="6">
        <v>7.4999999999999997E-3</v>
      </c>
      <c r="I42" s="2">
        <f>74.53</f>
        <v>74.53</v>
      </c>
      <c r="J42" s="6">
        <v>7.4999999999999997E-3</v>
      </c>
      <c r="M42" s="2">
        <f>67.42</f>
        <v>67.42</v>
      </c>
      <c r="N42" s="6">
        <v>7.4999999999999997E-3</v>
      </c>
    </row>
    <row r="43" spans="1:15" x14ac:dyDescent="0.25">
      <c r="A43" s="2">
        <f>84.18</f>
        <v>84.18</v>
      </c>
      <c r="B43" s="2">
        <v>0.01</v>
      </c>
      <c r="E43" s="2">
        <f>93.37</f>
        <v>93.37</v>
      </c>
      <c r="F43" s="2">
        <v>0.01</v>
      </c>
      <c r="I43" s="2">
        <f>74.31</f>
        <v>74.31</v>
      </c>
      <c r="J43" s="2">
        <v>0.01</v>
      </c>
      <c r="M43" s="2">
        <f>67.5</f>
        <v>67.5</v>
      </c>
      <c r="N43" s="2">
        <v>0.01</v>
      </c>
    </row>
    <row r="44" spans="1:15" x14ac:dyDescent="0.25">
      <c r="A44" s="2">
        <f>84.05</f>
        <v>84.05</v>
      </c>
      <c r="B44" s="2">
        <v>0.02</v>
      </c>
      <c r="E44" s="2">
        <f>93.39</f>
        <v>93.39</v>
      </c>
      <c r="F44" s="2">
        <v>0.04</v>
      </c>
      <c r="I44" s="2">
        <f>67.44</f>
        <v>67.44</v>
      </c>
      <c r="J44" s="2">
        <v>0.04</v>
      </c>
      <c r="M44" s="2">
        <f>67.6</f>
        <v>67.599999999999994</v>
      </c>
      <c r="N44" s="2">
        <v>0.04</v>
      </c>
    </row>
    <row r="45" spans="1:15" x14ac:dyDescent="0.25">
      <c r="A45" s="2">
        <f>83.74</f>
        <v>83.74</v>
      </c>
      <c r="B45" s="2">
        <v>0.03</v>
      </c>
      <c r="E45" s="2">
        <f>93.39</f>
        <v>93.39</v>
      </c>
      <c r="F45" s="2">
        <v>7.0000000000000007E-2</v>
      </c>
      <c r="I45" s="2">
        <f>55.68</f>
        <v>55.68</v>
      </c>
      <c r="J45" s="2">
        <v>7.0000000000000007E-2</v>
      </c>
      <c r="M45" s="2">
        <f>64.18</f>
        <v>64.180000000000007</v>
      </c>
      <c r="N45" s="2">
        <v>7.0000000000000007E-2</v>
      </c>
    </row>
    <row r="46" spans="1:15" x14ac:dyDescent="0.25">
      <c r="A46" s="2">
        <f>83.46</f>
        <v>83.46</v>
      </c>
      <c r="B46" s="2">
        <v>0.04</v>
      </c>
      <c r="E46" s="2">
        <f>93.37</f>
        <v>93.37</v>
      </c>
      <c r="F46" s="2">
        <v>0.1</v>
      </c>
      <c r="I46" s="2">
        <f>42.95</f>
        <v>42.95</v>
      </c>
      <c r="J46" s="2">
        <v>0.1</v>
      </c>
      <c r="M46" s="2">
        <f>57.76</f>
        <v>57.76</v>
      </c>
      <c r="N46" s="2">
        <v>0.1</v>
      </c>
    </row>
    <row r="47" spans="1:15" x14ac:dyDescent="0.25">
      <c r="A47" s="2">
        <f>83.29</f>
        <v>83.29</v>
      </c>
      <c r="B47" s="2">
        <v>0.05</v>
      </c>
      <c r="D47" s="2"/>
      <c r="E47" s="2">
        <v>93.19</v>
      </c>
      <c r="F47" s="2">
        <v>0.2</v>
      </c>
      <c r="I47" s="2">
        <f>14.37</f>
        <v>14.37</v>
      </c>
      <c r="J47" s="2">
        <v>0.2</v>
      </c>
      <c r="M47" s="2">
        <f>35.68</f>
        <v>35.68</v>
      </c>
      <c r="N47" s="2">
        <v>0.2</v>
      </c>
    </row>
    <row r="48" spans="1:15" x14ac:dyDescent="0.25">
      <c r="A48" s="2">
        <f>83.06</f>
        <v>83.06</v>
      </c>
      <c r="B48" s="2">
        <v>0.06</v>
      </c>
      <c r="D48" s="2"/>
      <c r="E48" s="2">
        <f>92.98</f>
        <v>92.98</v>
      </c>
      <c r="F48" s="2">
        <v>0.3</v>
      </c>
      <c r="I48" s="2">
        <f>5.61</f>
        <v>5.61</v>
      </c>
      <c r="J48" s="2">
        <v>0.3</v>
      </c>
      <c r="M48" s="2">
        <f>21.13</f>
        <v>21.13</v>
      </c>
      <c r="N48" s="2">
        <v>0.3</v>
      </c>
    </row>
    <row r="49" spans="1:14" x14ac:dyDescent="0.25">
      <c r="A49" s="2">
        <f>82.86</f>
        <v>82.86</v>
      </c>
      <c r="B49" s="2">
        <v>7.0000000000000007E-2</v>
      </c>
      <c r="D49" s="2"/>
      <c r="E49" s="2">
        <f>92.74</f>
        <v>92.74</v>
      </c>
      <c r="F49" s="2">
        <v>0.4</v>
      </c>
      <c r="I49" s="2">
        <f>2.87</f>
        <v>2.87</v>
      </c>
      <c r="J49" s="2">
        <v>0.4</v>
      </c>
      <c r="M49" s="2">
        <f>12.81</f>
        <v>12.81</v>
      </c>
      <c r="N49" s="2">
        <v>0.4</v>
      </c>
    </row>
    <row r="50" spans="1:14" x14ac:dyDescent="0.25">
      <c r="A50" s="2">
        <f>82.52</f>
        <v>82.52</v>
      </c>
      <c r="B50" s="2">
        <v>0.08</v>
      </c>
      <c r="D50" s="2"/>
      <c r="E50" s="2">
        <f>91.97</f>
        <v>91.97</v>
      </c>
      <c r="F50" s="2">
        <v>0.5</v>
      </c>
      <c r="I50" s="2">
        <f>1.94</f>
        <v>1.94</v>
      </c>
      <c r="J50" s="2">
        <v>0.5</v>
      </c>
      <c r="M50" s="2">
        <f>8.98</f>
        <v>8.98</v>
      </c>
      <c r="N50" s="2">
        <v>0.5</v>
      </c>
    </row>
    <row r="51" spans="1:14" x14ac:dyDescent="0.25">
      <c r="A51" s="2">
        <f>82.16</f>
        <v>82.16</v>
      </c>
      <c r="B51" s="2">
        <v>0.09</v>
      </c>
      <c r="E51" s="2"/>
      <c r="F51" s="2"/>
    </row>
    <row r="52" spans="1:14" x14ac:dyDescent="0.25">
      <c r="A52" s="2">
        <f>81.54</f>
        <v>81.540000000000006</v>
      </c>
      <c r="B52" s="2">
        <v>0.1</v>
      </c>
      <c r="E52" s="2"/>
      <c r="F52" s="2"/>
    </row>
    <row r="53" spans="1:14" x14ac:dyDescent="0.25">
      <c r="A53" s="2">
        <f>76.47</f>
        <v>76.47</v>
      </c>
      <c r="B53" s="2">
        <v>0.2</v>
      </c>
      <c r="E53" s="2"/>
      <c r="F53" s="2"/>
    </row>
    <row r="54" spans="1:14" x14ac:dyDescent="0.25">
      <c r="A54" s="2">
        <f>69.18</f>
        <v>69.180000000000007</v>
      </c>
      <c r="B54" s="2">
        <v>0.3</v>
      </c>
      <c r="E54" s="2"/>
      <c r="F54" s="2"/>
    </row>
    <row r="55" spans="1:14" x14ac:dyDescent="0.25">
      <c r="A55" s="2">
        <f>60.18</f>
        <v>60.18</v>
      </c>
      <c r="B55" s="2">
        <v>0.4</v>
      </c>
      <c r="E55" s="2"/>
      <c r="F55" s="2"/>
    </row>
    <row r="56" spans="1:14" x14ac:dyDescent="0.25">
      <c r="A56" s="2">
        <f>50.92</f>
        <v>50.92</v>
      </c>
      <c r="B56" s="2">
        <v>0.5</v>
      </c>
      <c r="E56" s="2"/>
      <c r="F56" s="2"/>
    </row>
  </sheetData>
  <mergeCells count="9">
    <mergeCell ref="M37:O37"/>
    <mergeCell ref="A1:C1"/>
    <mergeCell ref="A37:C37"/>
    <mergeCell ref="A22:C22"/>
    <mergeCell ref="E1:G1"/>
    <mergeCell ref="E22:G22"/>
    <mergeCell ref="I22:K22"/>
    <mergeCell ref="E37:G37"/>
    <mergeCell ref="I37:K3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FD27-2957-4E5E-9083-A23CA00D16E3}">
  <dimension ref="A1:K75"/>
  <sheetViews>
    <sheetView topLeftCell="E39" zoomScaleNormal="100" workbookViewId="0">
      <selection activeCell="E23" sqref="E23"/>
    </sheetView>
  </sheetViews>
  <sheetFormatPr baseColWidth="10" defaultRowHeight="15" x14ac:dyDescent="0.25"/>
  <cols>
    <col min="3" max="3" width="13.42578125" bestFit="1" customWidth="1"/>
    <col min="7" max="7" width="13.42578125" bestFit="1" customWidth="1"/>
    <col min="11" max="11" width="13.42578125" bestFit="1" customWidth="1"/>
  </cols>
  <sheetData>
    <row r="1" spans="1:11" ht="15.75" x14ac:dyDescent="0.25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2" t="s">
        <v>6</v>
      </c>
      <c r="B2" s="12"/>
      <c r="C2" s="12"/>
      <c r="D2" s="4"/>
      <c r="E2" s="12" t="s">
        <v>7</v>
      </c>
      <c r="F2" s="12"/>
      <c r="G2" s="12"/>
      <c r="H2" s="4"/>
      <c r="I2" s="12" t="s">
        <v>8</v>
      </c>
      <c r="J2" s="12"/>
      <c r="K2" s="12"/>
    </row>
    <row r="3" spans="1:11" x14ac:dyDescent="0.25">
      <c r="A3" s="3" t="s">
        <v>1</v>
      </c>
      <c r="B3" s="3" t="s">
        <v>9</v>
      </c>
      <c r="C3" s="3" t="s">
        <v>2</v>
      </c>
      <c r="D3" s="3"/>
      <c r="E3" s="3" t="s">
        <v>1</v>
      </c>
      <c r="F3" s="3" t="s">
        <v>9</v>
      </c>
      <c r="G3" s="3" t="s">
        <v>2</v>
      </c>
      <c r="H3" s="3"/>
      <c r="I3" s="3" t="s">
        <v>1</v>
      </c>
      <c r="J3" s="3" t="s">
        <v>9</v>
      </c>
      <c r="K3" s="3" t="s">
        <v>2</v>
      </c>
    </row>
    <row r="4" spans="1:11" x14ac:dyDescent="0.25">
      <c r="A4" s="2">
        <v>96.6</v>
      </c>
      <c r="B4" s="5" t="s">
        <v>44</v>
      </c>
      <c r="E4" s="2">
        <f>83.3</f>
        <v>83.3</v>
      </c>
      <c r="F4" s="5" t="s">
        <v>44</v>
      </c>
      <c r="I4" s="2">
        <f>66.69</f>
        <v>66.69</v>
      </c>
      <c r="J4" s="5" t="s">
        <v>44</v>
      </c>
    </row>
    <row r="5" spans="1:11" x14ac:dyDescent="0.25">
      <c r="A5" s="2">
        <f t="shared" ref="A5:A16" si="0">C5/5</f>
        <v>0</v>
      </c>
      <c r="B5" s="8">
        <f>31-19</f>
        <v>12</v>
      </c>
      <c r="E5" s="2">
        <f t="shared" ref="E5:E16" si="1">G5/5</f>
        <v>82.373999999999995</v>
      </c>
      <c r="F5" s="8">
        <f>31-19</f>
        <v>12</v>
      </c>
      <c r="G5">
        <f>82.44+83.49+84.34+79.09+82.51</f>
        <v>411.87</v>
      </c>
      <c r="I5" s="2">
        <f t="shared" ref="I5:I16" si="2">K5/5</f>
        <v>60.179999999999993</v>
      </c>
      <c r="J5" s="8">
        <f>31-19</f>
        <v>12</v>
      </c>
      <c r="K5">
        <f>50.21+67.35+64.15+59.67+59.52</f>
        <v>300.89999999999998</v>
      </c>
    </row>
    <row r="6" spans="1:11" x14ac:dyDescent="0.25">
      <c r="A6" s="2">
        <f t="shared" si="0"/>
        <v>0</v>
      </c>
      <c r="B6" s="8">
        <f>31-20</f>
        <v>11</v>
      </c>
      <c r="E6" s="2">
        <f t="shared" si="1"/>
        <v>77.087999999999994</v>
      </c>
      <c r="F6" s="8">
        <f>31-20</f>
        <v>11</v>
      </c>
      <c r="G6">
        <f>76.28+77.49+78.68+74.58+78.41</f>
        <v>385.43999999999994</v>
      </c>
      <c r="I6" s="2">
        <f t="shared" si="2"/>
        <v>47.646000000000001</v>
      </c>
      <c r="J6" s="8">
        <f>31-20</f>
        <v>11</v>
      </c>
      <c r="K6">
        <f>40.37+52.44+51.72+48.1+45.6</f>
        <v>238.23</v>
      </c>
    </row>
    <row r="7" spans="1:11" x14ac:dyDescent="0.25">
      <c r="A7" s="2">
        <f t="shared" si="0"/>
        <v>0</v>
      </c>
      <c r="B7" s="8">
        <f>31-21</f>
        <v>10</v>
      </c>
      <c r="E7" s="2">
        <f t="shared" si="1"/>
        <v>51.205999999999996</v>
      </c>
      <c r="F7" s="8">
        <f>31-21</f>
        <v>10</v>
      </c>
      <c r="G7">
        <f>52.45+49.09+53.05+50.57+50.87</f>
        <v>256.02999999999997</v>
      </c>
      <c r="I7" s="2">
        <f t="shared" si="2"/>
        <v>15.244</v>
      </c>
      <c r="J7" s="8">
        <f>31-21</f>
        <v>10</v>
      </c>
      <c r="K7">
        <f>13.02+16.41+16.13+16.34+14.32</f>
        <v>76.22</v>
      </c>
    </row>
    <row r="8" spans="1:11" x14ac:dyDescent="0.25">
      <c r="A8" s="2">
        <f t="shared" si="0"/>
        <v>0</v>
      </c>
      <c r="B8" s="8">
        <f>31-22</f>
        <v>9</v>
      </c>
      <c r="E8" s="2">
        <f t="shared" si="1"/>
        <v>11.294</v>
      </c>
      <c r="F8" s="8">
        <f>31-22</f>
        <v>9</v>
      </c>
      <c r="G8">
        <f>12.53+10.53+12.94+10.47+10</f>
        <v>56.47</v>
      </c>
      <c r="I8" s="2">
        <f t="shared" si="2"/>
        <v>1.3119999999999998</v>
      </c>
      <c r="J8" s="8">
        <f>31-22</f>
        <v>9</v>
      </c>
      <c r="K8">
        <f>1.03+1.34+1.19+1.53+1.47</f>
        <v>6.56</v>
      </c>
    </row>
    <row r="9" spans="1:11" x14ac:dyDescent="0.25">
      <c r="A9" s="2">
        <f t="shared" si="0"/>
        <v>0</v>
      </c>
      <c r="B9" s="8">
        <f>31-23</f>
        <v>8</v>
      </c>
      <c r="E9" s="2">
        <f t="shared" si="1"/>
        <v>10.196000000000002</v>
      </c>
      <c r="F9" s="8">
        <f>31-23</f>
        <v>8</v>
      </c>
      <c r="G9">
        <f>10.43+10.13+10.33+10.09+10</f>
        <v>50.980000000000004</v>
      </c>
      <c r="I9" s="2">
        <f t="shared" si="2"/>
        <v>0.87199999999999989</v>
      </c>
      <c r="J9" s="8">
        <f>31-23</f>
        <v>8</v>
      </c>
      <c r="K9">
        <f>0.56+0.98+0.82+1.04+0.96</f>
        <v>4.3599999999999994</v>
      </c>
    </row>
    <row r="10" spans="1:11" x14ac:dyDescent="0.25">
      <c r="A10" s="2">
        <f t="shared" si="0"/>
        <v>0</v>
      </c>
      <c r="B10" s="8">
        <f>31-24</f>
        <v>7</v>
      </c>
      <c r="E10" s="2">
        <f t="shared" si="1"/>
        <v>10.087999999999999</v>
      </c>
      <c r="F10" s="8">
        <f>31-24</f>
        <v>7</v>
      </c>
      <c r="G10">
        <f>10.08+10.19+10.11+10.06+10</f>
        <v>50.44</v>
      </c>
      <c r="I10" s="2">
        <f t="shared" si="2"/>
        <v>0.39399999999999996</v>
      </c>
      <c r="J10" s="8">
        <f>31-24</f>
        <v>7</v>
      </c>
      <c r="K10">
        <f>0.35+0.43+0.39+0.4+0.4</f>
        <v>1.9699999999999998</v>
      </c>
    </row>
    <row r="11" spans="1:11" x14ac:dyDescent="0.25">
      <c r="A11" s="2">
        <f t="shared" si="0"/>
        <v>0</v>
      </c>
      <c r="B11" s="8">
        <f>31-25</f>
        <v>6</v>
      </c>
      <c r="E11" s="2">
        <f t="shared" si="1"/>
        <v>9.92</v>
      </c>
      <c r="F11" s="8">
        <f>31-25</f>
        <v>6</v>
      </c>
      <c r="G11">
        <f>10.28+9.71+9.59+9.94+10.08</f>
        <v>49.6</v>
      </c>
      <c r="I11" s="2">
        <f t="shared" si="2"/>
        <v>0.67</v>
      </c>
      <c r="J11" s="8">
        <f>31-25</f>
        <v>6</v>
      </c>
      <c r="K11">
        <f>0.14+0.91+0.66+0.7+0.94</f>
        <v>3.35</v>
      </c>
    </row>
    <row r="12" spans="1:11" x14ac:dyDescent="0.25">
      <c r="A12" s="2">
        <f t="shared" si="0"/>
        <v>0</v>
      </c>
      <c r="B12" s="8">
        <f>31-26</f>
        <v>5</v>
      </c>
      <c r="E12" s="2">
        <f t="shared" si="1"/>
        <v>7.1879999999999997</v>
      </c>
      <c r="F12" s="8">
        <f>31-26</f>
        <v>5</v>
      </c>
      <c r="G12">
        <f>6.89+7.4+7.52+7.84+6.29</f>
        <v>35.94</v>
      </c>
      <c r="I12" s="2">
        <f t="shared" si="2"/>
        <v>0.52</v>
      </c>
      <c r="J12" s="8">
        <f>31-26</f>
        <v>5</v>
      </c>
      <c r="K12">
        <f>0.66+0.45+0.74+0.54+0.21</f>
        <v>2.6</v>
      </c>
    </row>
    <row r="13" spans="1:11" x14ac:dyDescent="0.25">
      <c r="A13" s="2">
        <f t="shared" si="0"/>
        <v>0</v>
      </c>
      <c r="B13" s="8">
        <f>31-27</f>
        <v>4</v>
      </c>
      <c r="E13" s="2">
        <f t="shared" si="1"/>
        <v>10</v>
      </c>
      <c r="F13" s="8">
        <f>31-27</f>
        <v>4</v>
      </c>
      <c r="G13">
        <f>10+10+10+10+10</f>
        <v>50</v>
      </c>
      <c r="I13" s="2">
        <f t="shared" si="2"/>
        <v>0.99399999999999999</v>
      </c>
      <c r="J13" s="8">
        <f>31-27</f>
        <v>4</v>
      </c>
      <c r="K13">
        <f>1+0.97+1+1+1</f>
        <v>4.97</v>
      </c>
    </row>
    <row r="14" spans="1:11" x14ac:dyDescent="0.25">
      <c r="A14" s="2">
        <f t="shared" si="0"/>
        <v>0</v>
      </c>
      <c r="B14" s="8">
        <f>31-28</f>
        <v>3</v>
      </c>
      <c r="E14" s="2">
        <f t="shared" si="1"/>
        <v>10</v>
      </c>
      <c r="F14" s="8">
        <f>31-28</f>
        <v>3</v>
      </c>
      <c r="G14">
        <f>10+10+10+10+10</f>
        <v>50</v>
      </c>
      <c r="I14" s="2">
        <f t="shared" si="2"/>
        <v>1</v>
      </c>
      <c r="J14" s="8">
        <f>31-28</f>
        <v>3</v>
      </c>
      <c r="K14">
        <f>1+1+1+1+1</f>
        <v>5</v>
      </c>
    </row>
    <row r="15" spans="1:11" x14ac:dyDescent="0.25">
      <c r="A15" s="2">
        <f t="shared" si="0"/>
        <v>0</v>
      </c>
      <c r="B15" s="8">
        <f>31-29</f>
        <v>2</v>
      </c>
      <c r="E15" s="2">
        <f t="shared" si="1"/>
        <v>10.004000000000001</v>
      </c>
      <c r="F15" s="8">
        <f>31-29</f>
        <v>2</v>
      </c>
      <c r="G15">
        <f>9.99+9.99+10.01+10.03+10</f>
        <v>50.02</v>
      </c>
      <c r="I15" s="2">
        <f t="shared" si="2"/>
        <v>1</v>
      </c>
      <c r="J15" s="8">
        <f>31-29</f>
        <v>2</v>
      </c>
      <c r="K15">
        <f>1+1+1+1+1</f>
        <v>5</v>
      </c>
    </row>
    <row r="16" spans="1:11" x14ac:dyDescent="0.25">
      <c r="A16" s="2">
        <f t="shared" si="0"/>
        <v>0</v>
      </c>
      <c r="B16" s="8">
        <f>31-30</f>
        <v>1</v>
      </c>
      <c r="E16" s="2">
        <f t="shared" si="1"/>
        <v>9.0139999999999993</v>
      </c>
      <c r="F16" s="8">
        <f>31-30</f>
        <v>1</v>
      </c>
      <c r="G16">
        <f>8.28+6.79+10+10+10</f>
        <v>45.07</v>
      </c>
      <c r="I16" s="2">
        <f t="shared" si="2"/>
        <v>0.97799999999999998</v>
      </c>
      <c r="J16" s="8">
        <f>31-30</f>
        <v>1</v>
      </c>
      <c r="K16">
        <f>1.14+1+1+1+0.75</f>
        <v>4.8899999999999997</v>
      </c>
    </row>
    <row r="17" spans="1:11" x14ac:dyDescent="0.25">
      <c r="A17" s="2"/>
      <c r="B17" s="2"/>
      <c r="E17" s="2"/>
      <c r="F17" s="2"/>
      <c r="I17" s="2"/>
      <c r="J17" s="2"/>
    </row>
    <row r="18" spans="1:11" ht="14.25" customHeight="1" x14ac:dyDescent="0.25">
      <c r="B18" s="2"/>
    </row>
    <row r="19" spans="1:11" ht="15.75" x14ac:dyDescent="0.25">
      <c r="A19" s="11" t="s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2" t="s">
        <v>40</v>
      </c>
      <c r="B20" s="12"/>
      <c r="C20" s="12"/>
      <c r="D20" s="4"/>
      <c r="E20" s="12" t="s">
        <v>41</v>
      </c>
      <c r="F20" s="12"/>
      <c r="G20" s="12"/>
      <c r="H20" s="4"/>
      <c r="I20" s="12" t="s">
        <v>42</v>
      </c>
      <c r="J20" s="12"/>
      <c r="K20" s="12"/>
    </row>
    <row r="21" spans="1:11" x14ac:dyDescent="0.25">
      <c r="A21" s="3" t="s">
        <v>1</v>
      </c>
      <c r="B21" s="3" t="s">
        <v>43</v>
      </c>
      <c r="C21" s="3" t="s">
        <v>2</v>
      </c>
      <c r="D21" s="3"/>
      <c r="E21" s="3" t="s">
        <v>1</v>
      </c>
      <c r="F21" s="3" t="s">
        <v>43</v>
      </c>
      <c r="G21" s="3" t="s">
        <v>2</v>
      </c>
      <c r="H21" s="3"/>
      <c r="I21" s="3" t="s">
        <v>1</v>
      </c>
      <c r="J21" s="3" t="s">
        <v>43</v>
      </c>
      <c r="K21" s="3" t="s">
        <v>2</v>
      </c>
    </row>
    <row r="22" spans="1:11" x14ac:dyDescent="0.25">
      <c r="A22" s="2">
        <v>97</v>
      </c>
      <c r="B22" s="5" t="s">
        <v>44</v>
      </c>
      <c r="E22" s="2">
        <f>86.82</f>
        <v>86.82</v>
      </c>
      <c r="F22" s="5" t="s">
        <v>44</v>
      </c>
      <c r="I22" s="2">
        <v>74.13</v>
      </c>
      <c r="J22" s="5" t="s">
        <v>44</v>
      </c>
    </row>
    <row r="23" spans="1:11" x14ac:dyDescent="0.25">
      <c r="A23" s="2">
        <f t="shared" ref="A23:A34" si="3">C23/5</f>
        <v>94.72999999999999</v>
      </c>
      <c r="B23" s="8">
        <f>31-19</f>
        <v>12</v>
      </c>
      <c r="C23">
        <f>94.23+96.34+87.58+98.71+96.79</f>
        <v>473.65</v>
      </c>
      <c r="E23" s="2">
        <f>G23/5</f>
        <v>76.681999999999988</v>
      </c>
      <c r="F23" s="8">
        <f>31-19</f>
        <v>12</v>
      </c>
      <c r="G23">
        <f>76.23+72.76+75.07+79.38+79.97</f>
        <v>383.40999999999997</v>
      </c>
      <c r="I23" s="2">
        <f>K23/5</f>
        <v>70.84</v>
      </c>
      <c r="J23" s="8">
        <f>31-19</f>
        <v>12</v>
      </c>
      <c r="K23">
        <f>63.99+72.52+73.18+68.41+76.1</f>
        <v>354.20000000000005</v>
      </c>
    </row>
    <row r="24" spans="1:11" x14ac:dyDescent="0.25">
      <c r="A24" s="2">
        <f t="shared" si="3"/>
        <v>95.632000000000005</v>
      </c>
      <c r="B24" s="8">
        <f>31-20</f>
        <v>11</v>
      </c>
      <c r="C24">
        <f>94.9+95.64+91.44+98.39+97.79</f>
        <v>478.16</v>
      </c>
      <c r="E24" s="2">
        <f t="shared" ref="E24:E34" si="4">G24/5</f>
        <v>63.353999999999999</v>
      </c>
      <c r="F24" s="8">
        <f>31-20</f>
        <v>11</v>
      </c>
      <c r="G24">
        <f>66.13+62.56+58.4+62.99+66.69</f>
        <v>316.77</v>
      </c>
      <c r="I24" s="2">
        <f t="shared" ref="I24:I34" si="5">K24/5</f>
        <v>60.751999999999995</v>
      </c>
      <c r="J24" s="8">
        <f>31-20</f>
        <v>11</v>
      </c>
      <c r="K24">
        <f>54.99+58.87+62.98+60.56+66.36</f>
        <v>303.76</v>
      </c>
    </row>
    <row r="25" spans="1:11" x14ac:dyDescent="0.25">
      <c r="A25" s="2">
        <f t="shared" si="3"/>
        <v>92.626000000000005</v>
      </c>
      <c r="B25" s="8">
        <f>31-21</f>
        <v>10</v>
      </c>
      <c r="C25">
        <f>87.03+93.02+97.55+91.97+93.56</f>
        <v>463.13000000000005</v>
      </c>
      <c r="E25" s="2">
        <f t="shared" si="4"/>
        <v>46.754000000000005</v>
      </c>
      <c r="F25" s="8">
        <f>31-21</f>
        <v>10</v>
      </c>
      <c r="G25">
        <f>49.78+52.04+43.71+39.27+48.97</f>
        <v>233.77</v>
      </c>
      <c r="I25" s="2">
        <f t="shared" si="5"/>
        <v>34.143999999999998</v>
      </c>
      <c r="J25" s="8">
        <f>31-21</f>
        <v>10</v>
      </c>
      <c r="K25">
        <f>31.95+30.36+31.26+39.42+37.73</f>
        <v>170.72</v>
      </c>
    </row>
    <row r="26" spans="1:11" x14ac:dyDescent="0.25">
      <c r="A26" s="2">
        <f t="shared" si="3"/>
        <v>25.265999999999998</v>
      </c>
      <c r="B26" s="8">
        <f>31-22</f>
        <v>9</v>
      </c>
      <c r="C26">
        <f>18.69+40.6+24.21+12.97+29.86</f>
        <v>126.33</v>
      </c>
      <c r="E26" s="2">
        <f t="shared" si="4"/>
        <v>21.634</v>
      </c>
      <c r="F26" s="8">
        <f>31-22</f>
        <v>9</v>
      </c>
      <c r="G26">
        <f>17.62+25.25+24.25+15.19+25.86</f>
        <v>108.17</v>
      </c>
      <c r="I26" s="2">
        <f t="shared" si="5"/>
        <v>4.1820000000000004</v>
      </c>
      <c r="J26" s="8">
        <f>31-22</f>
        <v>9</v>
      </c>
      <c r="K26">
        <f>4.96+4.23+5.11+5.94+0.67</f>
        <v>20.910000000000004</v>
      </c>
    </row>
    <row r="27" spans="1:11" x14ac:dyDescent="0.25">
      <c r="A27" s="2">
        <f t="shared" si="3"/>
        <v>10.453999999999999</v>
      </c>
      <c r="B27" s="8">
        <f>31-23</f>
        <v>8</v>
      </c>
      <c r="C27">
        <f>9.68+11.38+10.26+10+10.95</f>
        <v>52.269999999999996</v>
      </c>
      <c r="E27" s="2">
        <f t="shared" si="4"/>
        <v>7.7900000000000009</v>
      </c>
      <c r="F27" s="8">
        <f>31-23</f>
        <v>8</v>
      </c>
      <c r="G27">
        <f>7.53+3.42+8.66+9.42+9.92</f>
        <v>38.950000000000003</v>
      </c>
      <c r="I27" s="2">
        <f t="shared" si="5"/>
        <v>0.34199999999999997</v>
      </c>
      <c r="J27" s="8">
        <f>31-23</f>
        <v>8</v>
      </c>
      <c r="K27">
        <f>0.03+0.41+0.57+0.62+0.08</f>
        <v>1.71</v>
      </c>
    </row>
    <row r="28" spans="1:11" x14ac:dyDescent="0.25">
      <c r="A28" s="2">
        <f t="shared" si="3"/>
        <v>8.16</v>
      </c>
      <c r="B28" s="8">
        <f>31-24</f>
        <v>7</v>
      </c>
      <c r="C28">
        <f>7.16+10.06+7.85+6.38+9.35</f>
        <v>40.799999999999997</v>
      </c>
      <c r="E28" s="2">
        <f t="shared" si="4"/>
        <v>4.6959999999999997</v>
      </c>
      <c r="F28" s="8">
        <f>31-24</f>
        <v>7</v>
      </c>
      <c r="G28">
        <f>4.52+4.22+3.48+4.21+7.05</f>
        <v>23.48</v>
      </c>
      <c r="I28" s="2">
        <f t="shared" si="5"/>
        <v>0.19600000000000001</v>
      </c>
      <c r="J28" s="8">
        <f>31-24</f>
        <v>7</v>
      </c>
      <c r="K28">
        <f>0.04+0.08+0.54+0.32+0</f>
        <v>0.98</v>
      </c>
    </row>
    <row r="29" spans="1:11" x14ac:dyDescent="0.25">
      <c r="A29" s="2">
        <f t="shared" si="3"/>
        <v>9.4019999999999992</v>
      </c>
      <c r="B29" s="8">
        <f>31-25</f>
        <v>6</v>
      </c>
      <c r="C29">
        <f>8.86+9.92+9.11+9.3+9.82</f>
        <v>47.01</v>
      </c>
      <c r="E29" s="2">
        <f t="shared" si="4"/>
        <v>2.5979999999999999</v>
      </c>
      <c r="F29" s="8">
        <f>31-25</f>
        <v>6</v>
      </c>
      <c r="G29">
        <f>2.48+1.56+2.31+4.23+2.41</f>
        <v>12.99</v>
      </c>
      <c r="I29" s="2">
        <f t="shared" si="5"/>
        <v>0.22400000000000003</v>
      </c>
      <c r="J29" s="8">
        <f>31-25</f>
        <v>6</v>
      </c>
      <c r="K29">
        <f>0+0.21+0.21+0.33+0.37</f>
        <v>1.1200000000000001</v>
      </c>
    </row>
    <row r="30" spans="1:11" x14ac:dyDescent="0.25">
      <c r="A30" s="2">
        <f t="shared" si="3"/>
        <v>7.258</v>
      </c>
      <c r="B30" s="8">
        <f>31-26</f>
        <v>5</v>
      </c>
      <c r="C30">
        <f>8.84+5.05+6.58+8.64+7.18</f>
        <v>36.29</v>
      </c>
      <c r="E30" s="2">
        <f t="shared" si="4"/>
        <v>3.4560000000000004</v>
      </c>
      <c r="F30" s="8">
        <f>31-26</f>
        <v>5</v>
      </c>
      <c r="G30">
        <f>3.1+3.05+3.04+4.66+3.43</f>
        <v>17.28</v>
      </c>
      <c r="I30" s="2">
        <f t="shared" si="5"/>
        <v>0.35599999999999998</v>
      </c>
      <c r="J30" s="8">
        <f>31-26</f>
        <v>5</v>
      </c>
      <c r="K30">
        <f>0.04+0.48+0.48+0.42+0.36</f>
        <v>1.7799999999999998</v>
      </c>
    </row>
    <row r="31" spans="1:11" x14ac:dyDescent="0.25">
      <c r="A31" s="2">
        <f t="shared" si="3"/>
        <v>8.8559999999999999</v>
      </c>
      <c r="B31" s="8">
        <f>31-27</f>
        <v>4</v>
      </c>
      <c r="C31">
        <f>9.52+9.73+9.04+7.66+8.33</f>
        <v>44.28</v>
      </c>
      <c r="E31" s="2">
        <f t="shared" si="4"/>
        <v>6.298</v>
      </c>
      <c r="F31" s="8">
        <f>31-27</f>
        <v>4</v>
      </c>
      <c r="G31">
        <f>8.36+4.21+2.63+8.91+7.38</f>
        <v>31.49</v>
      </c>
      <c r="I31" s="2">
        <f t="shared" si="5"/>
        <v>0.39200000000000002</v>
      </c>
      <c r="J31" s="8">
        <f>31-27</f>
        <v>4</v>
      </c>
      <c r="K31">
        <f>0.01+0.37+0.64+0.8+0.14</f>
        <v>1.96</v>
      </c>
    </row>
    <row r="32" spans="1:11" x14ac:dyDescent="0.25">
      <c r="A32" s="2">
        <f t="shared" si="3"/>
        <v>8.2660000000000018</v>
      </c>
      <c r="B32" s="8">
        <f>31-28</f>
        <v>3</v>
      </c>
      <c r="C32">
        <f>7.2+10.48+9.42+9.31+4.92</f>
        <v>41.330000000000005</v>
      </c>
      <c r="E32" s="2">
        <f t="shared" si="4"/>
        <v>8.3039999999999985</v>
      </c>
      <c r="F32" s="8">
        <f>31-28</f>
        <v>3</v>
      </c>
      <c r="G32">
        <f>10.83+6.06+2.84+9.74+12.05</f>
        <v>41.519999999999996</v>
      </c>
      <c r="I32" s="2">
        <f t="shared" si="5"/>
        <v>0.60799999999999998</v>
      </c>
      <c r="J32" s="8">
        <f>31-28</f>
        <v>3</v>
      </c>
      <c r="K32">
        <f>0.01+0.1+0.97+0.99+0.97</f>
        <v>3.04</v>
      </c>
    </row>
    <row r="33" spans="1:11" x14ac:dyDescent="0.25">
      <c r="A33" s="2">
        <f t="shared" si="3"/>
        <v>9.7639999999999993</v>
      </c>
      <c r="B33" s="8">
        <f>31-29</f>
        <v>2</v>
      </c>
      <c r="C33">
        <f>9.77+9.77+9.82+9.66+9.8</f>
        <v>48.819999999999993</v>
      </c>
      <c r="E33" s="2">
        <f t="shared" si="4"/>
        <v>7.4420000000000002</v>
      </c>
      <c r="F33" s="8">
        <f>31-29</f>
        <v>2</v>
      </c>
      <c r="G33">
        <f>10.78+3.48+10.2+2.25+10.5</f>
        <v>37.21</v>
      </c>
      <c r="I33" s="2">
        <f t="shared" si="5"/>
        <v>0.59800000000000009</v>
      </c>
      <c r="J33" s="8">
        <f>31-29</f>
        <v>2</v>
      </c>
      <c r="K33">
        <f>0.88+0.95+0.21+0.79+0.16</f>
        <v>2.99</v>
      </c>
    </row>
    <row r="34" spans="1:11" x14ac:dyDescent="0.25">
      <c r="A34" s="2">
        <f t="shared" si="3"/>
        <v>9.8000000000000007</v>
      </c>
      <c r="B34" s="8">
        <f>31-30</f>
        <v>1</v>
      </c>
      <c r="C34">
        <f>9.8+9.8+9.8+9.8+9.8</f>
        <v>49</v>
      </c>
      <c r="E34" s="2">
        <f t="shared" si="4"/>
        <v>10.1</v>
      </c>
      <c r="F34" s="8">
        <f>31-30</f>
        <v>1</v>
      </c>
      <c r="G34">
        <f>9.82+10.06+10.62+10+10</f>
        <v>50.5</v>
      </c>
      <c r="I34" s="2">
        <f t="shared" si="5"/>
        <v>1.016</v>
      </c>
      <c r="J34" s="8">
        <f>31-30</f>
        <v>1</v>
      </c>
      <c r="K34">
        <f>1+1.03+1+1+1.05</f>
        <v>5.08</v>
      </c>
    </row>
    <row r="36" spans="1:11" ht="15.75" x14ac:dyDescent="0.25">
      <c r="A36" s="11" t="s">
        <v>23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x14ac:dyDescent="0.25">
      <c r="A37" s="12" t="s">
        <v>45</v>
      </c>
      <c r="B37" s="12"/>
      <c r="C37" s="12"/>
      <c r="D37" s="4"/>
      <c r="E37" s="12" t="s">
        <v>46</v>
      </c>
      <c r="F37" s="12"/>
      <c r="G37" s="12"/>
      <c r="H37" s="4"/>
      <c r="I37" s="12" t="s">
        <v>47</v>
      </c>
      <c r="J37" s="12"/>
      <c r="K37" s="12"/>
    </row>
    <row r="38" spans="1:11" x14ac:dyDescent="0.25">
      <c r="A38" s="3" t="s">
        <v>1</v>
      </c>
      <c r="B38" s="3" t="s">
        <v>43</v>
      </c>
      <c r="C38" s="3" t="s">
        <v>2</v>
      </c>
      <c r="D38" s="3"/>
      <c r="E38" s="3" t="s">
        <v>1</v>
      </c>
      <c r="F38" s="3" t="s">
        <v>43</v>
      </c>
      <c r="G38" s="3" t="s">
        <v>2</v>
      </c>
      <c r="H38" s="3"/>
      <c r="I38" s="3" t="s">
        <v>1</v>
      </c>
      <c r="J38" s="3" t="s">
        <v>43</v>
      </c>
      <c r="K38" s="3" t="s">
        <v>2</v>
      </c>
    </row>
    <row r="39" spans="1:11" x14ac:dyDescent="0.25">
      <c r="A39" s="2">
        <v>95.24</v>
      </c>
      <c r="B39" s="5" t="s">
        <v>44</v>
      </c>
      <c r="E39" s="2">
        <f>87.48</f>
        <v>87.48</v>
      </c>
      <c r="F39" s="5" t="s">
        <v>44</v>
      </c>
      <c r="I39" s="2">
        <v>79.78</v>
      </c>
      <c r="J39" s="5" t="s">
        <v>44</v>
      </c>
    </row>
    <row r="40" spans="1:11" x14ac:dyDescent="0.25">
      <c r="A40" s="2">
        <f t="shared" ref="A40:A51" si="6">C40/5</f>
        <v>97.667999999999978</v>
      </c>
      <c r="B40" s="8">
        <f>31-19</f>
        <v>12</v>
      </c>
      <c r="C40">
        <f>96.38+98.39+97.78+98.63+97.16</f>
        <v>488.33999999999992</v>
      </c>
      <c r="E40" s="2">
        <f>G40/5</f>
        <v>77.568000000000012</v>
      </c>
      <c r="F40" s="8">
        <f>31-19</f>
        <v>12</v>
      </c>
      <c r="G40">
        <f>81.91+73.79+78.15+77.34+76.65</f>
        <v>387.84000000000003</v>
      </c>
      <c r="I40" s="2">
        <f t="shared" ref="I40:I51" si="7">K41/5</f>
        <v>79.783999999999992</v>
      </c>
      <c r="J40" s="8">
        <f>31-19</f>
        <v>12</v>
      </c>
      <c r="K40">
        <f>83.04+84.77+86.14+86.98+66.16</f>
        <v>407.09000000000003</v>
      </c>
    </row>
    <row r="41" spans="1:11" x14ac:dyDescent="0.25">
      <c r="A41" s="2">
        <f t="shared" si="6"/>
        <v>97.597999999999999</v>
      </c>
      <c r="B41" s="8">
        <f>31-20</f>
        <v>11</v>
      </c>
      <c r="C41">
        <f>95.76+98.7+97.91+98.71+96.91</f>
        <v>487.99</v>
      </c>
      <c r="E41" s="2">
        <f t="shared" ref="E41:E51" si="8">G41/5</f>
        <v>71.921999999999997</v>
      </c>
      <c r="F41" s="8">
        <f>31-20</f>
        <v>11</v>
      </c>
      <c r="G41">
        <f>75.94+68.5+74.35+72.51+68.31</f>
        <v>359.61</v>
      </c>
      <c r="I41" s="2">
        <f t="shared" si="7"/>
        <v>72.507999999999996</v>
      </c>
      <c r="J41" s="8">
        <f>31-20</f>
        <v>11</v>
      </c>
      <c r="K41">
        <f>80.79+83.02+85.26+85.2+64.65</f>
        <v>398.91999999999996</v>
      </c>
    </row>
    <row r="42" spans="1:11" x14ac:dyDescent="0.25">
      <c r="A42" s="2">
        <f t="shared" si="6"/>
        <v>96.4</v>
      </c>
      <c r="B42" s="8">
        <f>31-21</f>
        <v>10</v>
      </c>
      <c r="C42">
        <f>92.86+98.54+98.07+98.56+93.97</f>
        <v>482</v>
      </c>
      <c r="E42" s="2">
        <f t="shared" si="8"/>
        <v>63.86399999999999</v>
      </c>
      <c r="F42" s="8">
        <f>31-21</f>
        <v>10</v>
      </c>
      <c r="G42">
        <f>67.06+60.85+68.72+63.41+59.28</f>
        <v>319.31999999999994</v>
      </c>
      <c r="I42" s="2">
        <f t="shared" si="7"/>
        <v>35.374000000000002</v>
      </c>
      <c r="J42" s="8">
        <f>31-21</f>
        <v>10</v>
      </c>
      <c r="K42">
        <f>71.34+75.24+79.85+75.72+60.39</f>
        <v>362.53999999999996</v>
      </c>
    </row>
    <row r="43" spans="1:11" x14ac:dyDescent="0.25">
      <c r="A43" s="2">
        <f t="shared" si="6"/>
        <v>86.189999999999984</v>
      </c>
      <c r="B43" s="8">
        <f>31-22</f>
        <v>9</v>
      </c>
      <c r="C43">
        <f>78.85+78.98+87.07+96.71+89.34</f>
        <v>430.94999999999993</v>
      </c>
      <c r="E43" s="2">
        <f t="shared" si="8"/>
        <v>42.821999999999996</v>
      </c>
      <c r="F43" s="8">
        <f>31-22</f>
        <v>9</v>
      </c>
      <c r="G43">
        <f>48.4+46.79+42.78+34.16+41.98</f>
        <v>214.10999999999999</v>
      </c>
      <c r="I43" s="2">
        <f t="shared" si="7"/>
        <v>0.79399999999999993</v>
      </c>
      <c r="J43" s="8">
        <f>31-22</f>
        <v>9</v>
      </c>
      <c r="K43">
        <f>23.62+40.72+45.31+33.65+33.57</f>
        <v>176.87</v>
      </c>
    </row>
    <row r="44" spans="1:11" x14ac:dyDescent="0.25">
      <c r="A44" s="2">
        <f t="shared" si="6"/>
        <v>2.5460000000000003</v>
      </c>
      <c r="B44" s="8">
        <f>31-23</f>
        <v>8</v>
      </c>
      <c r="C44">
        <f>10.32+1.48+0+0.34+0.59</f>
        <v>12.73</v>
      </c>
      <c r="E44" s="2">
        <f t="shared" si="8"/>
        <v>10.757999999999999</v>
      </c>
      <c r="F44" s="8">
        <f>31-23</f>
        <v>8</v>
      </c>
      <c r="G44">
        <f>13.58+10.92+6.31+9.78+13.2</f>
        <v>53.789999999999992</v>
      </c>
      <c r="I44" s="2">
        <f t="shared" si="7"/>
        <v>0.16999999999999998</v>
      </c>
      <c r="J44" s="8">
        <f>31-23</f>
        <v>8</v>
      </c>
      <c r="K44">
        <f>0.21+0.63+1.23+1.12+0.78</f>
        <v>3.9699999999999998</v>
      </c>
    </row>
    <row r="45" spans="1:11" x14ac:dyDescent="0.25">
      <c r="A45" s="2">
        <f t="shared" si="6"/>
        <v>0.06</v>
      </c>
      <c r="B45" s="8">
        <f>31-24</f>
        <v>7</v>
      </c>
      <c r="C45">
        <f>0.08+0+0.09+0.02+0.11</f>
        <v>0.3</v>
      </c>
      <c r="E45" s="2">
        <f t="shared" si="8"/>
        <v>7.1920000000000002</v>
      </c>
      <c r="F45" s="8">
        <f>31-24</f>
        <v>7</v>
      </c>
      <c r="G45">
        <f>8.99+5.87+6.61+5.89+8.6</f>
        <v>35.96</v>
      </c>
      <c r="I45" s="2">
        <f t="shared" si="7"/>
        <v>0.38800000000000001</v>
      </c>
      <c r="J45" s="8">
        <f>31-24</f>
        <v>7</v>
      </c>
      <c r="K45">
        <f>0.15+0.02+0.36+0.2+0.12</f>
        <v>0.85</v>
      </c>
    </row>
    <row r="46" spans="1:11" x14ac:dyDescent="0.25">
      <c r="A46" s="2">
        <f t="shared" si="6"/>
        <v>0.30999999999999994</v>
      </c>
      <c r="B46" s="8">
        <f>31-25</f>
        <v>6</v>
      </c>
      <c r="C46">
        <f>0.99+0.01+0+0.42+0.13</f>
        <v>1.5499999999999998</v>
      </c>
      <c r="E46" s="2">
        <f t="shared" si="8"/>
        <v>5.1860000000000008</v>
      </c>
      <c r="F46" s="8">
        <f>31-25</f>
        <v>6</v>
      </c>
      <c r="G46">
        <f>6.29+5.05+3.87+5.28+5.44</f>
        <v>25.930000000000003</v>
      </c>
      <c r="I46" s="2">
        <f t="shared" si="7"/>
        <v>0.32199999999999995</v>
      </c>
      <c r="J46" s="8">
        <f>31-25</f>
        <v>6</v>
      </c>
      <c r="K46">
        <f>0.12+0.59+0.36+0.52+0.35</f>
        <v>1.94</v>
      </c>
    </row>
    <row r="47" spans="1:11" x14ac:dyDescent="0.25">
      <c r="A47" s="2">
        <f t="shared" si="6"/>
        <v>0.22200000000000003</v>
      </c>
      <c r="B47" s="8">
        <f>31-26</f>
        <v>5</v>
      </c>
      <c r="C47">
        <f>0.24+0.34+0.41+0.03+0.09</f>
        <v>1.1100000000000001</v>
      </c>
      <c r="E47" s="2">
        <f t="shared" si="8"/>
        <v>5.5600000000000005</v>
      </c>
      <c r="F47" s="8">
        <f>31-26</f>
        <v>5</v>
      </c>
      <c r="G47">
        <f>5.52+5.8+5.88+5.16+5.44</f>
        <v>27.8</v>
      </c>
      <c r="I47" s="2">
        <f t="shared" si="7"/>
        <v>0.72599999999999998</v>
      </c>
      <c r="J47" s="8">
        <f>31-26</f>
        <v>5</v>
      </c>
      <c r="K47">
        <f>0.22+0.41+0.32+0.24+0.42</f>
        <v>1.6099999999999999</v>
      </c>
    </row>
    <row r="48" spans="1:11" x14ac:dyDescent="0.25">
      <c r="A48" s="2">
        <f t="shared" si="6"/>
        <v>6.9999999999999993E-2</v>
      </c>
      <c r="B48" s="8">
        <f>31-27</f>
        <v>4</v>
      </c>
      <c r="C48">
        <f>0.08+0+0.09+0.17+0.01</f>
        <v>0.35</v>
      </c>
      <c r="E48" s="2">
        <f t="shared" si="8"/>
        <v>10.122</v>
      </c>
      <c r="F48" s="8">
        <f>31-27</f>
        <v>4</v>
      </c>
      <c r="G48">
        <f>10.47+11.76+9.49+9.71+9.18</f>
        <v>50.61</v>
      </c>
      <c r="I48" s="2">
        <f t="shared" si="7"/>
        <v>1.038</v>
      </c>
      <c r="J48" s="8">
        <f>31-27</f>
        <v>4</v>
      </c>
      <c r="K48">
        <f>0.88+0.61+0.99+0.36+0.79</f>
        <v>3.63</v>
      </c>
    </row>
    <row r="49" spans="1:11" x14ac:dyDescent="0.25">
      <c r="A49" s="2">
        <f t="shared" si="6"/>
        <v>7.7080000000000011</v>
      </c>
      <c r="B49" s="8">
        <f>31-28</f>
        <v>3</v>
      </c>
      <c r="C49">
        <f>9.8+9.05+3.46+6.43+9.8</f>
        <v>38.540000000000006</v>
      </c>
      <c r="E49" s="2">
        <f t="shared" si="8"/>
        <v>10.824</v>
      </c>
      <c r="F49" s="8">
        <f>31-28</f>
        <v>3</v>
      </c>
      <c r="G49">
        <f>10.78+12.56+10.03+10.26+10.49</f>
        <v>54.12</v>
      </c>
      <c r="I49" s="2">
        <f t="shared" si="7"/>
        <v>0.68600000000000005</v>
      </c>
      <c r="J49" s="8">
        <f>31-28</f>
        <v>3</v>
      </c>
      <c r="K49">
        <f>0.96+1.08+1.15+0.92+1.08</f>
        <v>5.19</v>
      </c>
    </row>
    <row r="50" spans="1:11" x14ac:dyDescent="0.25">
      <c r="A50" s="2">
        <f t="shared" si="6"/>
        <v>8</v>
      </c>
      <c r="B50" s="8">
        <f>31-29</f>
        <v>2</v>
      </c>
      <c r="C50">
        <f>9.72+6.18+7.31+9.54+7.25</f>
        <v>40</v>
      </c>
      <c r="E50" s="2">
        <f t="shared" si="8"/>
        <v>7.88</v>
      </c>
      <c r="F50" s="8">
        <f>31-29</f>
        <v>2</v>
      </c>
      <c r="G50">
        <f>7.62+7.83+6.71+8.92+8.32</f>
        <v>39.4</v>
      </c>
      <c r="I50" s="2">
        <f t="shared" si="7"/>
        <v>0.93400000000000016</v>
      </c>
      <c r="J50" s="8">
        <f>31-29</f>
        <v>2</v>
      </c>
      <c r="K50">
        <f>0.92+0.69+0.55+0.66+0.61</f>
        <v>3.43</v>
      </c>
    </row>
    <row r="51" spans="1:11" x14ac:dyDescent="0.25">
      <c r="A51" s="2">
        <f t="shared" si="6"/>
        <v>9.7700000000000014</v>
      </c>
      <c r="B51" s="8">
        <f>31-30</f>
        <v>1</v>
      </c>
      <c r="C51">
        <f>9.8+9.65+9.81+9.78+9.81</f>
        <v>48.850000000000009</v>
      </c>
      <c r="E51" s="2">
        <f t="shared" si="8"/>
        <v>9.0120000000000005</v>
      </c>
      <c r="F51" s="8">
        <f>31-30</f>
        <v>1</v>
      </c>
      <c r="G51">
        <f>10+4.35+11.25+10.19+9.27</f>
        <v>45.06</v>
      </c>
      <c r="I51" s="2">
        <f t="shared" si="7"/>
        <v>0</v>
      </c>
      <c r="J51" s="8">
        <f>31-30</f>
        <v>1</v>
      </c>
      <c r="K51">
        <f>0.68+0.96+1.05+0.99+0.99</f>
        <v>4.6700000000000008</v>
      </c>
    </row>
    <row r="52" spans="1:11" x14ac:dyDescent="0.25">
      <c r="A52" s="2"/>
      <c r="B52" s="2"/>
      <c r="E52" s="2"/>
      <c r="F52" s="2"/>
      <c r="I52" s="2"/>
      <c r="J52" s="2"/>
    </row>
    <row r="53" spans="1:11" x14ac:dyDescent="0.25">
      <c r="A53" s="12" t="s">
        <v>58</v>
      </c>
      <c r="B53" s="12"/>
      <c r="C53" s="12"/>
      <c r="E53" s="12" t="s">
        <v>59</v>
      </c>
      <c r="F53" s="12"/>
      <c r="G53" s="12"/>
      <c r="I53" s="12" t="s">
        <v>83</v>
      </c>
      <c r="J53" s="12"/>
      <c r="K53" s="12"/>
    </row>
    <row r="54" spans="1:11" x14ac:dyDescent="0.25">
      <c r="A54" s="3" t="s">
        <v>1</v>
      </c>
      <c r="B54" s="3" t="s">
        <v>43</v>
      </c>
      <c r="C54" t="s">
        <v>62</v>
      </c>
      <c r="E54" s="3" t="s">
        <v>1</v>
      </c>
      <c r="F54" s="3" t="s">
        <v>43</v>
      </c>
      <c r="G54" s="3" t="s">
        <v>49</v>
      </c>
      <c r="I54" s="3" t="s">
        <v>1</v>
      </c>
      <c r="J54" s="3" t="s">
        <v>43</v>
      </c>
      <c r="K54" s="3" t="s">
        <v>49</v>
      </c>
    </row>
    <row r="55" spans="1:11" x14ac:dyDescent="0.25">
      <c r="A55" s="2">
        <v>90.35</v>
      </c>
      <c r="B55" s="5" t="s">
        <v>44</v>
      </c>
      <c r="E55" s="2">
        <v>74.13</v>
      </c>
      <c r="F55" s="5" t="s">
        <v>44</v>
      </c>
      <c r="I55" s="2">
        <f>97.97</f>
        <v>97.97</v>
      </c>
      <c r="J55" s="5" t="s">
        <v>44</v>
      </c>
    </row>
    <row r="56" spans="1:11" x14ac:dyDescent="0.25">
      <c r="A56" s="2">
        <v>89.55</v>
      </c>
      <c r="B56" s="8">
        <f>31-19</f>
        <v>12</v>
      </c>
      <c r="E56" s="2">
        <v>72.489999999999995</v>
      </c>
      <c r="F56" s="8">
        <f>31-19</f>
        <v>12</v>
      </c>
      <c r="I56" s="2">
        <f>96.86</f>
        <v>96.86</v>
      </c>
      <c r="J56" s="8">
        <f>31-19</f>
        <v>12</v>
      </c>
    </row>
    <row r="57" spans="1:11" x14ac:dyDescent="0.25">
      <c r="A57" s="2">
        <v>89.54</v>
      </c>
      <c r="B57" s="8">
        <f>31-20</f>
        <v>11</v>
      </c>
      <c r="E57" s="2">
        <v>72.5</v>
      </c>
      <c r="F57" s="8">
        <f>31-20</f>
        <v>11</v>
      </c>
      <c r="I57" s="2">
        <f>96.86</f>
        <v>96.86</v>
      </c>
      <c r="J57" s="8">
        <f>31-20</f>
        <v>11</v>
      </c>
    </row>
    <row r="58" spans="1:11" x14ac:dyDescent="0.25">
      <c r="A58" s="2">
        <v>89.53</v>
      </c>
      <c r="B58" s="8">
        <f>31-21</f>
        <v>10</v>
      </c>
      <c r="E58" s="2">
        <v>72.5</v>
      </c>
      <c r="F58" s="8">
        <f>31-21</f>
        <v>10</v>
      </c>
      <c r="I58" s="2">
        <f>96.79</f>
        <v>96.79</v>
      </c>
      <c r="J58" s="8">
        <f>31-21</f>
        <v>10</v>
      </c>
    </row>
    <row r="59" spans="1:11" x14ac:dyDescent="0.25">
      <c r="A59" s="2">
        <v>89.51</v>
      </c>
      <c r="B59" s="8">
        <f>31-22</f>
        <v>9</v>
      </c>
      <c r="E59" s="2">
        <v>72.47</v>
      </c>
      <c r="F59" s="8">
        <f>31-22</f>
        <v>9</v>
      </c>
      <c r="I59" s="2">
        <f>96.8</f>
        <v>96.8</v>
      </c>
      <c r="J59" s="8">
        <f>31-22</f>
        <v>9</v>
      </c>
    </row>
    <row r="60" spans="1:11" x14ac:dyDescent="0.25">
      <c r="A60" s="2">
        <v>89.49</v>
      </c>
      <c r="B60" s="8">
        <f>31-23</f>
        <v>8</v>
      </c>
      <c r="E60" s="2">
        <v>72.44</v>
      </c>
      <c r="F60" s="8">
        <f>31-23</f>
        <v>8</v>
      </c>
      <c r="I60" s="2">
        <f>96.8</f>
        <v>96.8</v>
      </c>
      <c r="J60" s="8">
        <f>31-23</f>
        <v>8</v>
      </c>
    </row>
    <row r="61" spans="1:11" x14ac:dyDescent="0.25">
      <c r="A61" s="2">
        <v>89.22</v>
      </c>
      <c r="B61" s="8">
        <f>31-24</f>
        <v>7</v>
      </c>
      <c r="E61" s="2">
        <v>72.349999999999994</v>
      </c>
      <c r="F61" s="8">
        <f>31-24</f>
        <v>7</v>
      </c>
      <c r="I61" s="2">
        <f>96.75</f>
        <v>96.75</v>
      </c>
      <c r="J61" s="8">
        <f>31-24</f>
        <v>7</v>
      </c>
    </row>
    <row r="62" spans="1:11" x14ac:dyDescent="0.25">
      <c r="A62" s="2">
        <v>88.85</v>
      </c>
      <c r="B62" s="8">
        <f>31-25</f>
        <v>6</v>
      </c>
      <c r="E62" s="2">
        <v>71.95</v>
      </c>
      <c r="F62" s="8">
        <f>31-25</f>
        <v>6</v>
      </c>
      <c r="I62" s="2">
        <f>96.61</f>
        <v>96.61</v>
      </c>
      <c r="J62" s="8">
        <f>31-25</f>
        <v>6</v>
      </c>
    </row>
    <row r="63" spans="1:11" x14ac:dyDescent="0.25">
      <c r="A63" s="2">
        <v>88.84</v>
      </c>
      <c r="B63" s="8">
        <f>31-26</f>
        <v>5</v>
      </c>
      <c r="E63" s="2">
        <v>71.77</v>
      </c>
      <c r="F63" s="8">
        <f>31-26</f>
        <v>5</v>
      </c>
      <c r="I63" s="2">
        <f>96.22</f>
        <v>96.22</v>
      </c>
      <c r="J63" s="8">
        <f>31-26</f>
        <v>5</v>
      </c>
    </row>
    <row r="64" spans="1:11" x14ac:dyDescent="0.25">
      <c r="A64" s="2">
        <v>88.86</v>
      </c>
      <c r="B64" s="8">
        <f>31-27</f>
        <v>4</v>
      </c>
      <c r="E64" s="2">
        <v>71.77</v>
      </c>
      <c r="F64" s="8">
        <f>31-27</f>
        <v>4</v>
      </c>
      <c r="G64" s="8"/>
      <c r="I64" s="2">
        <f>95.82</f>
        <v>95.82</v>
      </c>
      <c r="J64" s="8">
        <f>31-27</f>
        <v>4</v>
      </c>
      <c r="K64" s="8"/>
    </row>
    <row r="65" spans="1:11" x14ac:dyDescent="0.25">
      <c r="A65" s="2">
        <v>88.86</v>
      </c>
      <c r="B65" s="8">
        <f>31-28</f>
        <v>3</v>
      </c>
      <c r="E65" s="2">
        <v>71.77</v>
      </c>
      <c r="F65" s="8">
        <f>31-28</f>
        <v>3</v>
      </c>
      <c r="G65" s="8"/>
      <c r="I65" s="2">
        <f>95.82</f>
        <v>95.82</v>
      </c>
      <c r="J65" s="8">
        <f>31-28</f>
        <v>3</v>
      </c>
      <c r="K65" s="8"/>
    </row>
    <row r="66" spans="1:11" x14ac:dyDescent="0.25">
      <c r="A66" s="2">
        <v>88.86</v>
      </c>
      <c r="B66" s="8">
        <f>31-29</f>
        <v>2</v>
      </c>
      <c r="E66" s="2">
        <v>71.77</v>
      </c>
      <c r="F66" s="8">
        <f>31-29</f>
        <v>2</v>
      </c>
      <c r="G66" s="8"/>
      <c r="I66" s="2">
        <f>95.79</f>
        <v>95.79</v>
      </c>
      <c r="J66" s="8">
        <f>31-29</f>
        <v>2</v>
      </c>
      <c r="K66" s="8"/>
    </row>
    <row r="67" spans="1:11" x14ac:dyDescent="0.25">
      <c r="A67" s="2">
        <v>88.74</v>
      </c>
      <c r="B67" s="8">
        <f>31-30</f>
        <v>1</v>
      </c>
      <c r="E67" s="2">
        <v>71.77</v>
      </c>
      <c r="F67" s="8">
        <f>31-30</f>
        <v>1</v>
      </c>
      <c r="G67" s="8"/>
      <c r="I67" s="2">
        <f>95.6</f>
        <v>95.6</v>
      </c>
      <c r="J67" s="8">
        <f>31-30</f>
        <v>1</v>
      </c>
      <c r="K67" s="8"/>
    </row>
    <row r="68" spans="1:11" x14ac:dyDescent="0.25">
      <c r="G68" s="8"/>
    </row>
    <row r="69" spans="1:11" x14ac:dyDescent="0.25">
      <c r="G69" s="8"/>
    </row>
    <row r="70" spans="1:11" x14ac:dyDescent="0.25">
      <c r="G70" s="8"/>
    </row>
    <row r="71" spans="1:11" x14ac:dyDescent="0.25">
      <c r="G71" s="8"/>
    </row>
    <row r="72" spans="1:11" x14ac:dyDescent="0.25">
      <c r="G72" s="8"/>
    </row>
    <row r="73" spans="1:11" x14ac:dyDescent="0.25">
      <c r="G73" s="8"/>
    </row>
    <row r="74" spans="1:11" x14ac:dyDescent="0.25">
      <c r="G74" s="8"/>
    </row>
    <row r="75" spans="1:11" x14ac:dyDescent="0.25">
      <c r="G75" s="8"/>
    </row>
  </sheetData>
  <mergeCells count="15">
    <mergeCell ref="A53:C53"/>
    <mergeCell ref="A1:K1"/>
    <mergeCell ref="A2:C2"/>
    <mergeCell ref="E2:G2"/>
    <mergeCell ref="I2:K2"/>
    <mergeCell ref="A19:K19"/>
    <mergeCell ref="A36:K36"/>
    <mergeCell ref="A37:C37"/>
    <mergeCell ref="E37:G37"/>
    <mergeCell ref="I37:K37"/>
    <mergeCell ref="A20:C20"/>
    <mergeCell ref="E20:G20"/>
    <mergeCell ref="I20:K20"/>
    <mergeCell ref="E53:G53"/>
    <mergeCell ref="I53:K5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F4C0-5905-4A01-A765-CDF8CD5C9776}">
  <dimension ref="A1:G48"/>
  <sheetViews>
    <sheetView topLeftCell="A7" workbookViewId="0">
      <selection activeCell="A21" sqref="A21"/>
    </sheetView>
  </sheetViews>
  <sheetFormatPr baseColWidth="10" defaultRowHeight="15" x14ac:dyDescent="0.25"/>
  <sheetData>
    <row r="1" spans="1:7" x14ac:dyDescent="0.25">
      <c r="A1" s="13" t="s">
        <v>42</v>
      </c>
      <c r="B1" s="13"/>
      <c r="C1" s="13"/>
      <c r="E1" s="13" t="s">
        <v>6</v>
      </c>
      <c r="F1" s="13"/>
      <c r="G1" s="13"/>
    </row>
    <row r="2" spans="1:7" x14ac:dyDescent="0.25">
      <c r="A2" s="3" t="s">
        <v>1</v>
      </c>
      <c r="B2" s="3" t="s">
        <v>43</v>
      </c>
      <c r="C2" s="3"/>
      <c r="E2" s="3" t="s">
        <v>1</v>
      </c>
      <c r="F2" s="3" t="s">
        <v>43</v>
      </c>
      <c r="G2" s="3"/>
    </row>
    <row r="3" spans="1:7" x14ac:dyDescent="0.25">
      <c r="A3" s="2">
        <f>74.13</f>
        <v>74.13</v>
      </c>
      <c r="B3" s="5" t="s">
        <v>44</v>
      </c>
      <c r="E3" s="2">
        <f>96.94</f>
        <v>96.94</v>
      </c>
      <c r="F3" s="5" t="s">
        <v>44</v>
      </c>
    </row>
    <row r="4" spans="1:7" x14ac:dyDescent="0.25">
      <c r="A4" s="2">
        <f>68.6</f>
        <v>68.599999999999994</v>
      </c>
      <c r="B4" s="8">
        <f>31-19</f>
        <v>12</v>
      </c>
      <c r="E4" s="2">
        <v>96.51</v>
      </c>
      <c r="F4" s="8">
        <f>31-19</f>
        <v>12</v>
      </c>
    </row>
    <row r="5" spans="1:7" x14ac:dyDescent="0.25">
      <c r="A5" s="2">
        <f>71.01</f>
        <v>71.010000000000005</v>
      </c>
      <c r="B5" s="8">
        <f>31-20</f>
        <v>11</v>
      </c>
      <c r="E5" s="2">
        <f>96.19</f>
        <v>96.19</v>
      </c>
      <c r="F5" s="8">
        <f>31-20</f>
        <v>11</v>
      </c>
    </row>
    <row r="6" spans="1:7" x14ac:dyDescent="0.25">
      <c r="A6" s="2">
        <f>24.84</f>
        <v>24.84</v>
      </c>
      <c r="B6" s="8">
        <f>31-21</f>
        <v>10</v>
      </c>
      <c r="E6" s="2">
        <f>84.97</f>
        <v>84.97</v>
      </c>
      <c r="F6" s="8">
        <f>31-21</f>
        <v>10</v>
      </c>
    </row>
    <row r="7" spans="1:7" x14ac:dyDescent="0.25">
      <c r="A7" s="2">
        <f>17.04</f>
        <v>17.04</v>
      </c>
      <c r="B7" s="8">
        <f>31-22</f>
        <v>9</v>
      </c>
      <c r="E7" s="2">
        <f>11.35</f>
        <v>11.35</v>
      </c>
      <c r="F7" s="8">
        <f>31-22</f>
        <v>9</v>
      </c>
    </row>
    <row r="8" spans="1:7" x14ac:dyDescent="0.25">
      <c r="A8" s="2">
        <f>1.88</f>
        <v>1.88</v>
      </c>
      <c r="B8" s="8">
        <f>31-23</f>
        <v>8</v>
      </c>
      <c r="E8" s="2">
        <f>28.88</f>
        <v>28.88</v>
      </c>
      <c r="F8" s="8">
        <f>31-23</f>
        <v>8</v>
      </c>
    </row>
    <row r="9" spans="1:7" x14ac:dyDescent="0.25">
      <c r="A9" s="2">
        <f>1.05</f>
        <v>1.05</v>
      </c>
      <c r="B9" s="8">
        <f>31-24</f>
        <v>7</v>
      </c>
      <c r="E9" s="2">
        <f>17.76</f>
        <v>17.760000000000002</v>
      </c>
      <c r="F9" s="8">
        <f>31-24</f>
        <v>7</v>
      </c>
    </row>
    <row r="10" spans="1:7" x14ac:dyDescent="0.25">
      <c r="A10" s="2">
        <f>1</f>
        <v>1</v>
      </c>
      <c r="B10" s="8">
        <f>31-25</f>
        <v>6</v>
      </c>
      <c r="E10" s="2">
        <f>15.69</f>
        <v>15.69</v>
      </c>
      <c r="F10" s="8">
        <f>31-25</f>
        <v>6</v>
      </c>
    </row>
    <row r="11" spans="1:7" x14ac:dyDescent="0.25">
      <c r="A11" s="2">
        <f>1</f>
        <v>1</v>
      </c>
      <c r="B11" s="8">
        <f>31-26</f>
        <v>5</v>
      </c>
      <c r="E11" s="2">
        <f>11.35</f>
        <v>11.35</v>
      </c>
      <c r="F11" s="8">
        <f>31-26</f>
        <v>5</v>
      </c>
    </row>
    <row r="12" spans="1:7" x14ac:dyDescent="0.25">
      <c r="A12" s="2">
        <f>1</f>
        <v>1</v>
      </c>
      <c r="B12" s="8">
        <f>31-27</f>
        <v>4</v>
      </c>
      <c r="E12" s="2">
        <f>11.35</f>
        <v>11.35</v>
      </c>
      <c r="F12" s="8">
        <f>31-27</f>
        <v>4</v>
      </c>
    </row>
    <row r="13" spans="1:7" x14ac:dyDescent="0.25">
      <c r="A13" s="2">
        <f>1</f>
        <v>1</v>
      </c>
      <c r="B13" s="8">
        <f>31-28</f>
        <v>3</v>
      </c>
      <c r="E13" s="2">
        <f>11.35</f>
        <v>11.35</v>
      </c>
      <c r="F13" s="8">
        <f>31-28</f>
        <v>3</v>
      </c>
    </row>
    <row r="14" spans="1:7" x14ac:dyDescent="0.25">
      <c r="A14" s="2">
        <f>1</f>
        <v>1</v>
      </c>
      <c r="B14" s="8">
        <f>31-29</f>
        <v>2</v>
      </c>
      <c r="E14" s="2">
        <f>11.35</f>
        <v>11.35</v>
      </c>
      <c r="F14" s="8">
        <f>31-29</f>
        <v>2</v>
      </c>
    </row>
    <row r="15" spans="1:7" x14ac:dyDescent="0.25">
      <c r="A15" s="2">
        <f>1</f>
        <v>1</v>
      </c>
      <c r="B15" s="8">
        <f>31-30</f>
        <v>1</v>
      </c>
      <c r="E15" s="2">
        <f>9.8</f>
        <v>9.8000000000000007</v>
      </c>
      <c r="F15" s="8">
        <f>31-30</f>
        <v>1</v>
      </c>
    </row>
    <row r="18" spans="1:7" x14ac:dyDescent="0.25">
      <c r="A18" s="12" t="s">
        <v>60</v>
      </c>
      <c r="B18" s="12"/>
      <c r="C18" s="12"/>
      <c r="E18" s="12" t="s">
        <v>67</v>
      </c>
      <c r="F18" s="12"/>
      <c r="G18" s="12"/>
    </row>
    <row r="19" spans="1:7" x14ac:dyDescent="0.25">
      <c r="A19" s="3" t="s">
        <v>1</v>
      </c>
      <c r="B19" s="3" t="s">
        <v>43</v>
      </c>
      <c r="C19" t="s">
        <v>61</v>
      </c>
      <c r="E19" s="3" t="s">
        <v>1</v>
      </c>
      <c r="F19" s="3" t="s">
        <v>43</v>
      </c>
      <c r="G19" t="s">
        <v>66</v>
      </c>
    </row>
    <row r="20" spans="1:7" x14ac:dyDescent="0.25">
      <c r="A20" s="2">
        <f>86.82</f>
        <v>86.82</v>
      </c>
      <c r="B20" s="5" t="s">
        <v>44</v>
      </c>
      <c r="E20" s="2">
        <f>78.21</f>
        <v>78.209999999999994</v>
      </c>
      <c r="F20" s="5" t="s">
        <v>44</v>
      </c>
    </row>
    <row r="21" spans="1:7" x14ac:dyDescent="0.25">
      <c r="A21" s="2">
        <f>84.22</f>
        <v>84.22</v>
      </c>
      <c r="B21" s="8">
        <f>31-19</f>
        <v>12</v>
      </c>
      <c r="E21" s="2">
        <f>77.66</f>
        <v>77.66</v>
      </c>
      <c r="F21" s="8">
        <f>31-19</f>
        <v>12</v>
      </c>
    </row>
    <row r="22" spans="1:7" x14ac:dyDescent="0.25">
      <c r="A22" s="2">
        <f>83.35</f>
        <v>83.35</v>
      </c>
      <c r="B22" s="8">
        <f>31-20</f>
        <v>11</v>
      </c>
      <c r="E22" s="2">
        <f>77.62</f>
        <v>77.62</v>
      </c>
      <c r="F22" s="8">
        <f>31-20</f>
        <v>11</v>
      </c>
    </row>
    <row r="23" spans="1:7" x14ac:dyDescent="0.25">
      <c r="A23" s="2">
        <f>72.56</f>
        <v>72.56</v>
      </c>
      <c r="B23" s="8">
        <f>31-21</f>
        <v>10</v>
      </c>
      <c r="E23" s="2">
        <f>77.51</f>
        <v>77.510000000000005</v>
      </c>
      <c r="F23" s="8">
        <f>31-21</f>
        <v>10</v>
      </c>
    </row>
    <row r="24" spans="1:7" x14ac:dyDescent="0.25">
      <c r="A24" s="2">
        <f>70.9</f>
        <v>70.900000000000006</v>
      </c>
      <c r="B24" s="8">
        <f>31-22</f>
        <v>9</v>
      </c>
      <c r="E24" s="2">
        <f>77.1</f>
        <v>77.099999999999994</v>
      </c>
      <c r="F24" s="8">
        <f>31-22</f>
        <v>9</v>
      </c>
    </row>
    <row r="25" spans="1:7" x14ac:dyDescent="0.25">
      <c r="A25" s="2">
        <f>44.45</f>
        <v>44.45</v>
      </c>
      <c r="B25" s="8">
        <f>31-23</f>
        <v>8</v>
      </c>
      <c r="E25" s="2">
        <f>74.79</f>
        <v>74.790000000000006</v>
      </c>
      <c r="F25" s="8">
        <f>31-23</f>
        <v>8</v>
      </c>
    </row>
    <row r="26" spans="1:7" x14ac:dyDescent="0.25">
      <c r="A26" s="2">
        <f>30.02</f>
        <v>30.02</v>
      </c>
      <c r="B26" s="8">
        <f>31-24</f>
        <v>7</v>
      </c>
      <c r="E26" s="2">
        <f>40.87</f>
        <v>40.869999999999997</v>
      </c>
      <c r="F26" s="8">
        <f>31-24</f>
        <v>7</v>
      </c>
    </row>
    <row r="27" spans="1:7" x14ac:dyDescent="0.25">
      <c r="A27" s="2">
        <f>12.17</f>
        <v>12.17</v>
      </c>
      <c r="B27" s="8">
        <f>31-25</f>
        <v>6</v>
      </c>
      <c r="E27" s="2">
        <f>1.39</f>
        <v>1.39</v>
      </c>
      <c r="F27" s="8">
        <f>31-25</f>
        <v>6</v>
      </c>
    </row>
    <row r="28" spans="1:7" x14ac:dyDescent="0.25">
      <c r="A28" s="2">
        <f>12.75</f>
        <v>12.75</v>
      </c>
      <c r="B28" s="8">
        <f>31-26</f>
        <v>5</v>
      </c>
      <c r="E28" s="2">
        <f>3.17</f>
        <v>3.17</v>
      </c>
      <c r="F28" s="8">
        <f>31-26</f>
        <v>5</v>
      </c>
    </row>
    <row r="29" spans="1:7" x14ac:dyDescent="0.25">
      <c r="A29" s="2">
        <f>10</f>
        <v>10</v>
      </c>
      <c r="B29" s="8">
        <f>31-27</f>
        <v>4</v>
      </c>
      <c r="E29" s="2">
        <f>30.32</f>
        <v>30.32</v>
      </c>
      <c r="F29" s="8">
        <f>31-27</f>
        <v>4</v>
      </c>
    </row>
    <row r="30" spans="1:7" x14ac:dyDescent="0.25">
      <c r="A30" s="2">
        <f>10</f>
        <v>10</v>
      </c>
      <c r="B30" s="8">
        <f>31-28</f>
        <v>3</v>
      </c>
      <c r="E30" s="2">
        <f>28.34</f>
        <v>28.34</v>
      </c>
      <c r="F30" s="8">
        <f>31-28</f>
        <v>3</v>
      </c>
    </row>
    <row r="31" spans="1:7" x14ac:dyDescent="0.25">
      <c r="A31" s="2">
        <f>10</f>
        <v>10</v>
      </c>
      <c r="B31" s="8">
        <f>31-29</f>
        <v>2</v>
      </c>
      <c r="E31" s="2">
        <f>28.34</f>
        <v>28.34</v>
      </c>
      <c r="F31" s="8">
        <f>31-29</f>
        <v>2</v>
      </c>
    </row>
    <row r="32" spans="1:7" x14ac:dyDescent="0.25">
      <c r="A32" s="2">
        <f>10</f>
        <v>10</v>
      </c>
      <c r="B32" s="8">
        <f>31-30</f>
        <v>1</v>
      </c>
      <c r="E32" s="2">
        <f>1</f>
        <v>1</v>
      </c>
      <c r="F32" s="8">
        <f>31-30</f>
        <v>1</v>
      </c>
    </row>
    <row r="34" spans="1:3" x14ac:dyDescent="0.25">
      <c r="A34" s="12" t="s">
        <v>68</v>
      </c>
      <c r="B34" s="12"/>
      <c r="C34" s="12"/>
    </row>
    <row r="35" spans="1:3" x14ac:dyDescent="0.25">
      <c r="A35" s="3" t="s">
        <v>1</v>
      </c>
      <c r="B35" s="3" t="s">
        <v>43</v>
      </c>
      <c r="C35" s="3" t="s">
        <v>69</v>
      </c>
    </row>
    <row r="36" spans="1:3" x14ac:dyDescent="0.25">
      <c r="A36" s="2">
        <f>93.38</f>
        <v>93.38</v>
      </c>
      <c r="B36" s="5" t="s">
        <v>44</v>
      </c>
    </row>
    <row r="37" spans="1:3" x14ac:dyDescent="0.25">
      <c r="A37" s="2">
        <f t="shared" ref="A37:A41" si="0">93.38</f>
        <v>93.38</v>
      </c>
      <c r="B37" s="8">
        <f>31-19</f>
        <v>12</v>
      </c>
    </row>
    <row r="38" spans="1:3" x14ac:dyDescent="0.25">
      <c r="A38" s="2">
        <f t="shared" si="0"/>
        <v>93.38</v>
      </c>
      <c r="B38" s="8">
        <f>31-20</f>
        <v>11</v>
      </c>
    </row>
    <row r="39" spans="1:3" x14ac:dyDescent="0.25">
      <c r="A39" s="2">
        <f t="shared" si="0"/>
        <v>93.38</v>
      </c>
      <c r="B39" s="8">
        <f>31-21</f>
        <v>10</v>
      </c>
    </row>
    <row r="40" spans="1:3" x14ac:dyDescent="0.25">
      <c r="A40" s="2">
        <f t="shared" si="0"/>
        <v>93.38</v>
      </c>
      <c r="B40" s="8">
        <f>31-22</f>
        <v>9</v>
      </c>
    </row>
    <row r="41" spans="1:3" x14ac:dyDescent="0.25">
      <c r="A41" s="2">
        <f t="shared" si="0"/>
        <v>93.38</v>
      </c>
      <c r="B41" s="8">
        <f>31-23</f>
        <v>8</v>
      </c>
    </row>
    <row r="42" spans="1:3" x14ac:dyDescent="0.25">
      <c r="A42" s="2">
        <f>93.37</f>
        <v>93.37</v>
      </c>
      <c r="B42" s="8">
        <f>31-24</f>
        <v>7</v>
      </c>
    </row>
    <row r="43" spans="1:3" x14ac:dyDescent="0.25">
      <c r="A43" s="2">
        <f>93.37</f>
        <v>93.37</v>
      </c>
      <c r="B43" s="8">
        <f>31-25</f>
        <v>6</v>
      </c>
    </row>
    <row r="44" spans="1:3" x14ac:dyDescent="0.25">
      <c r="A44" s="2">
        <f>93.37</f>
        <v>93.37</v>
      </c>
      <c r="B44" s="8">
        <f>31-26</f>
        <v>5</v>
      </c>
    </row>
    <row r="45" spans="1:3" x14ac:dyDescent="0.25">
      <c r="A45" s="2">
        <f>93.39</f>
        <v>93.39</v>
      </c>
      <c r="B45" s="8">
        <f>31-27</f>
        <v>4</v>
      </c>
    </row>
    <row r="46" spans="1:3" x14ac:dyDescent="0.25">
      <c r="A46" s="2">
        <f t="shared" ref="A46:A47" si="1">93.39</f>
        <v>93.39</v>
      </c>
      <c r="B46" s="8">
        <f>31-28</f>
        <v>3</v>
      </c>
    </row>
    <row r="47" spans="1:3" x14ac:dyDescent="0.25">
      <c r="A47" s="2">
        <f t="shared" si="1"/>
        <v>93.39</v>
      </c>
      <c r="B47" s="8">
        <f>31-29</f>
        <v>2</v>
      </c>
    </row>
    <row r="48" spans="1:3" x14ac:dyDescent="0.25">
      <c r="A48" s="2">
        <f>9.8</f>
        <v>9.8000000000000007</v>
      </c>
      <c r="B48" s="8">
        <f>31-30</f>
        <v>1</v>
      </c>
    </row>
  </sheetData>
  <mergeCells count="5">
    <mergeCell ref="E18:G18"/>
    <mergeCell ref="E1:G1"/>
    <mergeCell ref="A1:C1"/>
    <mergeCell ref="A34:C34"/>
    <mergeCell ref="A18:C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Multiply neuron values by 1+e</vt:lpstr>
      <vt:lpstr>Multiply a neuron value by 1+e</vt:lpstr>
      <vt:lpstr>Multiply weight values by 1+e</vt:lpstr>
      <vt:lpstr>Single neuron bitflip</vt:lpstr>
      <vt:lpstr>Single weight bitlflip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2qbn_ngqyp@univie.onmicrosoft.com</dc:creator>
  <cp:lastModifiedBy>Noi Privat</cp:lastModifiedBy>
  <dcterms:created xsi:type="dcterms:W3CDTF">2024-04-18T14:01:04Z</dcterms:created>
  <dcterms:modified xsi:type="dcterms:W3CDTF">2024-07-19T16:37:14Z</dcterms:modified>
</cp:coreProperties>
</file>