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tudium\Bachelorarbeit\github pytorchfi\pytorchfi\evaluation data\"/>
    </mc:Choice>
  </mc:AlternateContent>
  <xr:revisionPtr revIDLastSave="0" documentId="13_ncr:1_{13399B4E-FC3B-4A0F-9B6E-E6092A64A52C}" xr6:coauthVersionLast="47" xr6:coauthVersionMax="47" xr10:uidLastSave="{00000000-0000-0000-0000-000000000000}"/>
  <bookViews>
    <workbookView xWindow="12645" yWindow="555" windowWidth="15555" windowHeight="14715" firstSheet="1" activeTab="2" xr2:uid="{F7DC7ED8-E023-4EB5-A7C2-BCA1138A1D29}"/>
  </bookViews>
  <sheets>
    <sheet name="Multiply all values with 1+e" sheetId="1" r:id="rId1"/>
    <sheet name="Multiply one value with 1+e" sheetId="3" r:id="rId2"/>
    <sheet name="Single bitfli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2" l="1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C45" i="1"/>
  <c r="I39" i="2"/>
  <c r="E39" i="2"/>
  <c r="A39" i="2"/>
  <c r="I38" i="2"/>
  <c r="E38" i="2"/>
  <c r="A38" i="2"/>
  <c r="I37" i="2"/>
  <c r="E37" i="2"/>
  <c r="A37" i="2"/>
  <c r="I36" i="2"/>
  <c r="E36" i="2"/>
  <c r="A36" i="2"/>
  <c r="I35" i="2"/>
  <c r="E35" i="2"/>
  <c r="A35" i="2"/>
  <c r="I34" i="2"/>
  <c r="E34" i="2"/>
  <c r="A34" i="2"/>
  <c r="I33" i="2"/>
  <c r="E33" i="2"/>
  <c r="A33" i="2"/>
  <c r="I32" i="2"/>
  <c r="E32" i="2"/>
  <c r="A32" i="2"/>
  <c r="I31" i="2"/>
  <c r="E31" i="2"/>
  <c r="A31" i="2"/>
  <c r="I30" i="2"/>
  <c r="E30" i="2"/>
  <c r="A30" i="2"/>
  <c r="I29" i="2"/>
  <c r="E29" i="2"/>
  <c r="A29" i="2"/>
  <c r="I28" i="2"/>
  <c r="E28" i="2"/>
  <c r="A28" i="2"/>
  <c r="I27" i="2"/>
  <c r="E27" i="2"/>
  <c r="A27" i="2"/>
  <c r="I26" i="2"/>
  <c r="E26" i="2"/>
  <c r="A26" i="2"/>
  <c r="I25" i="2"/>
  <c r="E25" i="2"/>
  <c r="A25" i="2"/>
  <c r="I24" i="2"/>
  <c r="E24" i="2"/>
  <c r="A2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G77" i="1"/>
  <c r="E77" i="1" s="1"/>
  <c r="G76" i="1"/>
  <c r="G75" i="1"/>
  <c r="G74" i="1"/>
  <c r="G73" i="1"/>
  <c r="G72" i="1"/>
  <c r="G71" i="1"/>
  <c r="G70" i="1"/>
  <c r="G69" i="1"/>
  <c r="G68" i="1"/>
  <c r="G67" i="1"/>
  <c r="G66" i="1"/>
  <c r="G65" i="1"/>
  <c r="E65" i="1" s="1"/>
  <c r="G64" i="1"/>
  <c r="G63" i="1"/>
  <c r="E64" i="1"/>
  <c r="E71" i="1"/>
  <c r="E69" i="1"/>
  <c r="E63" i="1"/>
  <c r="G142" i="1" s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E130" i="1"/>
  <c r="E131" i="1"/>
  <c r="E129" i="1"/>
  <c r="G115" i="1"/>
  <c r="E115" i="1" s="1"/>
  <c r="G114" i="1"/>
  <c r="G113" i="1"/>
  <c r="G112" i="1"/>
  <c r="G111" i="1"/>
  <c r="E111" i="1" s="1"/>
  <c r="G110" i="1"/>
  <c r="E110" i="1" s="1"/>
  <c r="G109" i="1"/>
  <c r="G108" i="1"/>
  <c r="G107" i="1"/>
  <c r="G106" i="1"/>
  <c r="G105" i="1"/>
  <c r="G104" i="1"/>
  <c r="E104" i="1" s="1"/>
  <c r="G103" i="1"/>
  <c r="G102" i="1"/>
  <c r="G101" i="1"/>
  <c r="E101" i="1" s="1"/>
  <c r="G144" i="1" s="1"/>
  <c r="E114" i="1"/>
  <c r="E112" i="1"/>
  <c r="E109" i="1"/>
  <c r="E107" i="1"/>
  <c r="E113" i="1"/>
  <c r="E108" i="1"/>
  <c r="E106" i="1"/>
  <c r="E105" i="1"/>
  <c r="G96" i="1"/>
  <c r="G95" i="1"/>
  <c r="G94" i="1"/>
  <c r="G93" i="1"/>
  <c r="G92" i="1"/>
  <c r="G91" i="1"/>
  <c r="G90" i="1"/>
  <c r="G89" i="1"/>
  <c r="E89" i="1" s="1"/>
  <c r="G88" i="1"/>
  <c r="E88" i="1" s="1"/>
  <c r="G87" i="1"/>
  <c r="G86" i="1"/>
  <c r="G85" i="1"/>
  <c r="G84" i="1"/>
  <c r="G83" i="1"/>
  <c r="G82" i="1"/>
  <c r="E82" i="1" s="1"/>
  <c r="G143" i="1" s="1"/>
  <c r="E92" i="1"/>
  <c r="E90" i="1"/>
  <c r="E86" i="1"/>
  <c r="E84" i="1"/>
  <c r="E87" i="1"/>
  <c r="E85" i="1"/>
  <c r="E83" i="1"/>
  <c r="E102" i="1"/>
  <c r="E103" i="1"/>
  <c r="G58" i="1"/>
  <c r="E58" i="1" s="1"/>
  <c r="G57" i="1"/>
  <c r="E57" i="1" s="1"/>
  <c r="G56" i="1"/>
  <c r="E56" i="1" s="1"/>
  <c r="G55" i="1"/>
  <c r="E55" i="1" s="1"/>
  <c r="G54" i="1"/>
  <c r="G53" i="1"/>
  <c r="G52" i="1"/>
  <c r="E52" i="1" s="1"/>
  <c r="G51" i="1"/>
  <c r="G50" i="1"/>
  <c r="G49" i="1"/>
  <c r="G48" i="1"/>
  <c r="G47" i="1"/>
  <c r="G46" i="1"/>
  <c r="E46" i="1" s="1"/>
  <c r="G45" i="1"/>
  <c r="G44" i="1"/>
  <c r="E44" i="1" s="1"/>
  <c r="G141" i="1" s="1"/>
  <c r="E49" i="1"/>
  <c r="E45" i="1"/>
  <c r="K144" i="1"/>
  <c r="K142" i="1"/>
  <c r="G139" i="1"/>
  <c r="G39" i="1"/>
  <c r="G38" i="1"/>
  <c r="G37" i="1"/>
  <c r="G36" i="1"/>
  <c r="G35" i="1"/>
  <c r="G34" i="1"/>
  <c r="G33" i="1"/>
  <c r="G32" i="1"/>
  <c r="G31" i="1"/>
  <c r="G30" i="1"/>
  <c r="E30" i="1" s="1"/>
  <c r="G29" i="1"/>
  <c r="G28" i="1"/>
  <c r="G27" i="1"/>
  <c r="G26" i="1"/>
  <c r="G25" i="1"/>
  <c r="E25" i="1"/>
  <c r="G140" i="1" s="1"/>
  <c r="E39" i="1"/>
  <c r="E35" i="1"/>
  <c r="I4" i="2"/>
  <c r="E4" i="2"/>
  <c r="A4" i="2"/>
  <c r="G20" i="1"/>
  <c r="E20" i="1" s="1"/>
  <c r="G19" i="1"/>
  <c r="E19" i="1" s="1"/>
  <c r="G18" i="1"/>
  <c r="E18" i="1" s="1"/>
  <c r="G17" i="1"/>
  <c r="E17" i="1" s="1"/>
  <c r="G16" i="1"/>
  <c r="E16" i="1" s="1"/>
  <c r="G15" i="1"/>
  <c r="E15" i="1" s="1"/>
  <c r="G14" i="1"/>
  <c r="E14" i="1" s="1"/>
  <c r="G13" i="1"/>
  <c r="E13" i="1" s="1"/>
  <c r="G12" i="1"/>
  <c r="G11" i="1"/>
  <c r="E11" i="1" s="1"/>
  <c r="G10" i="1"/>
  <c r="E10" i="1" s="1"/>
  <c r="G9" i="1"/>
  <c r="E9" i="1" s="1"/>
  <c r="G8" i="1"/>
  <c r="E8" i="1" s="1"/>
  <c r="G7" i="1"/>
  <c r="E7" i="1" s="1"/>
  <c r="G6" i="1"/>
  <c r="E6" i="1" s="1"/>
  <c r="C54" i="1"/>
  <c r="A54" i="1" s="1"/>
  <c r="C58" i="1"/>
  <c r="A58" i="1" s="1"/>
  <c r="C57" i="1"/>
  <c r="A57" i="1" s="1"/>
  <c r="C56" i="1"/>
  <c r="A56" i="1" s="1"/>
  <c r="C55" i="1"/>
  <c r="A55" i="1" s="1"/>
  <c r="C53" i="1"/>
  <c r="A53" i="1" s="1"/>
  <c r="C52" i="1"/>
  <c r="A52" i="1" s="1"/>
  <c r="C51" i="1"/>
  <c r="A51" i="1" s="1"/>
  <c r="C50" i="1"/>
  <c r="A50" i="1" s="1"/>
  <c r="C49" i="1"/>
  <c r="A49" i="1" s="1"/>
  <c r="C48" i="1"/>
  <c r="A48" i="1" s="1"/>
  <c r="C47" i="1"/>
  <c r="A47" i="1" s="1"/>
  <c r="C46" i="1"/>
  <c r="A46" i="1" s="1"/>
  <c r="A45" i="1"/>
  <c r="C44" i="1"/>
  <c r="A44" i="1" s="1"/>
  <c r="C141" i="1" s="1"/>
  <c r="C134" i="1"/>
  <c r="A134" i="1" s="1"/>
  <c r="C133" i="1"/>
  <c r="A133" i="1" s="1"/>
  <c r="C132" i="1"/>
  <c r="A132" i="1" s="1"/>
  <c r="C131" i="1"/>
  <c r="A131" i="1" s="1"/>
  <c r="C130" i="1"/>
  <c r="A130" i="1" s="1"/>
  <c r="C129" i="1"/>
  <c r="A129" i="1" s="1"/>
  <c r="C128" i="1"/>
  <c r="A128" i="1" s="1"/>
  <c r="C127" i="1"/>
  <c r="A127" i="1" s="1"/>
  <c r="C126" i="1"/>
  <c r="C125" i="1"/>
  <c r="A125" i="1" s="1"/>
  <c r="C124" i="1"/>
  <c r="A124" i="1" s="1"/>
  <c r="C123" i="1"/>
  <c r="A123" i="1" s="1"/>
  <c r="C122" i="1"/>
  <c r="A122" i="1" s="1"/>
  <c r="C120" i="1"/>
  <c r="A120" i="1" s="1"/>
  <c r="C145" i="1" s="1"/>
  <c r="C121" i="1"/>
  <c r="A121" i="1" s="1"/>
  <c r="A126" i="1"/>
  <c r="C112" i="1"/>
  <c r="A112" i="1" s="1"/>
  <c r="C115" i="1"/>
  <c r="A115" i="1" s="1"/>
  <c r="C114" i="1"/>
  <c r="A114" i="1" s="1"/>
  <c r="C113" i="1"/>
  <c r="A113" i="1" s="1"/>
  <c r="C111" i="1"/>
  <c r="A111" i="1" s="1"/>
  <c r="C110" i="1"/>
  <c r="A110" i="1" s="1"/>
  <c r="C109" i="1"/>
  <c r="A109" i="1" s="1"/>
  <c r="C108" i="1"/>
  <c r="A108" i="1" s="1"/>
  <c r="C107" i="1"/>
  <c r="A107" i="1" s="1"/>
  <c r="C106" i="1"/>
  <c r="A106" i="1" s="1"/>
  <c r="C105" i="1"/>
  <c r="A105" i="1" s="1"/>
  <c r="C104" i="1"/>
  <c r="A104" i="1" s="1"/>
  <c r="C103" i="1"/>
  <c r="A103" i="1" s="1"/>
  <c r="C102" i="1"/>
  <c r="A102" i="1" s="1"/>
  <c r="C101" i="1"/>
  <c r="A101" i="1" s="1"/>
  <c r="C144" i="1" s="1"/>
  <c r="C96" i="1"/>
  <c r="A96" i="1" s="1"/>
  <c r="C95" i="1"/>
  <c r="A95" i="1" s="1"/>
  <c r="C94" i="1"/>
  <c r="A94" i="1" s="1"/>
  <c r="C93" i="1"/>
  <c r="A93" i="1" s="1"/>
  <c r="C92" i="1"/>
  <c r="A92" i="1" s="1"/>
  <c r="C91" i="1"/>
  <c r="A91" i="1" s="1"/>
  <c r="C90" i="1"/>
  <c r="C89" i="1"/>
  <c r="A89" i="1" s="1"/>
  <c r="C88" i="1"/>
  <c r="A88" i="1" s="1"/>
  <c r="C87" i="1"/>
  <c r="A87" i="1" s="1"/>
  <c r="C86" i="1"/>
  <c r="A86" i="1" s="1"/>
  <c r="C85" i="1"/>
  <c r="A85" i="1" s="1"/>
  <c r="C84" i="1"/>
  <c r="A84" i="1" s="1"/>
  <c r="C83" i="1"/>
  <c r="A83" i="1" s="1"/>
  <c r="C82" i="1"/>
  <c r="A82" i="1" s="1"/>
  <c r="C143" i="1" s="1"/>
  <c r="A90" i="1"/>
  <c r="I134" i="1"/>
  <c r="E134" i="1"/>
  <c r="I133" i="1"/>
  <c r="E133" i="1"/>
  <c r="I132" i="1"/>
  <c r="E132" i="1"/>
  <c r="I131" i="1"/>
  <c r="I130" i="1"/>
  <c r="I129" i="1"/>
  <c r="I128" i="1"/>
  <c r="E128" i="1"/>
  <c r="I127" i="1"/>
  <c r="E127" i="1"/>
  <c r="I126" i="1"/>
  <c r="E126" i="1"/>
  <c r="I125" i="1"/>
  <c r="E125" i="1"/>
  <c r="I124" i="1"/>
  <c r="E124" i="1"/>
  <c r="I123" i="1"/>
  <c r="E123" i="1"/>
  <c r="I122" i="1"/>
  <c r="E122" i="1"/>
  <c r="I121" i="1"/>
  <c r="E121" i="1"/>
  <c r="I120" i="1"/>
  <c r="K145" i="1" s="1"/>
  <c r="E120" i="1"/>
  <c r="G145" i="1" s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96" i="1"/>
  <c r="E96" i="1"/>
  <c r="I95" i="1"/>
  <c r="E95" i="1"/>
  <c r="I94" i="1"/>
  <c r="E94" i="1"/>
  <c r="I93" i="1"/>
  <c r="E93" i="1"/>
  <c r="I92" i="1"/>
  <c r="I91" i="1"/>
  <c r="E91" i="1"/>
  <c r="I90" i="1"/>
  <c r="I89" i="1"/>
  <c r="I88" i="1"/>
  <c r="I87" i="1"/>
  <c r="I86" i="1"/>
  <c r="I85" i="1"/>
  <c r="I84" i="1"/>
  <c r="I83" i="1"/>
  <c r="I82" i="1"/>
  <c r="K143" i="1" s="1"/>
  <c r="C77" i="1"/>
  <c r="A77" i="1" s="1"/>
  <c r="C76" i="1"/>
  <c r="A76" i="1" s="1"/>
  <c r="C71" i="1"/>
  <c r="A71" i="1" s="1"/>
  <c r="C63" i="1"/>
  <c r="A63" i="1" s="1"/>
  <c r="C142" i="1" s="1"/>
  <c r="C75" i="1"/>
  <c r="A75" i="1" s="1"/>
  <c r="C74" i="1"/>
  <c r="A74" i="1" s="1"/>
  <c r="C73" i="1"/>
  <c r="A73" i="1" s="1"/>
  <c r="C72" i="1"/>
  <c r="A72" i="1" s="1"/>
  <c r="C70" i="1"/>
  <c r="A70" i="1" s="1"/>
  <c r="C69" i="1"/>
  <c r="A69" i="1" s="1"/>
  <c r="C68" i="1"/>
  <c r="A68" i="1" s="1"/>
  <c r="C67" i="1"/>
  <c r="A67" i="1" s="1"/>
  <c r="C66" i="1"/>
  <c r="A66" i="1" s="1"/>
  <c r="C65" i="1"/>
  <c r="A65" i="1" s="1"/>
  <c r="C64" i="1"/>
  <c r="A64" i="1" s="1"/>
  <c r="I77" i="1"/>
  <c r="I76" i="1"/>
  <c r="E76" i="1"/>
  <c r="I75" i="1"/>
  <c r="E75" i="1"/>
  <c r="I74" i="1"/>
  <c r="E74" i="1"/>
  <c r="I73" i="1"/>
  <c r="E73" i="1"/>
  <c r="I72" i="1"/>
  <c r="E72" i="1"/>
  <c r="I71" i="1"/>
  <c r="I70" i="1"/>
  <c r="E70" i="1"/>
  <c r="I69" i="1"/>
  <c r="I68" i="1"/>
  <c r="E68" i="1"/>
  <c r="I67" i="1"/>
  <c r="E67" i="1"/>
  <c r="I66" i="1"/>
  <c r="E66" i="1"/>
  <c r="I65" i="1"/>
  <c r="I64" i="1"/>
  <c r="I63" i="1"/>
  <c r="E38" i="1"/>
  <c r="E37" i="1"/>
  <c r="E36" i="1"/>
  <c r="E33" i="1"/>
  <c r="E32" i="1"/>
  <c r="E31" i="1"/>
  <c r="E29" i="1"/>
  <c r="E28" i="1"/>
  <c r="E34" i="1"/>
  <c r="E27" i="1"/>
  <c r="E26" i="1"/>
  <c r="I58" i="1"/>
  <c r="I57" i="1"/>
  <c r="I56" i="1"/>
  <c r="I55" i="1"/>
  <c r="I54" i="1"/>
  <c r="E54" i="1"/>
  <c r="I53" i="1"/>
  <c r="E53" i="1"/>
  <c r="I52" i="1"/>
  <c r="I51" i="1"/>
  <c r="E51" i="1"/>
  <c r="I50" i="1"/>
  <c r="E50" i="1"/>
  <c r="I49" i="1"/>
  <c r="I48" i="1"/>
  <c r="E48" i="1"/>
  <c r="I47" i="1"/>
  <c r="E47" i="1"/>
  <c r="I46" i="1"/>
  <c r="I45" i="1"/>
  <c r="I44" i="1"/>
  <c r="K141" i="1" s="1"/>
  <c r="C39" i="1"/>
  <c r="A39" i="1" s="1"/>
  <c r="C38" i="1"/>
  <c r="A38" i="1" s="1"/>
  <c r="C37" i="1"/>
  <c r="A37" i="1" s="1"/>
  <c r="C36" i="1"/>
  <c r="A36" i="1" s="1"/>
  <c r="C35" i="1"/>
  <c r="A35" i="1" s="1"/>
  <c r="C34" i="1"/>
  <c r="A34" i="1" s="1"/>
  <c r="I26" i="1"/>
  <c r="C33" i="1"/>
  <c r="A33" i="1" s="1"/>
  <c r="C32" i="1"/>
  <c r="A32" i="1" s="1"/>
  <c r="C31" i="1"/>
  <c r="A31" i="1" s="1"/>
  <c r="C30" i="1"/>
  <c r="A30" i="1" s="1"/>
  <c r="C29" i="1"/>
  <c r="A29" i="1" s="1"/>
  <c r="C28" i="1"/>
  <c r="A28" i="1" s="1"/>
  <c r="C27" i="1"/>
  <c r="A27" i="1" s="1"/>
  <c r="C26" i="1"/>
  <c r="A26" i="1" s="1"/>
  <c r="C25" i="1"/>
  <c r="A25" i="1" s="1"/>
  <c r="C140" i="1" s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5" i="1"/>
  <c r="K140" i="1" s="1"/>
  <c r="I7" i="1"/>
  <c r="I6" i="1"/>
  <c r="K139" i="1" s="1"/>
  <c r="E12" i="1"/>
  <c r="C6" i="1"/>
  <c r="A6" i="1" s="1"/>
  <c r="C139" i="1" s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C20" i="1"/>
  <c r="A20" i="1" s="1"/>
  <c r="C19" i="1"/>
  <c r="A19" i="1" s="1"/>
  <c r="C18" i="1"/>
  <c r="A18" i="1" s="1"/>
  <c r="C17" i="1"/>
  <c r="A17" i="1" s="1"/>
  <c r="C16" i="1"/>
  <c r="A16" i="1" s="1"/>
  <c r="C15" i="1"/>
  <c r="A15" i="1" s="1"/>
  <c r="C14" i="1"/>
  <c r="A14" i="1" s="1"/>
  <c r="C13" i="1"/>
  <c r="A13" i="1" s="1"/>
  <c r="C12" i="1"/>
  <c r="A12" i="1" s="1"/>
  <c r="C11" i="1"/>
  <c r="A11" i="1" s="1"/>
  <c r="C10" i="1"/>
  <c r="A10" i="1" s="1"/>
  <c r="C9" i="1"/>
  <c r="A9" i="1" s="1"/>
  <c r="C8" i="1"/>
  <c r="A8" i="1" s="1"/>
  <c r="C7" i="1"/>
  <c r="A7" i="1" s="1"/>
</calcChain>
</file>

<file path=xl/sharedStrings.xml><?xml version="1.0" encoding="utf-8"?>
<sst xmlns="http://schemas.openxmlformats.org/spreadsheetml/2006/main" count="148" uniqueCount="51">
  <si>
    <t>Epsilon</t>
  </si>
  <si>
    <t>Accuracy (%)</t>
  </si>
  <si>
    <t>all accuracies</t>
  </si>
  <si>
    <t>Mobilenetv2 with MNIST &amp; epsilon mul</t>
  </si>
  <si>
    <t>Mobilenetv2 with CIFAR10 &amp; epsilon mul</t>
  </si>
  <si>
    <t>Mobilenetv2 with CIFAR100 &amp; epsilon mul</t>
  </si>
  <si>
    <t>Mobilenetv2 with MNIST &amp; bit flip</t>
  </si>
  <si>
    <t>Mobilenetv2 with CIFAR10 &amp; bit flip</t>
  </si>
  <si>
    <t>Mobilenetv2 with CIFAR100 &amp; bit flip</t>
  </si>
  <si>
    <t>Bits flipped</t>
  </si>
  <si>
    <t>densenet121 with MNIST &amp; epsilon mul</t>
  </si>
  <si>
    <t>densenet121 with CIFAR10 &amp; epsilon mul</t>
  </si>
  <si>
    <t>densenet121 with CIFAR100 &amp; epsilon mul</t>
  </si>
  <si>
    <t>Mobilenetv2 Tests</t>
  </si>
  <si>
    <t>Densenet121 Tests</t>
  </si>
  <si>
    <t>Googlenet Tests</t>
  </si>
  <si>
    <t>googlenet with MNIST &amp; epsilon mul</t>
  </si>
  <si>
    <t>googlenet with CIFAR10 &amp; epsilon mul</t>
  </si>
  <si>
    <t>googlenet with CIFAR100 &amp; epsilon mul</t>
  </si>
  <si>
    <t>Inception_v3 Tests</t>
  </si>
  <si>
    <t>inception_v3 with MNIST &amp; epsilon mul</t>
  </si>
  <si>
    <t>inception_v3 with CIFAR10 &amp; epsilon mul</t>
  </si>
  <si>
    <t>inception_v3 with CIFAR100 &amp; epsilon mul</t>
  </si>
  <si>
    <t>Resnet18 Tests</t>
  </si>
  <si>
    <t>resnet18 with MNIST &amp; epsilon mul</t>
  </si>
  <si>
    <t>resnet18 with CIFAR10 &amp; epsilon mul</t>
  </si>
  <si>
    <t>resnet18 with CIFAR100 &amp; epsilon mul</t>
  </si>
  <si>
    <t>Squeezenet1_0 Tests</t>
  </si>
  <si>
    <t>squeezenet1_0 with MNIST &amp; epsilon mul</t>
  </si>
  <si>
    <t>squeezenet1_0 with CIFAR10 &amp; epsilon mul</t>
  </si>
  <si>
    <t>squeezenet1_0 with CIFAR100 &amp; epsilon mul</t>
  </si>
  <si>
    <t>Squeezenet1_1 Tests</t>
  </si>
  <si>
    <t>squeezenet1_1 with MNIST &amp; epsilon mul</t>
  </si>
  <si>
    <t>squeezenet1_1 with CIFAR10 &amp; epsilon mul</t>
  </si>
  <si>
    <t>squeezenet1_1 with CIFAR100 &amp; epsilon mul</t>
  </si>
  <si>
    <t>original models with MNIST</t>
  </si>
  <si>
    <t>original models with CIFAR10</t>
  </si>
  <si>
    <t>original models with CIFAR100</t>
  </si>
  <si>
    <t>Model</t>
  </si>
  <si>
    <t>mobilenet_v2</t>
  </si>
  <si>
    <t>densenet121</t>
  </si>
  <si>
    <t>googlenet</t>
  </si>
  <si>
    <t>inception_v3</t>
  </si>
  <si>
    <t>resnet18</t>
  </si>
  <si>
    <t>squeezenet1_0</t>
  </si>
  <si>
    <t>squeezenet1_1</t>
  </si>
  <si>
    <t>Praktischer Part - Robustness und Fault tolerance</t>
  </si>
  <si>
    <t>Googlenet with MNIST &amp; bit flip</t>
  </si>
  <si>
    <t>Googlenet with CIFAR10 &amp; bit flip</t>
  </si>
  <si>
    <t>Googlenet with CIFAR100 &amp; bit flip</t>
  </si>
  <si>
    <t>Bit flipped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</si>
</sst>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504A-91A0-4B5A-BF2F-634626D37FD7}">
  <dimension ref="A1:K145"/>
  <sheetViews>
    <sheetView workbookViewId="0">
      <selection activeCell="C46" sqref="C46"/>
    </sheetView>
  </sheetViews>
  <sheetFormatPr baseColWidth="10" defaultRowHeight="15" x14ac:dyDescent="0.25"/>
  <cols>
    <col min="1" max="1" width="12.42578125" bestFit="1" customWidth="1"/>
    <col min="3" max="3" width="13.42578125" bestFit="1" customWidth="1"/>
    <col min="4" max="4" width="3.85546875" customWidth="1"/>
    <col min="5" max="5" width="12.42578125" bestFit="1" customWidth="1"/>
    <col min="7" max="7" width="13.42578125" bestFit="1" customWidth="1"/>
    <col min="8" max="8" width="3" customWidth="1"/>
    <col min="9" max="9" width="12.42578125" bestFit="1" customWidth="1"/>
    <col min="11" max="11" width="13.42578125" bestFit="1" customWidth="1"/>
  </cols>
  <sheetData>
    <row r="1" spans="1:11" ht="18.75" x14ac:dyDescent="0.3">
      <c r="A1" s="5" t="s">
        <v>46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A2" s="2"/>
      <c r="B2" s="2"/>
      <c r="E2" s="2"/>
      <c r="F2" s="2"/>
      <c r="I2" s="2"/>
      <c r="J2" s="2"/>
    </row>
    <row r="3" spans="1:11" ht="15.75" x14ac:dyDescent="0.25">
      <c r="A3" s="6" t="s">
        <v>13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7" t="s">
        <v>3</v>
      </c>
      <c r="B4" s="7"/>
      <c r="C4" s="7"/>
      <c r="D4" s="4"/>
      <c r="E4" s="7" t="s">
        <v>4</v>
      </c>
      <c r="F4" s="7"/>
      <c r="G4" s="7"/>
      <c r="H4" s="4"/>
      <c r="I4" s="7" t="s">
        <v>5</v>
      </c>
      <c r="J4" s="7"/>
      <c r="K4" s="7"/>
    </row>
    <row r="5" spans="1:11" s="3" customFormat="1" x14ac:dyDescent="0.25">
      <c r="A5" s="3" t="s">
        <v>1</v>
      </c>
      <c r="B5" s="3" t="s">
        <v>0</v>
      </c>
      <c r="C5" s="3" t="s">
        <v>2</v>
      </c>
      <c r="E5" s="3" t="s">
        <v>1</v>
      </c>
      <c r="F5" s="3" t="s">
        <v>0</v>
      </c>
      <c r="G5" s="3" t="s">
        <v>2</v>
      </c>
      <c r="I5" s="3" t="s">
        <v>1</v>
      </c>
      <c r="J5" s="3" t="s">
        <v>0</v>
      </c>
      <c r="K5" s="3" t="s">
        <v>2</v>
      </c>
    </row>
    <row r="6" spans="1:11" x14ac:dyDescent="0.25">
      <c r="A6" s="2">
        <f>C6/5</f>
        <v>96.597999999999999</v>
      </c>
      <c r="B6" s="2">
        <v>0</v>
      </c>
      <c r="C6">
        <f>97.68+94.37+96.87+97.27+96.8</f>
        <v>482.99</v>
      </c>
      <c r="E6" s="2">
        <f>G6/5</f>
        <v>75.59</v>
      </c>
      <c r="F6" s="2">
        <v>0</v>
      </c>
      <c r="G6">
        <f>71.17+70.03+81.54+79.59+75.62</f>
        <v>377.95000000000005</v>
      </c>
      <c r="I6" s="2">
        <f>K6/5</f>
        <v>0</v>
      </c>
      <c r="J6" s="2">
        <v>0</v>
      </c>
    </row>
    <row r="7" spans="1:11" x14ac:dyDescent="0.25">
      <c r="A7" s="2">
        <f>C7/5</f>
        <v>81.681999999999988</v>
      </c>
      <c r="B7" s="2">
        <v>0.01</v>
      </c>
      <c r="C7">
        <f>87.14+75.84+87.68+84.09+73.66</f>
        <v>408.40999999999997</v>
      </c>
      <c r="E7" s="2">
        <f>G7/5</f>
        <v>74.494</v>
      </c>
      <c r="F7" s="2">
        <v>0.01</v>
      </c>
      <c r="G7">
        <f>69.16+66.45+81+79.43+76.43</f>
        <v>372.47</v>
      </c>
      <c r="I7" s="2">
        <f>K7/5</f>
        <v>0</v>
      </c>
      <c r="J7" s="2">
        <v>0.01</v>
      </c>
    </row>
    <row r="8" spans="1:11" x14ac:dyDescent="0.25">
      <c r="A8" s="2">
        <f t="shared" ref="A8:A20" si="0">C8/5</f>
        <v>72.311999999999998</v>
      </c>
      <c r="B8" s="2">
        <v>0.02</v>
      </c>
      <c r="C8">
        <f>75.27+62.16+82.57+59+82.56</f>
        <v>361.56</v>
      </c>
      <c r="E8" s="2">
        <f t="shared" ref="E8:E20" si="1">G8/5</f>
        <v>70.745999999999995</v>
      </c>
      <c r="F8" s="2">
        <v>0.02</v>
      </c>
      <c r="G8">
        <f>62.14+60.7+78.49+78.38+74.02</f>
        <v>353.72999999999996</v>
      </c>
      <c r="I8" s="2">
        <f t="shared" ref="I8:I20" si="2">K8/5</f>
        <v>0</v>
      </c>
      <c r="J8" s="2">
        <v>0.02</v>
      </c>
    </row>
    <row r="9" spans="1:11" x14ac:dyDescent="0.25">
      <c r="A9" s="2">
        <f t="shared" si="0"/>
        <v>86.956000000000003</v>
      </c>
      <c r="B9" s="2">
        <v>0.03</v>
      </c>
      <c r="C9">
        <f>91.89+88.15+83.08+79.85+91.81</f>
        <v>434.78000000000003</v>
      </c>
      <c r="E9" s="2">
        <f t="shared" si="1"/>
        <v>65.683999999999997</v>
      </c>
      <c r="F9" s="2">
        <v>0.03</v>
      </c>
      <c r="G9">
        <f>53.27+53.99+74.6+76.16+70.4</f>
        <v>328.41999999999996</v>
      </c>
      <c r="I9" s="2">
        <f t="shared" si="2"/>
        <v>0</v>
      </c>
      <c r="J9" s="2">
        <v>0.03</v>
      </c>
    </row>
    <row r="10" spans="1:11" x14ac:dyDescent="0.25">
      <c r="A10" s="2">
        <f t="shared" si="0"/>
        <v>74.703999999999994</v>
      </c>
      <c r="B10" s="2">
        <v>0.04</v>
      </c>
      <c r="C10">
        <f>74.55+78.99+62.36+78.28+79.34</f>
        <v>373.52</v>
      </c>
      <c r="E10" s="2">
        <f t="shared" si="1"/>
        <v>59.681999999999995</v>
      </c>
      <c r="F10" s="2">
        <v>0.04</v>
      </c>
      <c r="G10">
        <f>43.15+46.85+69+73.89+65.52</f>
        <v>298.40999999999997</v>
      </c>
      <c r="I10" s="2">
        <f t="shared" si="2"/>
        <v>0</v>
      </c>
      <c r="J10" s="2">
        <v>0.04</v>
      </c>
    </row>
    <row r="11" spans="1:11" x14ac:dyDescent="0.25">
      <c r="A11" s="2">
        <f t="shared" si="0"/>
        <v>80.537999999999997</v>
      </c>
      <c r="B11" s="2">
        <v>0.05</v>
      </c>
      <c r="C11">
        <f>84.5+82.86+76.57+67.51+91.25</f>
        <v>402.69</v>
      </c>
      <c r="E11" s="2">
        <f t="shared" si="1"/>
        <v>53.503999999999998</v>
      </c>
      <c r="F11" s="2">
        <v>0.05</v>
      </c>
      <c r="G11">
        <f>33.81+40.13+62.46+71.12+60</f>
        <v>267.52</v>
      </c>
      <c r="I11" s="2">
        <f t="shared" si="2"/>
        <v>0</v>
      </c>
      <c r="J11" s="2">
        <v>0.05</v>
      </c>
    </row>
    <row r="12" spans="1:11" x14ac:dyDescent="0.25">
      <c r="A12" s="2">
        <f t="shared" si="0"/>
        <v>67.837999999999994</v>
      </c>
      <c r="B12" s="2">
        <v>0.06</v>
      </c>
      <c r="C12">
        <f>66.98+71.39+50.55+66.81+83.46</f>
        <v>339.19</v>
      </c>
      <c r="E12" s="2">
        <f t="shared" si="1"/>
        <v>47.653999999999996</v>
      </c>
      <c r="F12" s="2">
        <v>0.06</v>
      </c>
      <c r="G12">
        <f>25.73+33.89+55.3+68.03+55.32</f>
        <v>238.26999999999998</v>
      </c>
      <c r="I12" s="2">
        <f t="shared" si="2"/>
        <v>0</v>
      </c>
      <c r="J12" s="2">
        <v>0.06</v>
      </c>
    </row>
    <row r="13" spans="1:11" x14ac:dyDescent="0.25">
      <c r="A13" s="2">
        <f t="shared" si="0"/>
        <v>51.636000000000003</v>
      </c>
      <c r="B13" s="2">
        <v>7.0000000000000007E-2</v>
      </c>
      <c r="C13">
        <f>44.36+41.26+40.64+82.27+49.65</f>
        <v>258.18</v>
      </c>
      <c r="E13" s="2">
        <f t="shared" si="1"/>
        <v>42.252000000000002</v>
      </c>
      <c r="F13" s="2">
        <v>7.0000000000000007E-2</v>
      </c>
      <c r="G13">
        <f>19.17+28.35+47.81+64.87+51.06</f>
        <v>211.26000000000002</v>
      </c>
      <c r="I13" s="2">
        <f t="shared" si="2"/>
        <v>0</v>
      </c>
      <c r="J13" s="2">
        <v>7.0000000000000007E-2</v>
      </c>
    </row>
    <row r="14" spans="1:11" x14ac:dyDescent="0.25">
      <c r="A14" s="2">
        <f t="shared" si="0"/>
        <v>40.736000000000004</v>
      </c>
      <c r="B14" s="2">
        <v>0.08</v>
      </c>
      <c r="C14">
        <f>17.02+47.68+58.06+31.23+49.69</f>
        <v>203.68</v>
      </c>
      <c r="E14" s="2">
        <f t="shared" si="1"/>
        <v>37.588000000000001</v>
      </c>
      <c r="F14" s="2">
        <v>0.08</v>
      </c>
      <c r="G14">
        <f>14.35+24.15+40.81+61.77+46.86</f>
        <v>187.94</v>
      </c>
      <c r="I14" s="2">
        <f t="shared" si="2"/>
        <v>0</v>
      </c>
      <c r="J14" s="2">
        <v>0.08</v>
      </c>
    </row>
    <row r="15" spans="1:11" x14ac:dyDescent="0.25">
      <c r="A15" s="2">
        <f t="shared" si="0"/>
        <v>38.173999999999999</v>
      </c>
      <c r="B15" s="2">
        <v>0.09</v>
      </c>
      <c r="C15">
        <f>30.9+18.77+31.1+57.47+52.63</f>
        <v>190.87</v>
      </c>
      <c r="E15" s="2">
        <f t="shared" si="1"/>
        <v>33.72</v>
      </c>
      <c r="F15" s="2">
        <v>0.09</v>
      </c>
      <c r="G15">
        <f>11.65+20.97+34.95+57.87+43.16</f>
        <v>168.6</v>
      </c>
      <c r="I15" s="2">
        <f t="shared" si="2"/>
        <v>0</v>
      </c>
      <c r="J15" s="2">
        <v>0.09</v>
      </c>
    </row>
    <row r="16" spans="1:11" x14ac:dyDescent="0.25">
      <c r="A16" s="2">
        <f t="shared" si="0"/>
        <v>31.32</v>
      </c>
      <c r="B16" s="2">
        <v>0.1</v>
      </c>
      <c r="C16">
        <f>12.13+27.63+30.73+32.64+53.47</f>
        <v>156.6</v>
      </c>
      <c r="E16" s="2">
        <f t="shared" si="1"/>
        <v>30.586000000000002</v>
      </c>
      <c r="F16" s="2">
        <v>0.1</v>
      </c>
      <c r="G16">
        <f>10.51+18.28+29.65+54.13+40.36</f>
        <v>152.93</v>
      </c>
      <c r="I16" s="2">
        <f t="shared" si="2"/>
        <v>0</v>
      </c>
      <c r="J16" s="2">
        <v>0.1</v>
      </c>
    </row>
    <row r="17" spans="1:11" x14ac:dyDescent="0.25">
      <c r="A17" s="2">
        <f t="shared" si="0"/>
        <v>13.292000000000002</v>
      </c>
      <c r="B17" s="2">
        <v>0.2</v>
      </c>
      <c r="C17">
        <f>12.11+12.2+10.51+9.85+21.79</f>
        <v>66.460000000000008</v>
      </c>
      <c r="E17" s="2">
        <f t="shared" si="1"/>
        <v>21.7</v>
      </c>
      <c r="F17" s="2">
        <v>0.2</v>
      </c>
      <c r="G17">
        <f>10+12.17+40.45+24.04+21.84</f>
        <v>108.5</v>
      </c>
      <c r="I17" s="2">
        <f t="shared" si="2"/>
        <v>0</v>
      </c>
      <c r="J17" s="2">
        <v>0.2</v>
      </c>
    </row>
    <row r="18" spans="1:11" x14ac:dyDescent="0.25">
      <c r="A18" s="2">
        <f t="shared" si="0"/>
        <v>13.257999999999999</v>
      </c>
      <c r="B18" s="2">
        <v>0.3</v>
      </c>
      <c r="C18">
        <f>10.05+11.4+11.08+9.8+23.96</f>
        <v>66.289999999999992</v>
      </c>
      <c r="E18" s="2">
        <f t="shared" si="1"/>
        <v>11.997999999999999</v>
      </c>
      <c r="F18" s="2">
        <v>0.3</v>
      </c>
      <c r="G18">
        <f>10+10.94+10+16.88+12.17</f>
        <v>59.989999999999995</v>
      </c>
      <c r="I18" s="2">
        <f t="shared" si="2"/>
        <v>0</v>
      </c>
      <c r="J18" s="2">
        <v>0.3</v>
      </c>
    </row>
    <row r="19" spans="1:11" x14ac:dyDescent="0.25">
      <c r="A19" s="2">
        <f t="shared" si="0"/>
        <v>11.673999999999999</v>
      </c>
      <c r="B19" s="2">
        <v>0.4</v>
      </c>
      <c r="C19">
        <f>11.35+11.63+10.54+13.25+11.6</f>
        <v>58.37</v>
      </c>
      <c r="E19" s="2">
        <f t="shared" si="1"/>
        <v>10.918000000000001</v>
      </c>
      <c r="F19" s="2">
        <v>0.4</v>
      </c>
      <c r="G19">
        <f>10+10.03+10+13.67+10.89</f>
        <v>54.59</v>
      </c>
      <c r="I19" s="2">
        <f t="shared" si="2"/>
        <v>0</v>
      </c>
      <c r="J19" s="2">
        <v>0.4</v>
      </c>
    </row>
    <row r="20" spans="1:11" x14ac:dyDescent="0.25">
      <c r="A20" s="2">
        <f t="shared" si="0"/>
        <v>11.895999999999999</v>
      </c>
      <c r="B20" s="2">
        <v>0.5</v>
      </c>
      <c r="C20">
        <f>14.66+10.31+9.8+11.35+13.36</f>
        <v>59.48</v>
      </c>
      <c r="E20" s="2">
        <f t="shared" si="1"/>
        <v>10.398</v>
      </c>
      <c r="F20" s="2">
        <v>0.5</v>
      </c>
      <c r="G20">
        <f>10+10+10+11.43+10.56</f>
        <v>51.99</v>
      </c>
      <c r="I20" s="2">
        <f t="shared" si="2"/>
        <v>0</v>
      </c>
      <c r="J20" s="2">
        <v>0.5</v>
      </c>
    </row>
    <row r="21" spans="1:11" x14ac:dyDescent="0.25">
      <c r="A21" s="1"/>
      <c r="B21" s="2"/>
    </row>
    <row r="22" spans="1:11" ht="15.75" x14ac:dyDescent="0.25">
      <c r="A22" s="6" t="s">
        <v>14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7" t="s">
        <v>10</v>
      </c>
      <c r="B23" s="7"/>
      <c r="C23" s="7"/>
      <c r="D23" s="4"/>
      <c r="E23" s="7" t="s">
        <v>11</v>
      </c>
      <c r="F23" s="7"/>
      <c r="G23" s="7"/>
      <c r="H23" s="4"/>
      <c r="I23" s="7" t="s">
        <v>12</v>
      </c>
      <c r="J23" s="7"/>
      <c r="K23" s="7"/>
    </row>
    <row r="24" spans="1:11" s="3" customFormat="1" x14ac:dyDescent="0.25">
      <c r="A24" s="3" t="s">
        <v>1</v>
      </c>
      <c r="B24" s="3" t="s">
        <v>0</v>
      </c>
      <c r="C24" s="3" t="s">
        <v>2</v>
      </c>
      <c r="E24" s="3" t="s">
        <v>1</v>
      </c>
      <c r="F24" s="3" t="s">
        <v>0</v>
      </c>
      <c r="G24" s="3" t="s">
        <v>2</v>
      </c>
      <c r="I24" s="3" t="s">
        <v>1</v>
      </c>
      <c r="J24" s="3" t="s">
        <v>0</v>
      </c>
      <c r="K24" s="3" t="s">
        <v>2</v>
      </c>
    </row>
    <row r="25" spans="1:11" x14ac:dyDescent="0.25">
      <c r="A25" s="2">
        <f>C25/5</f>
        <v>93.378</v>
      </c>
      <c r="B25" s="2">
        <v>0</v>
      </c>
      <c r="C25">
        <f>96.88+90.95+90+95.03+94.03</f>
        <v>466.89</v>
      </c>
      <c r="E25" s="2">
        <f>G25/5</f>
        <v>74.527999999999992</v>
      </c>
      <c r="F25" s="2">
        <v>0</v>
      </c>
      <c r="G25">
        <f>63.73+63+86.78+76.95+82.18</f>
        <v>372.64</v>
      </c>
      <c r="I25" s="2">
        <f>K25/5</f>
        <v>0</v>
      </c>
      <c r="J25" s="2">
        <v>0</v>
      </c>
    </row>
    <row r="26" spans="1:11" x14ac:dyDescent="0.25">
      <c r="A26" s="2">
        <f>C26/5</f>
        <v>93.647999999999996</v>
      </c>
      <c r="B26" s="2">
        <v>0.01</v>
      </c>
      <c r="C26">
        <f>97.12+91.07+89.84+95.88+94.33</f>
        <v>468.23999999999995</v>
      </c>
      <c r="E26" s="2">
        <f>G26/5</f>
        <v>74.525999999999996</v>
      </c>
      <c r="F26" s="2">
        <v>0.01</v>
      </c>
      <c r="G26">
        <f>63.21+63.51+86.29+76.79+82.83</f>
        <v>372.63</v>
      </c>
      <c r="I26" s="2">
        <f>K26/5</f>
        <v>0</v>
      </c>
      <c r="J26" s="2">
        <v>0.01</v>
      </c>
    </row>
    <row r="27" spans="1:11" x14ac:dyDescent="0.25">
      <c r="A27" s="2">
        <f t="shared" ref="A27:A39" si="3">C27/5</f>
        <v>90.940000000000012</v>
      </c>
      <c r="B27" s="2">
        <v>0.02</v>
      </c>
      <c r="C27">
        <f>92.65+94.58+92.79+88.26+86.42</f>
        <v>454.70000000000005</v>
      </c>
      <c r="E27" s="2">
        <f t="shared" ref="E27:E39" si="4">G27/5</f>
        <v>74.19</v>
      </c>
      <c r="F27" s="2">
        <v>0.02</v>
      </c>
      <c r="G27">
        <f>61.95+63.91+85.27+76.74+83.08</f>
        <v>370.95</v>
      </c>
      <c r="I27" s="2">
        <f t="shared" ref="I27:I39" si="5">K27/5</f>
        <v>0</v>
      </c>
      <c r="J27" s="2">
        <v>0.02</v>
      </c>
    </row>
    <row r="28" spans="1:11" x14ac:dyDescent="0.25">
      <c r="A28" s="2">
        <f t="shared" si="3"/>
        <v>86.548000000000002</v>
      </c>
      <c r="B28" s="2">
        <v>0.03</v>
      </c>
      <c r="C28">
        <f>90.12+71.39+85.26+94.85+91.12</f>
        <v>432.74</v>
      </c>
      <c r="E28" s="2">
        <f t="shared" si="4"/>
        <v>73.543999999999997</v>
      </c>
      <c r="F28" s="2">
        <v>0.03</v>
      </c>
      <c r="G28">
        <f>60.46+64.22+83.52+76.45+83.07</f>
        <v>367.71999999999997</v>
      </c>
      <c r="I28" s="2">
        <f t="shared" si="5"/>
        <v>0</v>
      </c>
      <c r="J28" s="2">
        <v>0.03</v>
      </c>
    </row>
    <row r="29" spans="1:11" x14ac:dyDescent="0.25">
      <c r="A29" s="2">
        <f t="shared" si="3"/>
        <v>91.285999999999987</v>
      </c>
      <c r="B29" s="2">
        <v>0.04</v>
      </c>
      <c r="C29">
        <f>94.07+87.59+94.38+83.73+96.66</f>
        <v>456.42999999999995</v>
      </c>
      <c r="E29" s="2">
        <f t="shared" si="4"/>
        <v>72.748000000000005</v>
      </c>
      <c r="F29" s="2">
        <v>0.04</v>
      </c>
      <c r="G29">
        <f>59.13+64.37+81.6+75.89+82.75</f>
        <v>363.74</v>
      </c>
      <c r="I29" s="2">
        <f t="shared" si="5"/>
        <v>0</v>
      </c>
      <c r="J29" s="2">
        <v>0.04</v>
      </c>
    </row>
    <row r="30" spans="1:11" x14ac:dyDescent="0.25">
      <c r="A30" s="2">
        <f t="shared" si="3"/>
        <v>92.2</v>
      </c>
      <c r="B30" s="2">
        <v>0.05</v>
      </c>
      <c r="C30">
        <f>95.68+86.93+92.92+91.47+94</f>
        <v>461</v>
      </c>
      <c r="E30" s="2">
        <f t="shared" si="4"/>
        <v>71.61</v>
      </c>
      <c r="F30" s="2">
        <v>0.05</v>
      </c>
      <c r="G30">
        <f>57.6+64.22+78.91+75.34+81.98</f>
        <v>358.05</v>
      </c>
      <c r="I30" s="2">
        <f t="shared" si="5"/>
        <v>0</v>
      </c>
      <c r="J30" s="2">
        <v>0.05</v>
      </c>
    </row>
    <row r="31" spans="1:11" x14ac:dyDescent="0.25">
      <c r="A31" s="2">
        <f t="shared" si="3"/>
        <v>94.462000000000003</v>
      </c>
      <c r="B31" s="2">
        <v>0.06</v>
      </c>
      <c r="C31">
        <f>94.05+92.59+93.05+95.39+97.23</f>
        <v>472.31</v>
      </c>
      <c r="E31" s="2">
        <f t="shared" si="4"/>
        <v>70.384</v>
      </c>
      <c r="F31" s="2">
        <v>0.06</v>
      </c>
      <c r="G31">
        <f>55.95+64.15+76.09+74.56+81.17</f>
        <v>351.92</v>
      </c>
      <c r="I31" s="2">
        <f t="shared" si="5"/>
        <v>0</v>
      </c>
      <c r="J31" s="2">
        <v>0.06</v>
      </c>
    </row>
    <row r="32" spans="1:11" x14ac:dyDescent="0.25">
      <c r="A32" s="2">
        <f t="shared" si="3"/>
        <v>84.234000000000009</v>
      </c>
      <c r="B32" s="2">
        <v>7.0000000000000007E-2</v>
      </c>
      <c r="C32">
        <f>85.42+88.29+80.35+89+78.11</f>
        <v>421.17</v>
      </c>
      <c r="E32" s="2">
        <f t="shared" si="4"/>
        <v>69.040000000000006</v>
      </c>
      <c r="F32" s="2">
        <v>7.0000000000000007E-2</v>
      </c>
      <c r="G32">
        <f>54.33+63.57+73.03+73.78+80.49</f>
        <v>345.20000000000005</v>
      </c>
      <c r="I32" s="2">
        <f t="shared" si="5"/>
        <v>0</v>
      </c>
      <c r="J32" s="2">
        <v>7.0000000000000007E-2</v>
      </c>
    </row>
    <row r="33" spans="1:11" x14ac:dyDescent="0.25">
      <c r="A33" s="2">
        <f t="shared" si="3"/>
        <v>85.763999999999996</v>
      </c>
      <c r="B33" s="2">
        <v>0.08</v>
      </c>
      <c r="C33">
        <f>86.3+96.9+79.79+78.65+87.18</f>
        <v>428.82</v>
      </c>
      <c r="E33" s="2">
        <f t="shared" si="4"/>
        <v>67.585999999999984</v>
      </c>
      <c r="F33" s="2">
        <v>0.08</v>
      </c>
      <c r="G33">
        <f>52.91+63.06+69.86+72.75+79.35</f>
        <v>337.92999999999995</v>
      </c>
      <c r="I33" s="2">
        <f t="shared" si="5"/>
        <v>0</v>
      </c>
      <c r="J33" s="2">
        <v>0.08</v>
      </c>
    </row>
    <row r="34" spans="1:11" x14ac:dyDescent="0.25">
      <c r="A34" s="2">
        <f t="shared" si="3"/>
        <v>81.489999999999995</v>
      </c>
      <c r="B34" s="2">
        <v>0.09</v>
      </c>
      <c r="C34">
        <f>62.74+64.95+92.22+95.17+92.37</f>
        <v>407.45</v>
      </c>
      <c r="E34" s="2">
        <f t="shared" si="4"/>
        <v>65.938000000000002</v>
      </c>
      <c r="F34" s="2">
        <v>0.09</v>
      </c>
      <c r="G34">
        <f>51.19+62.23+66.65+71.61+78.01</f>
        <v>329.69</v>
      </c>
      <c r="I34" s="2">
        <f t="shared" si="5"/>
        <v>0</v>
      </c>
      <c r="J34" s="2">
        <v>0.09</v>
      </c>
    </row>
    <row r="35" spans="1:11" x14ac:dyDescent="0.25">
      <c r="A35" s="2">
        <f t="shared" si="3"/>
        <v>77.505999999999986</v>
      </c>
      <c r="B35" s="2">
        <v>0.1</v>
      </c>
      <c r="C35">
        <f>55.82+80.88+93.77+79.6+77.46</f>
        <v>387.52999999999992</v>
      </c>
      <c r="E35" s="2">
        <f t="shared" si="4"/>
        <v>64.087999999999994</v>
      </c>
      <c r="F35" s="2">
        <v>0.1</v>
      </c>
      <c r="G35">
        <f>49.41+61.23+63.12+70.24+76.44</f>
        <v>320.44</v>
      </c>
      <c r="I35" s="2">
        <f t="shared" si="5"/>
        <v>0</v>
      </c>
      <c r="J35" s="2">
        <v>0.1</v>
      </c>
    </row>
    <row r="36" spans="1:11" x14ac:dyDescent="0.25">
      <c r="A36" s="2">
        <f t="shared" si="3"/>
        <v>41.146000000000001</v>
      </c>
      <c r="B36" s="2">
        <v>0.2</v>
      </c>
      <c r="C36">
        <f>43.14+72.84+21.96+14.65+53.14</f>
        <v>205.73000000000002</v>
      </c>
      <c r="E36" s="2">
        <f t="shared" si="4"/>
        <v>40.629999999999995</v>
      </c>
      <c r="F36" s="2">
        <v>0.2</v>
      </c>
      <c r="G36">
        <f>32.43+45.3+24.49+47.3+53.63</f>
        <v>203.14999999999998</v>
      </c>
      <c r="I36" s="2">
        <f t="shared" si="5"/>
        <v>0</v>
      </c>
      <c r="J36" s="2">
        <v>0.2</v>
      </c>
    </row>
    <row r="37" spans="1:11" x14ac:dyDescent="0.25">
      <c r="A37" s="2">
        <f t="shared" si="3"/>
        <v>6.1899999999999995</v>
      </c>
      <c r="B37" s="2">
        <v>0.3</v>
      </c>
      <c r="C37">
        <f>0.02+9.8+0+11.34+9.79</f>
        <v>30.95</v>
      </c>
      <c r="E37" s="2">
        <f t="shared" si="4"/>
        <v>20.206</v>
      </c>
      <c r="F37" s="2">
        <v>0.3</v>
      </c>
      <c r="G37">
        <f>25.8+32.39+10.22+13.17+19.45</f>
        <v>101.03</v>
      </c>
      <c r="I37" s="2">
        <f t="shared" si="5"/>
        <v>0</v>
      </c>
      <c r="J37" s="2">
        <v>0.3</v>
      </c>
    </row>
    <row r="38" spans="1:11" x14ac:dyDescent="0.25">
      <c r="A38" s="2">
        <f t="shared" si="3"/>
        <v>10.134</v>
      </c>
      <c r="B38" s="2">
        <v>0.4</v>
      </c>
      <c r="C38">
        <f>9.8+11.35+10.28+8.92+10.32</f>
        <v>50.67</v>
      </c>
      <c r="E38" s="2">
        <f t="shared" si="4"/>
        <v>12.756</v>
      </c>
      <c r="F38" s="2">
        <v>0.4</v>
      </c>
      <c r="G38">
        <f>12.33+20.44+10.95+10.04+10.02</f>
        <v>63.78</v>
      </c>
      <c r="I38" s="2">
        <f t="shared" si="5"/>
        <v>0</v>
      </c>
      <c r="J38" s="2">
        <v>0.4</v>
      </c>
    </row>
    <row r="39" spans="1:11" x14ac:dyDescent="0.25">
      <c r="A39" s="2">
        <f t="shared" si="3"/>
        <v>7.8120000000000003</v>
      </c>
      <c r="B39" s="2">
        <v>0.5</v>
      </c>
      <c r="C39">
        <f>9.58+0+9.58+9.58+10.32</f>
        <v>39.06</v>
      </c>
      <c r="E39" s="2">
        <f t="shared" si="4"/>
        <v>11.703999999999999</v>
      </c>
      <c r="F39" s="2">
        <v>0.5</v>
      </c>
      <c r="G39">
        <f>10+18.52+10+10+10</f>
        <v>58.519999999999996</v>
      </c>
      <c r="I39" s="2">
        <f t="shared" si="5"/>
        <v>0</v>
      </c>
      <c r="J39" s="2">
        <v>0.5</v>
      </c>
    </row>
    <row r="40" spans="1:11" x14ac:dyDescent="0.25">
      <c r="A40" s="2"/>
      <c r="B40" s="2"/>
      <c r="E40" s="2"/>
      <c r="F40" s="2"/>
      <c r="I40" s="2"/>
      <c r="J40" s="2"/>
    </row>
    <row r="41" spans="1:11" ht="15.75" x14ac:dyDescent="0.25">
      <c r="A41" s="6" t="s">
        <v>15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25">
      <c r="A42" s="7" t="s">
        <v>16</v>
      </c>
      <c r="B42" s="7"/>
      <c r="C42" s="7"/>
      <c r="D42" s="4"/>
      <c r="E42" s="7" t="s">
        <v>17</v>
      </c>
      <c r="F42" s="7"/>
      <c r="G42" s="7"/>
      <c r="H42" s="4"/>
      <c r="I42" s="7" t="s">
        <v>18</v>
      </c>
      <c r="J42" s="7"/>
      <c r="K42" s="7"/>
    </row>
    <row r="43" spans="1:11" s="3" customFormat="1" x14ac:dyDescent="0.25">
      <c r="A43" s="3" t="s">
        <v>1</v>
      </c>
      <c r="B43" s="3" t="s">
        <v>0</v>
      </c>
      <c r="C43" s="3" t="s">
        <v>2</v>
      </c>
      <c r="E43" s="3" t="s">
        <v>1</v>
      </c>
      <c r="F43" s="3" t="s">
        <v>0</v>
      </c>
      <c r="G43" s="3" t="s">
        <v>2</v>
      </c>
      <c r="I43" s="3" t="s">
        <v>1</v>
      </c>
      <c r="J43" s="3" t="s">
        <v>0</v>
      </c>
      <c r="K43" s="3" t="s">
        <v>2</v>
      </c>
    </row>
    <row r="44" spans="1:11" x14ac:dyDescent="0.25">
      <c r="A44" s="2">
        <f>C44/5</f>
        <v>97.001999999999995</v>
      </c>
      <c r="B44" s="2">
        <v>0</v>
      </c>
      <c r="C44">
        <f>98.48+97.87+96.01+96.16+96.49</f>
        <v>485.01</v>
      </c>
      <c r="E44" s="2">
        <f>G44/5</f>
        <v>81.337999999999994</v>
      </c>
      <c r="F44" s="2">
        <v>0</v>
      </c>
      <c r="G44">
        <f>82.03+87.67+80.78+84.29+71.92</f>
        <v>406.69</v>
      </c>
      <c r="I44" s="2">
        <f>K44/5</f>
        <v>0</v>
      </c>
      <c r="J44" s="2">
        <v>0</v>
      </c>
    </row>
    <row r="45" spans="1:11" x14ac:dyDescent="0.25">
      <c r="A45" s="2">
        <f>C45/5</f>
        <v>96.841999999999999</v>
      </c>
      <c r="B45" s="2">
        <v>0.01</v>
      </c>
      <c r="C45">
        <f>98.43+97.75+96.25+96.27+95.51</f>
        <v>484.21</v>
      </c>
      <c r="E45" s="2">
        <f>G45/5</f>
        <v>81.701999999999998</v>
      </c>
      <c r="F45" s="2">
        <v>0.01</v>
      </c>
      <c r="G45">
        <f>82.08+87.97+81.55+84.46+72.45</f>
        <v>408.51</v>
      </c>
      <c r="I45" s="2">
        <f>K45/5</f>
        <v>0</v>
      </c>
      <c r="J45" s="2">
        <v>0.01</v>
      </c>
    </row>
    <row r="46" spans="1:11" x14ac:dyDescent="0.25">
      <c r="A46" s="2">
        <f t="shared" ref="A46:A58" si="6">C46/5</f>
        <v>96.669999999999987</v>
      </c>
      <c r="B46" s="2">
        <v>0.02</v>
      </c>
      <c r="C46">
        <f>98.37+97.63+96.32+96.14+94.89</f>
        <v>483.34999999999997</v>
      </c>
      <c r="E46" s="2">
        <f t="shared" ref="E46:E58" si="7">G46/5</f>
        <v>81.550000000000011</v>
      </c>
      <c r="F46" s="2">
        <v>0.02</v>
      </c>
      <c r="G46">
        <f>81.43+87.67+82.11+84.1+72.44</f>
        <v>407.75000000000006</v>
      </c>
      <c r="I46" s="2">
        <f t="shared" ref="I46:I58" si="8">K46/5</f>
        <v>0</v>
      </c>
      <c r="J46" s="2">
        <v>0.02</v>
      </c>
    </row>
    <row r="47" spans="1:11" x14ac:dyDescent="0.25">
      <c r="A47" s="2">
        <f t="shared" si="6"/>
        <v>96.551999999999992</v>
      </c>
      <c r="B47" s="2">
        <v>0.03</v>
      </c>
      <c r="C47">
        <f>98.23+97.46+96.39+95.79+94.89</f>
        <v>482.76</v>
      </c>
      <c r="E47" s="2">
        <f t="shared" si="7"/>
        <v>81.118000000000009</v>
      </c>
      <c r="F47" s="2">
        <v>0.03</v>
      </c>
      <c r="G47">
        <f>80.58+87.36+82.32+83.29+72.04</f>
        <v>405.59000000000003</v>
      </c>
      <c r="I47" s="2">
        <f t="shared" si="8"/>
        <v>0</v>
      </c>
      <c r="J47" s="2">
        <v>0.03</v>
      </c>
    </row>
    <row r="48" spans="1:11" x14ac:dyDescent="0.25">
      <c r="A48" s="2">
        <f t="shared" si="6"/>
        <v>96.201999999999998</v>
      </c>
      <c r="B48" s="2">
        <v>0.04</v>
      </c>
      <c r="C48">
        <f>97.99+97.32+96.29+95.41+94</f>
        <v>481.01</v>
      </c>
      <c r="E48" s="2">
        <f t="shared" si="7"/>
        <v>80.390000000000015</v>
      </c>
      <c r="F48" s="2">
        <v>0.04</v>
      </c>
      <c r="G48">
        <f>79.36+86.48+82.2+82.16+71.75</f>
        <v>401.95000000000005</v>
      </c>
      <c r="I48" s="2">
        <f t="shared" si="8"/>
        <v>0</v>
      </c>
      <c r="J48" s="2">
        <v>0.04</v>
      </c>
    </row>
    <row r="49" spans="1:11" x14ac:dyDescent="0.25">
      <c r="A49" s="2">
        <f t="shared" si="6"/>
        <v>90.266000000000005</v>
      </c>
      <c r="B49" s="2">
        <v>0.05</v>
      </c>
      <c r="C49">
        <f>97.79+69.9+96.13+94.73+92.78</f>
        <v>451.33000000000004</v>
      </c>
      <c r="E49" s="2">
        <f t="shared" si="7"/>
        <v>79.462000000000003</v>
      </c>
      <c r="F49" s="2">
        <v>0.05</v>
      </c>
      <c r="G49">
        <f>77.98+85.43+82.01+80.7+71.19</f>
        <v>397.31</v>
      </c>
      <c r="I49" s="2">
        <f t="shared" si="8"/>
        <v>0</v>
      </c>
      <c r="J49" s="2">
        <v>0.05</v>
      </c>
    </row>
    <row r="50" spans="1:11" x14ac:dyDescent="0.25">
      <c r="A50" s="2">
        <f t="shared" si="6"/>
        <v>94.97</v>
      </c>
      <c r="B50" s="2">
        <v>0.06</v>
      </c>
      <c r="C50">
        <f>97.38+96.52+95.74+93.85+91.36</f>
        <v>474.85</v>
      </c>
      <c r="E50" s="2">
        <f t="shared" si="7"/>
        <v>78.33</v>
      </c>
      <c r="F50" s="2">
        <v>0.06</v>
      </c>
      <c r="G50">
        <f>76.43+84.03+81.57+79.24+70.38</f>
        <v>391.65</v>
      </c>
      <c r="I50" s="2">
        <f t="shared" si="8"/>
        <v>0</v>
      </c>
      <c r="J50" s="2">
        <v>0.06</v>
      </c>
    </row>
    <row r="51" spans="1:11" x14ac:dyDescent="0.25">
      <c r="A51" s="2">
        <f t="shared" si="6"/>
        <v>94.055999999999997</v>
      </c>
      <c r="B51" s="2">
        <v>7.0000000000000007E-2</v>
      </c>
      <c r="C51">
        <f>96.94+96.03+95.36+92.73+89.22</f>
        <v>470.28</v>
      </c>
      <c r="E51" s="2">
        <f t="shared" si="7"/>
        <v>77.042000000000002</v>
      </c>
      <c r="F51" s="2">
        <v>7.0000000000000007E-2</v>
      </c>
      <c r="G51">
        <f>74.81+82.65+80.6+77.81+69.34</f>
        <v>385.21000000000004</v>
      </c>
      <c r="I51" s="2">
        <f t="shared" si="8"/>
        <v>0</v>
      </c>
      <c r="J51" s="2">
        <v>7.0000000000000007E-2</v>
      </c>
    </row>
    <row r="52" spans="1:11" x14ac:dyDescent="0.25">
      <c r="A52" s="2">
        <f t="shared" si="6"/>
        <v>92.853999999999999</v>
      </c>
      <c r="B52" s="2">
        <v>0.08</v>
      </c>
      <c r="C52">
        <f>96.23+95.39+94.71+91.03+86.91</f>
        <v>464.27</v>
      </c>
      <c r="E52" s="2">
        <f t="shared" si="7"/>
        <v>75.488</v>
      </c>
      <c r="F52" s="2">
        <v>0.08</v>
      </c>
      <c r="G52">
        <f>73.08+80.97+79.24+76.07+68.08</f>
        <v>377.44</v>
      </c>
      <c r="I52" s="2">
        <f t="shared" si="8"/>
        <v>0</v>
      </c>
      <c r="J52" s="2">
        <v>0.08</v>
      </c>
    </row>
    <row r="53" spans="1:11" x14ac:dyDescent="0.25">
      <c r="A53" s="2">
        <f t="shared" si="6"/>
        <v>91.210000000000008</v>
      </c>
      <c r="B53" s="2">
        <v>0.09</v>
      </c>
      <c r="C53">
        <f>95.62+94.5+93.49+88.43+84.01</f>
        <v>456.05</v>
      </c>
      <c r="E53" s="2">
        <f t="shared" si="7"/>
        <v>73.903999999999996</v>
      </c>
      <c r="F53" s="2">
        <v>0.09</v>
      </c>
      <c r="G53">
        <f>71.09+79.38+77.67+74.39+66.99</f>
        <v>369.52</v>
      </c>
      <c r="I53" s="2">
        <f t="shared" si="8"/>
        <v>0</v>
      </c>
      <c r="J53" s="2">
        <v>0.09</v>
      </c>
    </row>
    <row r="54" spans="1:11" x14ac:dyDescent="0.25">
      <c r="A54" s="2">
        <f t="shared" si="6"/>
        <v>83.988</v>
      </c>
      <c r="B54" s="2">
        <v>0.1</v>
      </c>
      <c r="C54">
        <f>93.59+92.11+85.58+52.54+96.12</f>
        <v>419.94</v>
      </c>
      <c r="E54" s="2">
        <f t="shared" si="7"/>
        <v>72.319999999999993</v>
      </c>
      <c r="F54" s="2">
        <v>0.1</v>
      </c>
      <c r="G54">
        <f>69.41+77.54+75.97+72.66+66.02</f>
        <v>361.59999999999997</v>
      </c>
      <c r="I54" s="2">
        <f t="shared" si="8"/>
        <v>0</v>
      </c>
      <c r="J54" s="2">
        <v>0.1</v>
      </c>
    </row>
    <row r="55" spans="1:11" x14ac:dyDescent="0.25">
      <c r="A55" s="2">
        <f t="shared" si="6"/>
        <v>57.220000000000006</v>
      </c>
      <c r="B55" s="2">
        <v>0.2</v>
      </c>
      <c r="C55">
        <f>74.86+72.57+61.09+36.51+41.07</f>
        <v>286.10000000000002</v>
      </c>
      <c r="E55" s="2">
        <f t="shared" si="7"/>
        <v>49.731999999999992</v>
      </c>
      <c r="F55" s="2">
        <v>0.2</v>
      </c>
      <c r="G55">
        <f>41.26+55.65+39.88+62.04+49.83</f>
        <v>248.65999999999997</v>
      </c>
      <c r="I55" s="2">
        <f t="shared" si="8"/>
        <v>0</v>
      </c>
      <c r="J55" s="2">
        <v>0.2</v>
      </c>
    </row>
    <row r="56" spans="1:11" x14ac:dyDescent="0.25">
      <c r="A56" s="2">
        <f t="shared" si="6"/>
        <v>38.152000000000001</v>
      </c>
      <c r="B56" s="2">
        <v>0.3</v>
      </c>
      <c r="C56">
        <f>55.2+44.61+32.49+17.39+41.07</f>
        <v>190.76</v>
      </c>
      <c r="E56" s="2">
        <f t="shared" si="7"/>
        <v>28.298000000000002</v>
      </c>
      <c r="F56" s="2">
        <v>0.3</v>
      </c>
      <c r="G56">
        <f>17.27+26.04+15.78+55.15+27.25</f>
        <v>141.49</v>
      </c>
      <c r="I56" s="2">
        <f t="shared" si="8"/>
        <v>0</v>
      </c>
      <c r="J56" s="2">
        <v>0.3</v>
      </c>
    </row>
    <row r="57" spans="1:11" x14ac:dyDescent="0.25">
      <c r="A57" s="2">
        <f t="shared" si="6"/>
        <v>26.806000000000001</v>
      </c>
      <c r="B57" s="2">
        <v>0.4</v>
      </c>
      <c r="C57">
        <f>38.23+24.14+25.02+12.43+34.21</f>
        <v>134.03</v>
      </c>
      <c r="E57" s="2">
        <f t="shared" si="7"/>
        <v>19.564</v>
      </c>
      <c r="F57" s="2">
        <v>0.4</v>
      </c>
      <c r="G57">
        <f>11.78+15.8+11.89+46.09+12.26</f>
        <v>97.820000000000007</v>
      </c>
      <c r="I57" s="2">
        <f t="shared" si="8"/>
        <v>0</v>
      </c>
      <c r="J57" s="2">
        <v>0.4</v>
      </c>
    </row>
    <row r="58" spans="1:11" x14ac:dyDescent="0.25">
      <c r="A58" s="2">
        <f t="shared" si="6"/>
        <v>21.365999999999996</v>
      </c>
      <c r="B58" s="2">
        <v>0.5</v>
      </c>
      <c r="C58">
        <f>30.47+12.83+20.55+14.13+28.85</f>
        <v>106.82999999999998</v>
      </c>
      <c r="E58" s="2">
        <f t="shared" si="7"/>
        <v>14.297999999999998</v>
      </c>
      <c r="F58" s="2">
        <v>0.5</v>
      </c>
      <c r="G58">
        <f>10.64+10.41+10.5+29.92+10.02</f>
        <v>71.489999999999995</v>
      </c>
      <c r="I58" s="2">
        <f t="shared" si="8"/>
        <v>0</v>
      </c>
      <c r="J58" s="2">
        <v>0.5</v>
      </c>
    </row>
    <row r="60" spans="1:11" ht="15.75" x14ac:dyDescent="0.25">
      <c r="A60" s="6" t="s">
        <v>19</v>
      </c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x14ac:dyDescent="0.25">
      <c r="A61" s="7" t="s">
        <v>20</v>
      </c>
      <c r="B61" s="7"/>
      <c r="C61" s="7"/>
      <c r="D61" s="4"/>
      <c r="E61" s="7" t="s">
        <v>21</v>
      </c>
      <c r="F61" s="7"/>
      <c r="G61" s="7"/>
      <c r="H61" s="4"/>
      <c r="I61" s="7" t="s">
        <v>22</v>
      </c>
      <c r="J61" s="7"/>
      <c r="K61" s="7"/>
    </row>
    <row r="62" spans="1:11" s="3" customFormat="1" x14ac:dyDescent="0.25">
      <c r="A62" s="3" t="s">
        <v>1</v>
      </c>
      <c r="B62" s="3" t="s">
        <v>0</v>
      </c>
      <c r="C62" s="3" t="s">
        <v>2</v>
      </c>
      <c r="E62" s="3" t="s">
        <v>1</v>
      </c>
      <c r="F62" s="3" t="s">
        <v>0</v>
      </c>
      <c r="G62" s="3" t="s">
        <v>2</v>
      </c>
      <c r="I62" s="3" t="s">
        <v>1</v>
      </c>
      <c r="J62" s="3" t="s">
        <v>0</v>
      </c>
      <c r="K62" s="3" t="s">
        <v>2</v>
      </c>
    </row>
    <row r="63" spans="1:11" x14ac:dyDescent="0.25">
      <c r="A63" s="2">
        <f>C63/5</f>
        <v>97.97</v>
      </c>
      <c r="B63" s="2">
        <v>0</v>
      </c>
      <c r="C63">
        <f>95.95+98.4+98.42+98.68+98.4</f>
        <v>489.85</v>
      </c>
      <c r="E63" s="2">
        <f>G63/5</f>
        <v>90.92</v>
      </c>
      <c r="F63" s="2">
        <v>0</v>
      </c>
      <c r="G63">
        <f>90.92*5</f>
        <v>454.6</v>
      </c>
      <c r="I63" s="2">
        <f>K63/5</f>
        <v>0</v>
      </c>
      <c r="J63" s="2">
        <v>0</v>
      </c>
    </row>
    <row r="64" spans="1:11" x14ac:dyDescent="0.25">
      <c r="A64" s="2">
        <f>C64/5</f>
        <v>97.657999999999987</v>
      </c>
      <c r="B64" s="2">
        <v>0.01</v>
      </c>
      <c r="C64">
        <f>97.45+95.55+98.32+98.25+98.72</f>
        <v>488.28999999999996</v>
      </c>
      <c r="E64" s="2">
        <f>G64/5</f>
        <v>90.24</v>
      </c>
      <c r="F64" s="2">
        <v>0.01</v>
      </c>
      <c r="G64">
        <f>90.24*5</f>
        <v>451.2</v>
      </c>
      <c r="I64" s="2">
        <f>K64/5</f>
        <v>0</v>
      </c>
      <c r="J64" s="2">
        <v>0.01</v>
      </c>
    </row>
    <row r="65" spans="1:11" x14ac:dyDescent="0.25">
      <c r="A65" s="2">
        <f t="shared" ref="A65:A77" si="9">C65/5</f>
        <v>95.917999999999992</v>
      </c>
      <c r="B65" s="2">
        <v>0.02</v>
      </c>
      <c r="C65">
        <f>89.81+95.1+97.98+97.95+98.75</f>
        <v>479.59</v>
      </c>
      <c r="E65" s="2">
        <f t="shared" ref="E65:E77" si="10">G65/5</f>
        <v>88.56</v>
      </c>
      <c r="F65" s="2">
        <v>0.02</v>
      </c>
      <c r="G65">
        <f>88.56*5</f>
        <v>442.8</v>
      </c>
      <c r="I65" s="2">
        <f t="shared" ref="I65:I77" si="11">K65/5</f>
        <v>0</v>
      </c>
      <c r="J65" s="2">
        <v>0.02</v>
      </c>
    </row>
    <row r="66" spans="1:11" x14ac:dyDescent="0.25">
      <c r="A66" s="2">
        <f t="shared" si="9"/>
        <v>88.963999999999999</v>
      </c>
      <c r="B66" s="2">
        <v>0.03</v>
      </c>
      <c r="C66">
        <f>56.57+94.45+97.63+97.48+98.69</f>
        <v>444.82</v>
      </c>
      <c r="E66" s="2">
        <f t="shared" si="10"/>
        <v>85.93</v>
      </c>
      <c r="F66" s="2">
        <v>0.03</v>
      </c>
      <c r="G66">
        <f>85.93*5</f>
        <v>429.65000000000003</v>
      </c>
      <c r="I66" s="2">
        <f t="shared" si="11"/>
        <v>0</v>
      </c>
      <c r="J66" s="2">
        <v>0.03</v>
      </c>
    </row>
    <row r="67" spans="1:11" x14ac:dyDescent="0.25">
      <c r="A67" s="2">
        <f t="shared" si="9"/>
        <v>83.427999999999997</v>
      </c>
      <c r="B67" s="2">
        <v>0.04</v>
      </c>
      <c r="C67">
        <f>30.56+93.77+97.25+96.89+98.67</f>
        <v>417.14</v>
      </c>
      <c r="E67" s="2">
        <f t="shared" si="10"/>
        <v>3.3188000000000004</v>
      </c>
      <c r="F67" s="2">
        <v>0.04</v>
      </c>
      <c r="G67">
        <f>82.97/5</f>
        <v>16.594000000000001</v>
      </c>
      <c r="I67" s="2">
        <f t="shared" si="11"/>
        <v>0</v>
      </c>
      <c r="J67" s="2">
        <v>0.04</v>
      </c>
    </row>
    <row r="68" spans="1:11" x14ac:dyDescent="0.25">
      <c r="A68" s="2">
        <f t="shared" si="9"/>
        <v>80.568000000000012</v>
      </c>
      <c r="B68" s="2">
        <v>0.05</v>
      </c>
      <c r="C68">
        <f>18.35+92.85+96.81+96.17+98.66</f>
        <v>402.84000000000003</v>
      </c>
      <c r="E68" s="2">
        <f t="shared" si="10"/>
        <v>79.239999999999995</v>
      </c>
      <c r="F68" s="2">
        <v>0.05</v>
      </c>
      <c r="G68">
        <f>79.24*5</f>
        <v>396.2</v>
      </c>
      <c r="I68" s="2">
        <f t="shared" si="11"/>
        <v>0</v>
      </c>
      <c r="J68" s="2">
        <v>0.05</v>
      </c>
    </row>
    <row r="69" spans="1:11" x14ac:dyDescent="0.25">
      <c r="A69" s="2">
        <f t="shared" si="9"/>
        <v>79.712000000000003</v>
      </c>
      <c r="B69" s="2">
        <v>0.06</v>
      </c>
      <c r="C69">
        <f>16.78+91.95+96.22+94.99+98.62</f>
        <v>398.56</v>
      </c>
      <c r="E69" s="2">
        <f t="shared" si="10"/>
        <v>75.010000000000005</v>
      </c>
      <c r="F69" s="2">
        <v>0.06</v>
      </c>
      <c r="G69">
        <f>75.01*5</f>
        <v>375.05</v>
      </c>
      <c r="I69" s="2">
        <f t="shared" si="11"/>
        <v>0</v>
      </c>
      <c r="J69" s="2">
        <v>0.06</v>
      </c>
    </row>
    <row r="70" spans="1:11" x14ac:dyDescent="0.25">
      <c r="A70" s="2">
        <f t="shared" si="9"/>
        <v>78.822000000000003</v>
      </c>
      <c r="B70" s="2">
        <v>7.0000000000000007E-2</v>
      </c>
      <c r="C70">
        <f>15.31+90.94+95.58+93.67+98.61</f>
        <v>394.11</v>
      </c>
      <c r="E70" s="2">
        <f t="shared" si="10"/>
        <v>70.61</v>
      </c>
      <c r="F70" s="2">
        <v>7.0000000000000007E-2</v>
      </c>
      <c r="G70">
        <f>70.61*5</f>
        <v>353.05</v>
      </c>
      <c r="I70" s="2">
        <f t="shared" si="11"/>
        <v>0</v>
      </c>
      <c r="J70" s="2">
        <v>7.0000000000000007E-2</v>
      </c>
    </row>
    <row r="71" spans="1:11" x14ac:dyDescent="0.25">
      <c r="A71" s="2">
        <f t="shared" si="9"/>
        <v>79.331999999999994</v>
      </c>
      <c r="B71" s="2">
        <v>0.08</v>
      </c>
      <c r="C71">
        <f>15.87+89.73+94.47+98.58+98.01</f>
        <v>396.65999999999997</v>
      </c>
      <c r="E71" s="2">
        <f t="shared" si="10"/>
        <v>65.94</v>
      </c>
      <c r="F71" s="2">
        <v>0.08</v>
      </c>
      <c r="G71">
        <f>65.94*5</f>
        <v>329.7</v>
      </c>
      <c r="I71" s="2">
        <f t="shared" si="11"/>
        <v>0</v>
      </c>
      <c r="J71" s="2">
        <v>0.08</v>
      </c>
    </row>
    <row r="72" spans="1:11" x14ac:dyDescent="0.25">
      <c r="A72" s="2">
        <f t="shared" si="9"/>
        <v>77.347999999999999</v>
      </c>
      <c r="B72" s="2">
        <v>0.09</v>
      </c>
      <c r="C72">
        <f>16.75+88.46+93.56+89.38+98.59</f>
        <v>386.74</v>
      </c>
      <c r="E72" s="2">
        <f t="shared" si="10"/>
        <v>59.970000000000006</v>
      </c>
      <c r="F72" s="2">
        <v>0.09</v>
      </c>
      <c r="G72">
        <f>59.97*5</f>
        <v>299.85000000000002</v>
      </c>
      <c r="I72" s="2">
        <f t="shared" si="11"/>
        <v>0</v>
      </c>
      <c r="J72" s="2">
        <v>0.09</v>
      </c>
    </row>
    <row r="73" spans="1:11" x14ac:dyDescent="0.25">
      <c r="A73" s="2">
        <f t="shared" si="9"/>
        <v>74.798000000000002</v>
      </c>
      <c r="B73" s="2">
        <v>0.1</v>
      </c>
      <c r="C73">
        <f>9.34+86.92+92.3+86.87+98.56</f>
        <v>373.99</v>
      </c>
      <c r="E73" s="2">
        <f t="shared" si="10"/>
        <v>54.39</v>
      </c>
      <c r="F73" s="2">
        <v>0.1</v>
      </c>
      <c r="G73">
        <f>54.39*5</f>
        <v>271.95</v>
      </c>
      <c r="I73" s="2">
        <f t="shared" si="11"/>
        <v>0</v>
      </c>
      <c r="J73" s="2">
        <v>0.1</v>
      </c>
    </row>
    <row r="74" spans="1:11" x14ac:dyDescent="0.25">
      <c r="A74" s="2">
        <f t="shared" si="9"/>
        <v>56.875999999999998</v>
      </c>
      <c r="B74" s="2">
        <v>0.2</v>
      </c>
      <c r="C74">
        <f>0+67.06+67.77+52.89+96.66</f>
        <v>284.38</v>
      </c>
      <c r="E74" s="2">
        <f t="shared" si="10"/>
        <v>16.489999999999998</v>
      </c>
      <c r="F74" s="2">
        <v>0.2</v>
      </c>
      <c r="G74">
        <f>16.49*5</f>
        <v>82.449999999999989</v>
      </c>
      <c r="I74" s="2">
        <f t="shared" si="11"/>
        <v>0</v>
      </c>
      <c r="J74" s="2">
        <v>0.2</v>
      </c>
    </row>
    <row r="75" spans="1:11" x14ac:dyDescent="0.25">
      <c r="A75" s="2">
        <f t="shared" si="9"/>
        <v>39.688000000000002</v>
      </c>
      <c r="B75" s="2">
        <v>0.3</v>
      </c>
      <c r="C75">
        <f>0+38.4+48.97+43.68+67.39</f>
        <v>198.44</v>
      </c>
      <c r="E75" s="2">
        <f t="shared" si="10"/>
        <v>12.74</v>
      </c>
      <c r="F75" s="2">
        <v>0.3</v>
      </c>
      <c r="G75">
        <f>12.74*5</f>
        <v>63.7</v>
      </c>
      <c r="I75" s="2">
        <f t="shared" si="11"/>
        <v>0</v>
      </c>
      <c r="J75" s="2">
        <v>0.3</v>
      </c>
    </row>
    <row r="76" spans="1:11" x14ac:dyDescent="0.25">
      <c r="A76" s="2">
        <f t="shared" si="9"/>
        <v>18.134</v>
      </c>
      <c r="B76" s="2">
        <v>0.4</v>
      </c>
      <c r="C76">
        <f>0.43+24.91+27.89+21.03+16.41</f>
        <v>90.67</v>
      </c>
      <c r="E76" s="2">
        <f t="shared" si="10"/>
        <v>11.93</v>
      </c>
      <c r="F76" s="2">
        <v>0.4</v>
      </c>
      <c r="G76">
        <f>11.93*5</f>
        <v>59.65</v>
      </c>
      <c r="I76" s="2">
        <f t="shared" si="11"/>
        <v>0</v>
      </c>
      <c r="J76" s="2">
        <v>0.4</v>
      </c>
    </row>
    <row r="77" spans="1:11" x14ac:dyDescent="0.25">
      <c r="A77" s="2">
        <f t="shared" si="9"/>
        <v>19.834</v>
      </c>
      <c r="B77" s="2">
        <v>0.5</v>
      </c>
      <c r="C77">
        <f>10.11+19.09+20.32+19.57+30.08</f>
        <v>99.17</v>
      </c>
      <c r="E77" s="2">
        <f t="shared" si="10"/>
        <v>10.6</v>
      </c>
      <c r="F77" s="2">
        <v>0.5</v>
      </c>
      <c r="G77">
        <f>10.6*5</f>
        <v>53</v>
      </c>
      <c r="I77" s="2">
        <f t="shared" si="11"/>
        <v>0</v>
      </c>
      <c r="J77" s="2">
        <v>0.5</v>
      </c>
    </row>
    <row r="79" spans="1:11" ht="15.75" x14ac:dyDescent="0.25">
      <c r="A79" s="6" t="s">
        <v>23</v>
      </c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x14ac:dyDescent="0.25">
      <c r="A80" s="7" t="s">
        <v>24</v>
      </c>
      <c r="B80" s="7"/>
      <c r="C80" s="7"/>
      <c r="D80" s="4"/>
      <c r="E80" s="7" t="s">
        <v>25</v>
      </c>
      <c r="F80" s="7"/>
      <c r="G80" s="7"/>
      <c r="H80" s="4"/>
      <c r="I80" s="7" t="s">
        <v>26</v>
      </c>
      <c r="J80" s="7"/>
      <c r="K80" s="7"/>
    </row>
    <row r="81" spans="1:11" x14ac:dyDescent="0.25">
      <c r="A81" s="3" t="s">
        <v>1</v>
      </c>
      <c r="B81" s="3" t="s">
        <v>0</v>
      </c>
      <c r="C81" s="3" t="s">
        <v>2</v>
      </c>
      <c r="D81" s="3"/>
      <c r="E81" s="3" t="s">
        <v>1</v>
      </c>
      <c r="F81" s="3" t="s">
        <v>0</v>
      </c>
      <c r="G81" s="3" t="s">
        <v>2</v>
      </c>
      <c r="H81" s="3"/>
      <c r="I81" s="3" t="s">
        <v>1</v>
      </c>
      <c r="J81" s="3" t="s">
        <v>0</v>
      </c>
      <c r="K81" s="3" t="s">
        <v>2</v>
      </c>
    </row>
    <row r="82" spans="1:11" x14ac:dyDescent="0.25">
      <c r="A82" s="2">
        <f>C82/5</f>
        <v>95.24</v>
      </c>
      <c r="B82" s="2">
        <v>0</v>
      </c>
      <c r="C82">
        <f>97.83+99.07+83.25+98.42+97.63</f>
        <v>476.2</v>
      </c>
      <c r="E82" s="2">
        <f>G82/5</f>
        <v>85.265999999999991</v>
      </c>
      <c r="F82" s="2">
        <v>0</v>
      </c>
      <c r="G82">
        <f>85.91+85.67+81.69+87.65+85.41</f>
        <v>426.32999999999993</v>
      </c>
      <c r="I82" s="2">
        <f>K82/5</f>
        <v>0</v>
      </c>
      <c r="J82" s="2">
        <v>0</v>
      </c>
    </row>
    <row r="83" spans="1:11" x14ac:dyDescent="0.25">
      <c r="A83" s="2">
        <f>C83/5</f>
        <v>95.244</v>
      </c>
      <c r="B83" s="2">
        <v>0.01</v>
      </c>
      <c r="C83">
        <f>97.68+99.04+82.95+98.62+97.93</f>
        <v>476.22</v>
      </c>
      <c r="E83" s="2">
        <f t="shared" ref="E83:E90" si="12">G83/5</f>
        <v>85.087999999999994</v>
      </c>
      <c r="F83" s="2">
        <v>0.01</v>
      </c>
      <c r="G83">
        <f>85.61+85.69+81.26+87.43+85.45</f>
        <v>425.44</v>
      </c>
      <c r="I83" s="2">
        <f>K83/5</f>
        <v>0</v>
      </c>
      <c r="J83" s="2">
        <v>0.01</v>
      </c>
    </row>
    <row r="84" spans="1:11" x14ac:dyDescent="0.25">
      <c r="A84" s="2">
        <f t="shared" ref="A84:A96" si="13">C84/5</f>
        <v>95.166000000000011</v>
      </c>
      <c r="B84" s="2">
        <v>0.02</v>
      </c>
      <c r="C84">
        <f>97.5+99.03+82.51+98.78+98.01</f>
        <v>475.83000000000004</v>
      </c>
      <c r="E84" s="2">
        <f t="shared" si="12"/>
        <v>84.762</v>
      </c>
      <c r="F84" s="2">
        <v>0.02</v>
      </c>
      <c r="G84">
        <f>85.11+85.64+80.71+87.15+85.2</f>
        <v>423.81</v>
      </c>
      <c r="I84" s="2">
        <f t="shared" ref="I84:I96" si="14">K84/5</f>
        <v>0</v>
      </c>
      <c r="J84" s="2">
        <v>0.02</v>
      </c>
    </row>
    <row r="85" spans="1:11" x14ac:dyDescent="0.25">
      <c r="A85" s="2">
        <f t="shared" si="13"/>
        <v>95.03</v>
      </c>
      <c r="B85" s="2">
        <v>0.03</v>
      </c>
      <c r="C85">
        <f>97.25+99+82.13+98.78+97.99</f>
        <v>475.15</v>
      </c>
      <c r="E85" s="2">
        <f t="shared" si="12"/>
        <v>84.383999999999986</v>
      </c>
      <c r="F85" s="2">
        <v>0.03</v>
      </c>
      <c r="G85">
        <f>84.41+85.3+80.18+86.9+85.13</f>
        <v>421.91999999999996</v>
      </c>
      <c r="I85" s="2">
        <f t="shared" si="14"/>
        <v>0</v>
      </c>
      <c r="J85" s="2">
        <v>0.03</v>
      </c>
    </row>
    <row r="86" spans="1:11" x14ac:dyDescent="0.25">
      <c r="A86" s="2">
        <f t="shared" si="13"/>
        <v>94.834000000000003</v>
      </c>
      <c r="B86" s="2">
        <v>0.04</v>
      </c>
      <c r="C86">
        <f>97+98.94+81.68+98.75+97.8</f>
        <v>474.17</v>
      </c>
      <c r="E86" s="2">
        <f t="shared" si="12"/>
        <v>83.917999999999992</v>
      </c>
      <c r="F86" s="2">
        <v>0.04</v>
      </c>
      <c r="G86">
        <f>83.85+84.85+79.33+86.54+85.02</f>
        <v>419.59</v>
      </c>
      <c r="I86" s="2">
        <f t="shared" si="14"/>
        <v>0</v>
      </c>
      <c r="J86" s="2">
        <v>0.04</v>
      </c>
    </row>
    <row r="87" spans="1:11" x14ac:dyDescent="0.25">
      <c r="A87" s="2">
        <f t="shared" si="13"/>
        <v>94.568000000000012</v>
      </c>
      <c r="B87" s="2">
        <v>0.05</v>
      </c>
      <c r="C87">
        <f>96.76+98.87+81.18+98.37+97.66</f>
        <v>472.84000000000003</v>
      </c>
      <c r="E87" s="2">
        <f t="shared" si="12"/>
        <v>83.314000000000007</v>
      </c>
      <c r="F87" s="2">
        <v>0.05</v>
      </c>
      <c r="G87">
        <f>82.84+84.48+78.55+85.97+84.73</f>
        <v>416.57000000000005</v>
      </c>
      <c r="I87" s="2">
        <f t="shared" si="14"/>
        <v>0</v>
      </c>
      <c r="J87" s="2">
        <v>0.05</v>
      </c>
    </row>
    <row r="88" spans="1:11" x14ac:dyDescent="0.25">
      <c r="A88" s="2">
        <f t="shared" si="13"/>
        <v>94.366</v>
      </c>
      <c r="B88" s="2">
        <v>0.06</v>
      </c>
      <c r="C88">
        <f>96.37+98.81+80.49+98.6+97.56</f>
        <v>471.83</v>
      </c>
      <c r="E88" s="2">
        <f t="shared" si="12"/>
        <v>82.72999999999999</v>
      </c>
      <c r="F88" s="2">
        <v>0.06</v>
      </c>
      <c r="G88">
        <f>81.97+84.04+77.82+85.37+84.45</f>
        <v>413.65</v>
      </c>
      <c r="I88" s="2">
        <f t="shared" si="14"/>
        <v>0</v>
      </c>
      <c r="J88" s="2">
        <v>0.06</v>
      </c>
    </row>
    <row r="89" spans="1:11" x14ac:dyDescent="0.25">
      <c r="A89" s="2">
        <f t="shared" si="13"/>
        <v>94.081999999999994</v>
      </c>
      <c r="B89" s="2">
        <v>7.0000000000000007E-2</v>
      </c>
      <c r="C89">
        <f>96.03+98.72+79.92+98.46+97.28</f>
        <v>470.40999999999997</v>
      </c>
      <c r="E89" s="2">
        <f t="shared" si="12"/>
        <v>82.063999999999993</v>
      </c>
      <c r="F89" s="2">
        <v>7.0000000000000007E-2</v>
      </c>
      <c r="G89">
        <f>80.98+83.55+77.03+84.77+83.99</f>
        <v>410.32</v>
      </c>
      <c r="I89" s="2">
        <f t="shared" si="14"/>
        <v>0</v>
      </c>
      <c r="J89" s="2">
        <v>7.0000000000000007E-2</v>
      </c>
    </row>
    <row r="90" spans="1:11" x14ac:dyDescent="0.25">
      <c r="A90" s="2">
        <f t="shared" si="13"/>
        <v>93.695999999999998</v>
      </c>
      <c r="B90" s="2">
        <v>0.08</v>
      </c>
      <c r="C90">
        <f>95.61+98.62+79.18+98.16+96.91</f>
        <v>468.48</v>
      </c>
      <c r="E90" s="2">
        <f t="shared" si="12"/>
        <v>81.38</v>
      </c>
      <c r="F90" s="2">
        <v>0.08</v>
      </c>
      <c r="G90">
        <f>80.04+82.96+76.14+84.3+83.46</f>
        <v>406.9</v>
      </c>
      <c r="I90" s="2">
        <f t="shared" si="14"/>
        <v>0</v>
      </c>
      <c r="J90" s="2">
        <v>0.08</v>
      </c>
    </row>
    <row r="91" spans="1:11" x14ac:dyDescent="0.25">
      <c r="A91" s="2">
        <f t="shared" si="13"/>
        <v>93.156000000000006</v>
      </c>
      <c r="B91" s="2">
        <v>0.09</v>
      </c>
      <c r="C91">
        <f>94.92+98.52+78.49+97.43+96.42</f>
        <v>465.78000000000003</v>
      </c>
      <c r="E91" s="2">
        <f t="shared" ref="E91:E96" si="15">G91/5</f>
        <v>80.556000000000012</v>
      </c>
      <c r="F91" s="2">
        <v>0.09</v>
      </c>
      <c r="G91">
        <f>78.84+82.19+75.14+83.67+82.94</f>
        <v>402.78000000000003</v>
      </c>
      <c r="I91" s="2">
        <f t="shared" si="14"/>
        <v>0</v>
      </c>
      <c r="J91" s="2">
        <v>0.09</v>
      </c>
    </row>
    <row r="92" spans="1:11" x14ac:dyDescent="0.25">
      <c r="A92" s="2">
        <f t="shared" si="13"/>
        <v>92.82</v>
      </c>
      <c r="B92" s="2">
        <v>0.1</v>
      </c>
      <c r="C92">
        <f>94.38+98.45+77.83+97.57+95.87</f>
        <v>464.09999999999997</v>
      </c>
      <c r="E92" s="2">
        <f t="shared" si="15"/>
        <v>79.81</v>
      </c>
      <c r="F92" s="2">
        <v>0.1</v>
      </c>
      <c r="G92">
        <f>77.87+81.47+74.18+83.09+82.44</f>
        <v>399.05</v>
      </c>
      <c r="I92" s="2">
        <f t="shared" si="14"/>
        <v>0</v>
      </c>
      <c r="J92" s="2">
        <v>0.1</v>
      </c>
    </row>
    <row r="93" spans="1:11" x14ac:dyDescent="0.25">
      <c r="A93" s="2">
        <f t="shared" si="13"/>
        <v>83.591999999999999</v>
      </c>
      <c r="B93" s="2">
        <v>0.2</v>
      </c>
      <c r="C93">
        <f>84.45+96.76+68.48+86.07+82.2</f>
        <v>417.96</v>
      </c>
      <c r="E93" s="2">
        <f t="shared" si="15"/>
        <v>69.746000000000009</v>
      </c>
      <c r="F93" s="2">
        <v>0.2</v>
      </c>
      <c r="G93">
        <f>66.01+71.29+62.1+74.24+75.09</f>
        <v>348.73</v>
      </c>
      <c r="I93" s="2">
        <f t="shared" si="14"/>
        <v>0</v>
      </c>
      <c r="J93" s="2">
        <v>0.2</v>
      </c>
    </row>
    <row r="94" spans="1:11" x14ac:dyDescent="0.25">
      <c r="A94" s="2">
        <f t="shared" si="13"/>
        <v>69.099999999999994</v>
      </c>
      <c r="B94" s="2">
        <v>0.3</v>
      </c>
      <c r="C94">
        <f>69.14+93.57+52.43+80.77+49.59</f>
        <v>345.5</v>
      </c>
      <c r="E94" s="2">
        <f t="shared" si="15"/>
        <v>57.603999999999999</v>
      </c>
      <c r="F94" s="2">
        <v>0.3</v>
      </c>
      <c r="G94">
        <f>53.34+57.23+50.2+60.81+66.44</f>
        <v>288.02</v>
      </c>
      <c r="I94" s="2">
        <f t="shared" si="14"/>
        <v>0</v>
      </c>
      <c r="J94" s="2">
        <v>0.3</v>
      </c>
    </row>
    <row r="95" spans="1:11" x14ac:dyDescent="0.25">
      <c r="A95" s="2">
        <f t="shared" si="13"/>
        <v>55.946000000000005</v>
      </c>
      <c r="B95" s="2">
        <v>0.4</v>
      </c>
      <c r="C95">
        <f>58.58+83.95+44.19+72.15+20.86</f>
        <v>279.73</v>
      </c>
      <c r="E95" s="2">
        <f t="shared" si="15"/>
        <v>44.203999999999994</v>
      </c>
      <c r="F95" s="2">
        <v>0.4</v>
      </c>
      <c r="G95">
        <f>40.77+42.91+38.55+40.62+58.17</f>
        <v>221.01999999999998</v>
      </c>
      <c r="I95" s="2">
        <f t="shared" si="14"/>
        <v>0</v>
      </c>
      <c r="J95" s="2">
        <v>0.4</v>
      </c>
    </row>
    <row r="96" spans="1:11" x14ac:dyDescent="0.25">
      <c r="A96" s="2">
        <f t="shared" si="13"/>
        <v>44.491999999999997</v>
      </c>
      <c r="B96" s="2">
        <v>0.5</v>
      </c>
      <c r="C96">
        <f>52.56+61.19+40.08+58.25+10.38</f>
        <v>222.45999999999998</v>
      </c>
      <c r="E96" s="2">
        <f t="shared" si="15"/>
        <v>31.278000000000002</v>
      </c>
      <c r="F96" s="2">
        <v>0.5</v>
      </c>
      <c r="G96">
        <f>29.64+29.63+29.85+20.71+46.56</f>
        <v>156.39000000000001</v>
      </c>
      <c r="I96" s="2">
        <f t="shared" si="14"/>
        <v>0</v>
      </c>
      <c r="J96" s="2">
        <v>0.5</v>
      </c>
    </row>
    <row r="98" spans="1:11" ht="15.75" x14ac:dyDescent="0.25">
      <c r="A98" s="6" t="s">
        <v>27</v>
      </c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x14ac:dyDescent="0.25">
      <c r="A99" s="7" t="s">
        <v>28</v>
      </c>
      <c r="B99" s="7"/>
      <c r="C99" s="7"/>
      <c r="D99" s="4"/>
      <c r="E99" s="7" t="s">
        <v>29</v>
      </c>
      <c r="F99" s="7"/>
      <c r="G99" s="7"/>
      <c r="H99" s="4"/>
      <c r="I99" s="7" t="s">
        <v>30</v>
      </c>
      <c r="J99" s="7"/>
      <c r="K99" s="7"/>
    </row>
    <row r="100" spans="1:11" x14ac:dyDescent="0.25">
      <c r="A100" s="3" t="s">
        <v>1</v>
      </c>
      <c r="B100" s="3" t="s">
        <v>0</v>
      </c>
      <c r="C100" s="3" t="s">
        <v>2</v>
      </c>
      <c r="D100" s="3"/>
      <c r="E100" s="3" t="s">
        <v>1</v>
      </c>
      <c r="F100" s="3" t="s">
        <v>0</v>
      </c>
      <c r="G100" s="3" t="s">
        <v>2</v>
      </c>
      <c r="H100" s="3"/>
      <c r="I100" s="3" t="s">
        <v>1</v>
      </c>
      <c r="J100" s="3" t="s">
        <v>0</v>
      </c>
      <c r="K100" s="3" t="s">
        <v>2</v>
      </c>
    </row>
    <row r="101" spans="1:11" x14ac:dyDescent="0.25">
      <c r="A101" s="2">
        <f>C101/5</f>
        <v>16.669999999999998</v>
      </c>
      <c r="B101" s="2">
        <v>0</v>
      </c>
      <c r="C101">
        <f>11.87+18.46+23.92+10.74+18.36</f>
        <v>83.35</v>
      </c>
      <c r="E101" s="2">
        <f>G101/5</f>
        <v>39.391999999999996</v>
      </c>
      <c r="F101" s="2">
        <v>0</v>
      </c>
      <c r="G101">
        <f>33.89+37.76+40.41+40.39+44.51</f>
        <v>196.95999999999998</v>
      </c>
      <c r="I101" s="2">
        <f>K101/5</f>
        <v>0</v>
      </c>
      <c r="J101" s="2">
        <v>0</v>
      </c>
    </row>
    <row r="102" spans="1:11" x14ac:dyDescent="0.25">
      <c r="A102" s="2">
        <f>C102/5</f>
        <v>17.274000000000001</v>
      </c>
      <c r="B102" s="2">
        <v>0.01</v>
      </c>
      <c r="C102">
        <f>11.54+19.54+24.24+11.98+19.07</f>
        <v>86.37</v>
      </c>
      <c r="E102" s="2">
        <f t="shared" ref="E102:E115" si="16">G102/5</f>
        <v>39.328000000000003</v>
      </c>
      <c r="F102" s="2">
        <v>0.01</v>
      </c>
      <c r="G102">
        <f>34.32+36.96+40.81+40.59+43.96</f>
        <v>196.64000000000001</v>
      </c>
      <c r="I102" s="2">
        <f>K102/5</f>
        <v>0</v>
      </c>
      <c r="J102" s="2">
        <v>0.01</v>
      </c>
    </row>
    <row r="103" spans="1:11" x14ac:dyDescent="0.25">
      <c r="A103" s="2">
        <f t="shared" ref="A103:A115" si="17">C103/5</f>
        <v>17.874000000000002</v>
      </c>
      <c r="B103" s="2">
        <v>0.02</v>
      </c>
      <c r="C103">
        <f>11.25+19.9+24.33+14.14+19.75</f>
        <v>89.37</v>
      </c>
      <c r="E103" s="2">
        <f t="shared" si="16"/>
        <v>39.233999999999995</v>
      </c>
      <c r="F103" s="2">
        <v>0.02</v>
      </c>
      <c r="G103">
        <f>34.41+36.35+41.11+40.86+43.44</f>
        <v>196.17</v>
      </c>
      <c r="I103" s="2">
        <f t="shared" ref="I103:I115" si="18">K103/5</f>
        <v>0</v>
      </c>
      <c r="J103" s="2">
        <v>0.02</v>
      </c>
    </row>
    <row r="104" spans="1:11" x14ac:dyDescent="0.25">
      <c r="A104" s="2">
        <f t="shared" si="17"/>
        <v>18.100000000000001</v>
      </c>
      <c r="B104" s="2">
        <v>0.03</v>
      </c>
      <c r="C104">
        <f>11.06+19.96+24.28+15.02+20.18</f>
        <v>90.5</v>
      </c>
      <c r="E104" s="2">
        <f t="shared" si="16"/>
        <v>38.917999999999999</v>
      </c>
      <c r="F104" s="2">
        <v>0.03</v>
      </c>
      <c r="G104">
        <f>34.72+35.41+41.14+40.67+42.65</f>
        <v>194.59</v>
      </c>
      <c r="I104" s="2">
        <f t="shared" si="18"/>
        <v>0</v>
      </c>
      <c r="J104" s="2">
        <v>0.03</v>
      </c>
    </row>
    <row r="105" spans="1:11" x14ac:dyDescent="0.25">
      <c r="A105" s="2">
        <f t="shared" si="17"/>
        <v>17.705999999999996</v>
      </c>
      <c r="B105" s="2">
        <v>0.04</v>
      </c>
      <c r="C105">
        <f>10.87+19.65+24.16+13.46+20.39</f>
        <v>88.529999999999987</v>
      </c>
      <c r="E105" s="2">
        <f t="shared" si="16"/>
        <v>38.494</v>
      </c>
      <c r="F105" s="2">
        <v>0.04</v>
      </c>
      <c r="G105">
        <f>34.84+34.66+41.36+40.36+41.25</f>
        <v>192.47</v>
      </c>
      <c r="I105" s="2">
        <f t="shared" si="18"/>
        <v>0</v>
      </c>
      <c r="J105" s="2">
        <v>0.04</v>
      </c>
    </row>
    <row r="106" spans="1:11" x14ac:dyDescent="0.25">
      <c r="A106" s="2">
        <f t="shared" si="17"/>
        <v>17.077999999999996</v>
      </c>
      <c r="B106" s="2">
        <v>0.05</v>
      </c>
      <c r="C106">
        <f>10.74+18.62+23.82+11.56+20.65</f>
        <v>85.389999999999986</v>
      </c>
      <c r="E106" s="2">
        <f t="shared" si="16"/>
        <v>38.315999999999995</v>
      </c>
      <c r="F106" s="2">
        <v>0.05</v>
      </c>
      <c r="G106">
        <f>34.93+33.88+41.32+40.2+41.25</f>
        <v>191.57999999999998</v>
      </c>
      <c r="I106" s="2">
        <f t="shared" si="18"/>
        <v>0</v>
      </c>
      <c r="J106" s="2">
        <v>0.05</v>
      </c>
    </row>
    <row r="107" spans="1:11" x14ac:dyDescent="0.25">
      <c r="A107" s="2">
        <f t="shared" si="17"/>
        <v>16.518000000000001</v>
      </c>
      <c r="B107" s="2">
        <v>0.06</v>
      </c>
      <c r="C107">
        <f>10.67+17.27+23.44+10.5+20.71</f>
        <v>82.59</v>
      </c>
      <c r="E107" s="2">
        <f t="shared" si="16"/>
        <v>37.950000000000003</v>
      </c>
      <c r="F107" s="2">
        <v>0.06</v>
      </c>
      <c r="G107">
        <f>35.01+33.16+41.13+39.77+40.68</f>
        <v>189.75</v>
      </c>
      <c r="I107" s="2">
        <f t="shared" si="18"/>
        <v>0</v>
      </c>
      <c r="J107" s="2">
        <v>0.06</v>
      </c>
    </row>
    <row r="108" spans="1:11" x14ac:dyDescent="0.25">
      <c r="A108" s="2">
        <f t="shared" si="17"/>
        <v>15.827999999999999</v>
      </c>
      <c r="B108" s="2">
        <v>7.0000000000000007E-2</v>
      </c>
      <c r="C108">
        <f>10.58+15.07+22.68+10.19+20.62</f>
        <v>79.14</v>
      </c>
      <c r="E108" s="2">
        <f t="shared" si="16"/>
        <v>37.608000000000004</v>
      </c>
      <c r="F108" s="2">
        <v>7.0000000000000007E-2</v>
      </c>
      <c r="G108">
        <f>35.34+32.31+41.09+39.34+39.96</f>
        <v>188.04000000000002</v>
      </c>
      <c r="I108" s="2">
        <f t="shared" si="18"/>
        <v>0</v>
      </c>
      <c r="J108" s="2">
        <v>7.0000000000000007E-2</v>
      </c>
    </row>
    <row r="109" spans="1:11" x14ac:dyDescent="0.25">
      <c r="A109" s="2">
        <f t="shared" si="17"/>
        <v>15.190000000000001</v>
      </c>
      <c r="B109" s="2">
        <v>0.08</v>
      </c>
      <c r="C109">
        <f>10.52+13.41+21.91+10.11+20</f>
        <v>75.95</v>
      </c>
      <c r="E109" s="2">
        <f t="shared" si="16"/>
        <v>37.257999999999996</v>
      </c>
      <c r="F109" s="2">
        <v>0.08</v>
      </c>
      <c r="G109">
        <f>35.4+31.51+41.05+38.92+39.41</f>
        <v>186.29</v>
      </c>
      <c r="I109" s="2">
        <f t="shared" si="18"/>
        <v>0</v>
      </c>
      <c r="J109" s="2">
        <v>0.08</v>
      </c>
    </row>
    <row r="110" spans="1:11" x14ac:dyDescent="0.25">
      <c r="A110" s="2">
        <f t="shared" si="17"/>
        <v>14.406000000000001</v>
      </c>
      <c r="B110" s="2">
        <v>0.09</v>
      </c>
      <c r="C110">
        <f>10.49+11.69+20.94+10.09+18.82</f>
        <v>72.03</v>
      </c>
      <c r="E110" s="2">
        <f t="shared" si="16"/>
        <v>36.746000000000002</v>
      </c>
      <c r="F110" s="2">
        <v>0.09</v>
      </c>
      <c r="G110">
        <f>35.36+30.67+40.87+38.16+38.67</f>
        <v>183.73000000000002</v>
      </c>
      <c r="I110" s="2">
        <f t="shared" si="18"/>
        <v>0</v>
      </c>
      <c r="J110" s="2">
        <v>0.09</v>
      </c>
    </row>
    <row r="111" spans="1:11" x14ac:dyDescent="0.25">
      <c r="A111" s="2">
        <f t="shared" si="17"/>
        <v>13.52</v>
      </c>
      <c r="B111" s="2">
        <v>0.1</v>
      </c>
      <c r="C111">
        <f>10.43+10.63+19.3+10.09+17.15</f>
        <v>67.599999999999994</v>
      </c>
      <c r="E111" s="2">
        <f t="shared" si="16"/>
        <v>36.351999999999997</v>
      </c>
      <c r="F111" s="2">
        <v>0.1</v>
      </c>
      <c r="G111">
        <f>35.31+30.1+40.66+37.6+38.09</f>
        <v>181.76</v>
      </c>
      <c r="I111" s="2">
        <f t="shared" si="18"/>
        <v>0</v>
      </c>
      <c r="J111" s="2">
        <v>0.1</v>
      </c>
    </row>
    <row r="112" spans="1:11" x14ac:dyDescent="0.25">
      <c r="A112" s="2">
        <f t="shared" si="17"/>
        <v>10.886000000000001</v>
      </c>
      <c r="B112" s="2">
        <v>0.2</v>
      </c>
      <c r="C112">
        <f>10.38+13.5+10.67+10.1+9.78</f>
        <v>54.430000000000007</v>
      </c>
      <c r="E112" s="2">
        <f t="shared" si="16"/>
        <v>32.858000000000004</v>
      </c>
      <c r="F112" s="2">
        <v>0.2</v>
      </c>
      <c r="G112">
        <f>35.19+25.62+37.85+32.71+32.92</f>
        <v>164.29000000000002</v>
      </c>
      <c r="I112" s="2">
        <f t="shared" si="18"/>
        <v>0</v>
      </c>
      <c r="J112" s="2">
        <v>0.2</v>
      </c>
    </row>
    <row r="113" spans="1:11" x14ac:dyDescent="0.25">
      <c r="A113" s="2">
        <f t="shared" si="17"/>
        <v>10.492000000000001</v>
      </c>
      <c r="B113" s="2">
        <v>0.3</v>
      </c>
      <c r="C113">
        <f>10.32+9.83+12.12+10.09+10.1</f>
        <v>52.46</v>
      </c>
      <c r="E113" s="2">
        <f t="shared" si="16"/>
        <v>30.659999999999997</v>
      </c>
      <c r="F113" s="2">
        <v>0.3</v>
      </c>
      <c r="G113">
        <f>34.36+22.72+35.99+30.39+29.84</f>
        <v>153.29999999999998</v>
      </c>
      <c r="I113" s="2">
        <f t="shared" si="18"/>
        <v>0</v>
      </c>
      <c r="J113" s="2">
        <v>0.3</v>
      </c>
    </row>
    <row r="114" spans="1:11" x14ac:dyDescent="0.25">
      <c r="A114" s="2">
        <f t="shared" si="17"/>
        <v>10.672000000000001</v>
      </c>
      <c r="B114" s="2">
        <v>0.4</v>
      </c>
      <c r="C114">
        <f>10.57+9.76+12.83+10.1+10.1</f>
        <v>53.36</v>
      </c>
      <c r="E114" s="2">
        <f t="shared" si="16"/>
        <v>29.417999999999999</v>
      </c>
      <c r="F114" s="2">
        <v>0.4</v>
      </c>
      <c r="G114">
        <f>33.64+21.25+34.36+29.19+28.65</f>
        <v>147.09</v>
      </c>
      <c r="I114" s="2">
        <f t="shared" si="18"/>
        <v>0</v>
      </c>
      <c r="J114" s="2">
        <v>0.4</v>
      </c>
    </row>
    <row r="115" spans="1:11" x14ac:dyDescent="0.25">
      <c r="A115" s="2">
        <f t="shared" si="17"/>
        <v>11.194000000000001</v>
      </c>
      <c r="B115" s="2">
        <v>0.5</v>
      </c>
      <c r="C115">
        <f>12.09+9.76+13.92+10.1+10.1</f>
        <v>55.970000000000006</v>
      </c>
      <c r="E115" s="2">
        <f t="shared" si="16"/>
        <v>28.814</v>
      </c>
      <c r="F115" s="2">
        <v>0.5</v>
      </c>
      <c r="G115">
        <f>33.3+20.42+33.31+28.81+28.23</f>
        <v>144.07</v>
      </c>
      <c r="I115" s="2">
        <f t="shared" si="18"/>
        <v>0</v>
      </c>
      <c r="J115" s="2">
        <v>0.5</v>
      </c>
    </row>
    <row r="117" spans="1:11" ht="15.75" x14ac:dyDescent="0.25">
      <c r="A117" s="6" t="s">
        <v>31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spans="1:11" x14ac:dyDescent="0.25">
      <c r="A118" s="7" t="s">
        <v>32</v>
      </c>
      <c r="B118" s="7"/>
      <c r="C118" s="7"/>
      <c r="D118" s="4"/>
      <c r="E118" s="7" t="s">
        <v>33</v>
      </c>
      <c r="F118" s="7"/>
      <c r="G118" s="7"/>
      <c r="H118" s="4"/>
      <c r="I118" s="7" t="s">
        <v>34</v>
      </c>
      <c r="J118" s="7"/>
      <c r="K118" s="7"/>
    </row>
    <row r="119" spans="1:11" x14ac:dyDescent="0.25">
      <c r="A119" s="3" t="s">
        <v>1</v>
      </c>
      <c r="B119" s="3" t="s">
        <v>0</v>
      </c>
      <c r="C119" s="3" t="s">
        <v>2</v>
      </c>
      <c r="D119" s="3"/>
      <c r="E119" s="3" t="s">
        <v>1</v>
      </c>
      <c r="F119" s="3" t="s">
        <v>0</v>
      </c>
      <c r="G119" s="3" t="s">
        <v>2</v>
      </c>
      <c r="H119" s="3"/>
      <c r="I119" s="3" t="s">
        <v>1</v>
      </c>
      <c r="J119" s="3" t="s">
        <v>0</v>
      </c>
      <c r="K119" s="3" t="s">
        <v>2</v>
      </c>
    </row>
    <row r="120" spans="1:11" x14ac:dyDescent="0.25">
      <c r="A120" s="2">
        <f>C120/5</f>
        <v>11.032</v>
      </c>
      <c r="B120" s="2">
        <v>0</v>
      </c>
      <c r="C120">
        <f>10.09+10.09+10.09+10.51+14.38</f>
        <v>55.160000000000004</v>
      </c>
      <c r="E120" s="2">
        <f>G120/5</f>
        <v>17.494</v>
      </c>
      <c r="F120" s="2">
        <v>0</v>
      </c>
      <c r="G120">
        <f>17.13+19.12+21.68+10+19.54</f>
        <v>87.47</v>
      </c>
      <c r="I120" s="2">
        <f>K120/5</f>
        <v>0</v>
      </c>
      <c r="J120" s="2">
        <v>0</v>
      </c>
    </row>
    <row r="121" spans="1:11" x14ac:dyDescent="0.25">
      <c r="A121" s="2">
        <f>C121/5</f>
        <v>10.937999999999999</v>
      </c>
      <c r="B121" s="2">
        <v>0.01</v>
      </c>
      <c r="C121">
        <f>10.09+10.09+10.09+11.02+13.4</f>
        <v>54.69</v>
      </c>
      <c r="E121" s="2">
        <f>G121/5</f>
        <v>17.161999999999999</v>
      </c>
      <c r="F121" s="2">
        <v>0.01</v>
      </c>
      <c r="G121">
        <f>16.95+18.63+21.24+10+18.99</f>
        <v>85.809999999999988</v>
      </c>
      <c r="I121" s="2">
        <f>K121/5</f>
        <v>0</v>
      </c>
      <c r="J121" s="2">
        <v>0.01</v>
      </c>
    </row>
    <row r="122" spans="1:11" x14ac:dyDescent="0.25">
      <c r="A122" s="2">
        <f t="shared" ref="A122:A134" si="19">C122/5</f>
        <v>10.958</v>
      </c>
      <c r="B122" s="2">
        <v>0.02</v>
      </c>
      <c r="C122">
        <f>10.09+10.09+10.09+11.94+12.58</f>
        <v>54.79</v>
      </c>
      <c r="E122" s="2">
        <f t="shared" ref="E122:E134" si="20">G122/5</f>
        <v>16.956000000000003</v>
      </c>
      <c r="F122" s="2">
        <v>0.02</v>
      </c>
      <c r="G122">
        <f>16.76+18.34+20.8+10.01+18.87</f>
        <v>84.780000000000015</v>
      </c>
      <c r="I122" s="2">
        <f t="shared" ref="I122:I134" si="21">K122/5</f>
        <v>0</v>
      </c>
      <c r="J122" s="2">
        <v>0.02</v>
      </c>
    </row>
    <row r="123" spans="1:11" x14ac:dyDescent="0.25">
      <c r="A123" s="2">
        <f t="shared" si="19"/>
        <v>10.918000000000001</v>
      </c>
      <c r="B123" s="2">
        <v>0.03</v>
      </c>
      <c r="C123">
        <f>10.09+10.09+10.09+12.33+11.99</f>
        <v>54.59</v>
      </c>
      <c r="E123" s="2">
        <f t="shared" si="20"/>
        <v>16.8</v>
      </c>
      <c r="F123" s="2">
        <v>0.03</v>
      </c>
      <c r="G123">
        <f>16.61+18.33+20.31+10.06+18.69</f>
        <v>84</v>
      </c>
      <c r="I123" s="2">
        <f t="shared" si="21"/>
        <v>0</v>
      </c>
      <c r="J123" s="2">
        <v>0.03</v>
      </c>
    </row>
    <row r="124" spans="1:11" x14ac:dyDescent="0.25">
      <c r="A124" s="2">
        <f t="shared" si="19"/>
        <v>10.878</v>
      </c>
      <c r="B124" s="2">
        <v>0.04</v>
      </c>
      <c r="C124">
        <f>10.09+10.09+10.09+12.42+11.7</f>
        <v>54.39</v>
      </c>
      <c r="E124" s="2">
        <f t="shared" si="20"/>
        <v>16.631999999999998</v>
      </c>
      <c r="F124" s="2">
        <v>0.04</v>
      </c>
      <c r="G124">
        <f>16.38+18.28+19.79+10.11+18.6</f>
        <v>83.16</v>
      </c>
      <c r="I124" s="2">
        <f t="shared" si="21"/>
        <v>0</v>
      </c>
      <c r="J124" s="2">
        <v>0.04</v>
      </c>
    </row>
    <row r="125" spans="1:11" x14ac:dyDescent="0.25">
      <c r="A125" s="2">
        <f t="shared" si="19"/>
        <v>10.824000000000002</v>
      </c>
      <c r="B125" s="2">
        <v>0.05</v>
      </c>
      <c r="C125">
        <f>10.09+10.09+10.09+12.32+11.53</f>
        <v>54.120000000000005</v>
      </c>
      <c r="E125" s="2">
        <f t="shared" si="20"/>
        <v>16.523999999999997</v>
      </c>
      <c r="F125" s="2">
        <v>0.05</v>
      </c>
      <c r="G125">
        <f>16.17+18.29+19.31+10.22+18.63</f>
        <v>82.61999999999999</v>
      </c>
      <c r="I125" s="2">
        <f t="shared" si="21"/>
        <v>0</v>
      </c>
      <c r="J125" s="2">
        <v>0.05</v>
      </c>
    </row>
    <row r="126" spans="1:11" x14ac:dyDescent="0.25">
      <c r="A126" s="2">
        <f t="shared" si="19"/>
        <v>10.827999999999999</v>
      </c>
      <c r="B126" s="2">
        <v>0.06</v>
      </c>
      <c r="C126">
        <f>10.09+10.09+10.09+12.42+11.45</f>
        <v>54.14</v>
      </c>
      <c r="E126" s="2">
        <f t="shared" si="20"/>
        <v>16.372</v>
      </c>
      <c r="F126" s="2">
        <v>0.06</v>
      </c>
      <c r="G126">
        <f>15.98+18.25+18.94+10.05+18.64</f>
        <v>81.86</v>
      </c>
      <c r="I126" s="2">
        <f t="shared" si="21"/>
        <v>0</v>
      </c>
      <c r="J126" s="2">
        <v>0.06</v>
      </c>
    </row>
    <row r="127" spans="1:11" x14ac:dyDescent="0.25">
      <c r="A127" s="2">
        <f t="shared" si="19"/>
        <v>10.788</v>
      </c>
      <c r="B127" s="2">
        <v>7.0000000000000007E-2</v>
      </c>
      <c r="C127">
        <f>10.09+10.09+10.09+12.25+11.42</f>
        <v>53.94</v>
      </c>
      <c r="E127" s="2">
        <f t="shared" si="20"/>
        <v>16.161999999999999</v>
      </c>
      <c r="F127" s="2">
        <v>7.0000000000000007E-2</v>
      </c>
      <c r="G127">
        <f>15.92+18.21+18.57+9.43+18.68</f>
        <v>80.81</v>
      </c>
      <c r="I127" s="2">
        <f t="shared" si="21"/>
        <v>0</v>
      </c>
      <c r="J127" s="2">
        <v>7.0000000000000007E-2</v>
      </c>
    </row>
    <row r="128" spans="1:11" x14ac:dyDescent="0.25">
      <c r="A128" s="2">
        <f t="shared" si="19"/>
        <v>11.01</v>
      </c>
      <c r="B128" s="2">
        <v>0.08</v>
      </c>
      <c r="C128">
        <f>10.09+10.09+10.09+13.38+11.4</f>
        <v>55.05</v>
      </c>
      <c r="E128" s="2">
        <f t="shared" si="20"/>
        <v>16.058</v>
      </c>
      <c r="F128" s="2">
        <v>0.08</v>
      </c>
      <c r="G128">
        <f>15.88+18.18+18.3+9.23+18.7</f>
        <v>80.290000000000006</v>
      </c>
      <c r="I128" s="2">
        <f t="shared" si="21"/>
        <v>0</v>
      </c>
      <c r="J128" s="2">
        <v>0.08</v>
      </c>
    </row>
    <row r="129" spans="1:11" x14ac:dyDescent="0.25">
      <c r="A129" s="2">
        <f t="shared" si="19"/>
        <v>11.494</v>
      </c>
      <c r="B129" s="2">
        <v>0.09</v>
      </c>
      <c r="C129">
        <f>10.09+10.09+10.09+15.83+11.37</f>
        <v>57.47</v>
      </c>
      <c r="E129" s="2">
        <f t="shared" si="20"/>
        <v>15.976000000000003</v>
      </c>
      <c r="F129" s="2">
        <v>0.09</v>
      </c>
      <c r="G129">
        <f>15.74+18.26+18.09+9.09+18.7</f>
        <v>79.88000000000001</v>
      </c>
      <c r="I129" s="2">
        <f t="shared" si="21"/>
        <v>0</v>
      </c>
      <c r="J129" s="2">
        <v>0.09</v>
      </c>
    </row>
    <row r="130" spans="1:11" x14ac:dyDescent="0.25">
      <c r="A130" s="2">
        <f t="shared" si="19"/>
        <v>11.899999999999999</v>
      </c>
      <c r="B130" s="2">
        <v>0.1</v>
      </c>
      <c r="C130">
        <f>10.09+10.09+10.09+17.86+11.37</f>
        <v>59.499999999999993</v>
      </c>
      <c r="E130" s="2">
        <f t="shared" si="20"/>
        <v>15.974</v>
      </c>
      <c r="F130" s="2">
        <v>0.1</v>
      </c>
      <c r="G130">
        <f>15.66+18.32+17.87+9.28+18.74</f>
        <v>79.87</v>
      </c>
      <c r="I130" s="2">
        <f t="shared" si="21"/>
        <v>0</v>
      </c>
      <c r="J130" s="2">
        <v>0.1</v>
      </c>
    </row>
    <row r="131" spans="1:11" x14ac:dyDescent="0.25">
      <c r="A131" s="2">
        <f t="shared" si="19"/>
        <v>10.148</v>
      </c>
      <c r="B131" s="2">
        <v>0.2</v>
      </c>
      <c r="C131">
        <f>10.09+10.09+10.09+9+11.47</f>
        <v>50.739999999999995</v>
      </c>
      <c r="E131" s="2">
        <f t="shared" si="20"/>
        <v>15.731999999999999</v>
      </c>
      <c r="F131" s="2">
        <v>0.2</v>
      </c>
      <c r="G131">
        <f>15+18.38+16.44+10+18.84</f>
        <v>78.66</v>
      </c>
      <c r="I131" s="2">
        <f t="shared" si="21"/>
        <v>0</v>
      </c>
      <c r="J131" s="2">
        <v>0.2</v>
      </c>
    </row>
    <row r="132" spans="1:11" x14ac:dyDescent="0.25">
      <c r="A132" s="2">
        <f t="shared" si="19"/>
        <v>10.66</v>
      </c>
      <c r="B132" s="2">
        <v>0.3</v>
      </c>
      <c r="C132">
        <f>10.09+10.09+10.09+9+14.03</f>
        <v>53.3</v>
      </c>
      <c r="E132" s="2">
        <f t="shared" si="20"/>
        <v>15.457999999999998</v>
      </c>
      <c r="F132" s="2">
        <v>0.3</v>
      </c>
      <c r="G132">
        <f>14.47+18.43+15.62+9.99+18.78</f>
        <v>77.289999999999992</v>
      </c>
      <c r="I132" s="2">
        <f t="shared" si="21"/>
        <v>0</v>
      </c>
      <c r="J132" s="2">
        <v>0.3</v>
      </c>
    </row>
    <row r="133" spans="1:11" x14ac:dyDescent="0.25">
      <c r="A133" s="2">
        <f t="shared" si="19"/>
        <v>11.474</v>
      </c>
      <c r="B133" s="2">
        <v>0.4</v>
      </c>
      <c r="C133">
        <f>10.09+10.09+10.09+9+18.1</f>
        <v>57.37</v>
      </c>
      <c r="E133" s="2">
        <f t="shared" si="20"/>
        <v>15.223999999999998</v>
      </c>
      <c r="F133" s="2">
        <v>0.4</v>
      </c>
      <c r="G133">
        <f>14.23+18.33+14.77+10.02+18.77</f>
        <v>76.11999999999999</v>
      </c>
      <c r="I133" s="2">
        <f t="shared" si="21"/>
        <v>0</v>
      </c>
      <c r="J133" s="2">
        <v>0.4</v>
      </c>
    </row>
    <row r="134" spans="1:11" x14ac:dyDescent="0.25">
      <c r="A134" s="2">
        <f t="shared" si="19"/>
        <v>11.745999999999999</v>
      </c>
      <c r="B134" s="2">
        <v>0.5</v>
      </c>
      <c r="C134">
        <f>10.09+10.09+10.09+9+19.46</f>
        <v>58.73</v>
      </c>
      <c r="E134" s="2">
        <f t="shared" si="20"/>
        <v>15.112</v>
      </c>
      <c r="F134" s="2">
        <v>0.5</v>
      </c>
      <c r="G134">
        <f>14.06+18.47+14.3+10.02+18.71</f>
        <v>75.56</v>
      </c>
      <c r="I134" s="2">
        <f t="shared" si="21"/>
        <v>0</v>
      </c>
      <c r="J134" s="2">
        <v>0.5</v>
      </c>
    </row>
    <row r="137" spans="1:11" x14ac:dyDescent="0.25">
      <c r="A137" s="7" t="s">
        <v>35</v>
      </c>
      <c r="B137" s="7"/>
      <c r="C137" s="7"/>
      <c r="E137" s="7" t="s">
        <v>36</v>
      </c>
      <c r="F137" s="7"/>
      <c r="G137" s="7"/>
      <c r="I137" s="7" t="s">
        <v>37</v>
      </c>
      <c r="J137" s="7"/>
      <c r="K137" s="7"/>
    </row>
    <row r="138" spans="1:11" s="3" customFormat="1" x14ac:dyDescent="0.25">
      <c r="A138" s="3" t="s">
        <v>38</v>
      </c>
      <c r="B138"/>
      <c r="C138" s="3" t="s">
        <v>1</v>
      </c>
      <c r="E138" s="3" t="s">
        <v>38</v>
      </c>
      <c r="F138"/>
      <c r="G138" s="3" t="s">
        <v>1</v>
      </c>
      <c r="I138" s="3" t="s">
        <v>38</v>
      </c>
      <c r="J138"/>
      <c r="K138" s="3" t="s">
        <v>1</v>
      </c>
    </row>
    <row r="139" spans="1:11" x14ac:dyDescent="0.25">
      <c r="A139" t="s">
        <v>39</v>
      </c>
      <c r="C139" s="2">
        <f>A6</f>
        <v>96.597999999999999</v>
      </c>
      <c r="E139" t="s">
        <v>39</v>
      </c>
      <c r="G139" s="2">
        <f>E6</f>
        <v>75.59</v>
      </c>
      <c r="I139" t="s">
        <v>39</v>
      </c>
      <c r="K139" s="2">
        <f>I6</f>
        <v>0</v>
      </c>
    </row>
    <row r="140" spans="1:11" x14ac:dyDescent="0.25">
      <c r="A140" t="s">
        <v>40</v>
      </c>
      <c r="C140" s="2">
        <f>A25</f>
        <v>93.378</v>
      </c>
      <c r="E140" t="s">
        <v>40</v>
      </c>
      <c r="G140" s="2">
        <f>E25</f>
        <v>74.527999999999992</v>
      </c>
      <c r="I140" t="s">
        <v>40</v>
      </c>
      <c r="K140" s="2">
        <f>I25</f>
        <v>0</v>
      </c>
    </row>
    <row r="141" spans="1:11" x14ac:dyDescent="0.25">
      <c r="A141" t="s">
        <v>41</v>
      </c>
      <c r="C141" s="2">
        <f>A44</f>
        <v>97.001999999999995</v>
      </c>
      <c r="E141" t="s">
        <v>41</v>
      </c>
      <c r="G141" s="2">
        <f>E44</f>
        <v>81.337999999999994</v>
      </c>
      <c r="I141" t="s">
        <v>41</v>
      </c>
      <c r="K141" s="2">
        <f>I44</f>
        <v>0</v>
      </c>
    </row>
    <row r="142" spans="1:11" x14ac:dyDescent="0.25">
      <c r="A142" t="s">
        <v>42</v>
      </c>
      <c r="C142" s="2">
        <f>A63</f>
        <v>97.97</v>
      </c>
      <c r="E142" t="s">
        <v>42</v>
      </c>
      <c r="G142" s="2">
        <f>E63</f>
        <v>90.92</v>
      </c>
      <c r="I142" t="s">
        <v>42</v>
      </c>
      <c r="K142" s="2">
        <f>I63</f>
        <v>0</v>
      </c>
    </row>
    <row r="143" spans="1:11" x14ac:dyDescent="0.25">
      <c r="A143" t="s">
        <v>43</v>
      </c>
      <c r="C143" s="2">
        <f>A82</f>
        <v>95.24</v>
      </c>
      <c r="E143" t="s">
        <v>43</v>
      </c>
      <c r="G143" s="2">
        <f>E82</f>
        <v>85.265999999999991</v>
      </c>
      <c r="I143" t="s">
        <v>43</v>
      </c>
      <c r="K143" s="2">
        <f>I82</f>
        <v>0</v>
      </c>
    </row>
    <row r="144" spans="1:11" x14ac:dyDescent="0.25">
      <c r="A144" t="s">
        <v>44</v>
      </c>
      <c r="C144" s="2">
        <f>A101</f>
        <v>16.669999999999998</v>
      </c>
      <c r="E144" t="s">
        <v>44</v>
      </c>
      <c r="G144" s="2">
        <f>E101</f>
        <v>39.391999999999996</v>
      </c>
      <c r="I144" t="s">
        <v>44</v>
      </c>
      <c r="K144" s="2">
        <f>I101</f>
        <v>0</v>
      </c>
    </row>
    <row r="145" spans="1:11" x14ac:dyDescent="0.25">
      <c r="A145" t="s">
        <v>45</v>
      </c>
      <c r="C145" s="2">
        <f>A120</f>
        <v>11.032</v>
      </c>
      <c r="E145" t="s">
        <v>45</v>
      </c>
      <c r="G145" s="2">
        <f>E120</f>
        <v>17.494</v>
      </c>
      <c r="I145" t="s">
        <v>45</v>
      </c>
      <c r="K145" s="2">
        <f>I120</f>
        <v>0</v>
      </c>
    </row>
  </sheetData>
  <mergeCells count="32">
    <mergeCell ref="A137:C137"/>
    <mergeCell ref="E137:G137"/>
    <mergeCell ref="I137:K137"/>
    <mergeCell ref="A117:K117"/>
    <mergeCell ref="A118:C118"/>
    <mergeCell ref="E118:G118"/>
    <mergeCell ref="I118:K118"/>
    <mergeCell ref="A98:K98"/>
    <mergeCell ref="A99:C99"/>
    <mergeCell ref="E99:G99"/>
    <mergeCell ref="I99:K99"/>
    <mergeCell ref="A79:K79"/>
    <mergeCell ref="A80:C80"/>
    <mergeCell ref="E80:G80"/>
    <mergeCell ref="I80:K80"/>
    <mergeCell ref="A60:K60"/>
    <mergeCell ref="A61:C61"/>
    <mergeCell ref="E61:G61"/>
    <mergeCell ref="I61:K61"/>
    <mergeCell ref="A41:K41"/>
    <mergeCell ref="A42:C42"/>
    <mergeCell ref="E42:G42"/>
    <mergeCell ref="I42:K42"/>
    <mergeCell ref="A1:K1"/>
    <mergeCell ref="A3:K3"/>
    <mergeCell ref="A22:K22"/>
    <mergeCell ref="A23:C23"/>
    <mergeCell ref="E23:G23"/>
    <mergeCell ref="I23:K23"/>
    <mergeCell ref="A4:C4"/>
    <mergeCell ref="E4:G4"/>
    <mergeCell ref="I4:K4"/>
  </mergeCells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FB46-611D-4C69-BF4D-AAF86A3749DC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2FD27-2957-4E5E-9083-A23CA00D16E3}">
  <dimension ref="A1:K55"/>
  <sheetViews>
    <sheetView tabSelected="1" topLeftCell="A10" workbookViewId="0">
      <selection activeCell="D25" sqref="D25"/>
    </sheetView>
  </sheetViews>
  <sheetFormatPr baseColWidth="10" defaultRowHeight="15" x14ac:dyDescent="0.25"/>
  <cols>
    <col min="3" max="3" width="13.42578125" bestFit="1" customWidth="1"/>
    <col min="7" max="7" width="13.42578125" bestFit="1" customWidth="1"/>
    <col min="11" max="11" width="13.42578125" bestFit="1" customWidth="1"/>
  </cols>
  <sheetData>
    <row r="1" spans="1:11" ht="15.75" x14ac:dyDescent="0.25">
      <c r="A1" s="6" t="s">
        <v>13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7" t="s">
        <v>6</v>
      </c>
      <c r="B2" s="7"/>
      <c r="C2" s="7"/>
      <c r="D2" s="4"/>
      <c r="E2" s="7" t="s">
        <v>7</v>
      </c>
      <c r="F2" s="7"/>
      <c r="G2" s="7"/>
      <c r="H2" s="4"/>
      <c r="I2" s="7" t="s">
        <v>8</v>
      </c>
      <c r="J2" s="7"/>
      <c r="K2" s="7"/>
    </row>
    <row r="3" spans="1:11" x14ac:dyDescent="0.25">
      <c r="A3" s="3" t="s">
        <v>1</v>
      </c>
      <c r="B3" s="3" t="s">
        <v>9</v>
      </c>
      <c r="C3" s="3" t="s">
        <v>2</v>
      </c>
      <c r="D3" s="3"/>
      <c r="E3" s="3" t="s">
        <v>1</v>
      </c>
      <c r="F3" s="3" t="s">
        <v>9</v>
      </c>
      <c r="G3" s="3" t="s">
        <v>2</v>
      </c>
      <c r="H3" s="3"/>
      <c r="I3" s="3" t="s">
        <v>1</v>
      </c>
      <c r="J3" s="3" t="s">
        <v>9</v>
      </c>
      <c r="K3" s="3" t="s">
        <v>2</v>
      </c>
    </row>
    <row r="4" spans="1:11" x14ac:dyDescent="0.25">
      <c r="A4" s="2">
        <f>C4/5</f>
        <v>0</v>
      </c>
      <c r="B4" s="2">
        <v>0</v>
      </c>
      <c r="E4" s="2">
        <f>G4/5</f>
        <v>0</v>
      </c>
      <c r="F4" s="2">
        <v>0</v>
      </c>
      <c r="I4" s="2">
        <f>K4/5</f>
        <v>0</v>
      </c>
      <c r="J4" s="2">
        <v>0</v>
      </c>
    </row>
    <row r="5" spans="1:11" x14ac:dyDescent="0.25">
      <c r="A5" s="2">
        <f t="shared" ref="A5:A19" si="0">C5/5</f>
        <v>0</v>
      </c>
      <c r="B5" s="2">
        <v>1</v>
      </c>
      <c r="E5" s="2">
        <f t="shared" ref="E5:E19" si="1">G5/5</f>
        <v>0</v>
      </c>
      <c r="F5" s="2">
        <v>1</v>
      </c>
      <c r="I5" s="2">
        <f t="shared" ref="I5:I19" si="2">K5/5</f>
        <v>0</v>
      </c>
      <c r="J5" s="2">
        <v>1</v>
      </c>
    </row>
    <row r="6" spans="1:11" x14ac:dyDescent="0.25">
      <c r="A6" s="2">
        <f t="shared" si="0"/>
        <v>0</v>
      </c>
      <c r="B6" s="2">
        <v>2</v>
      </c>
      <c r="E6" s="2">
        <f t="shared" si="1"/>
        <v>0</v>
      </c>
      <c r="F6" s="2">
        <v>2</v>
      </c>
      <c r="I6" s="2">
        <f t="shared" si="2"/>
        <v>0</v>
      </c>
      <c r="J6" s="2">
        <v>2</v>
      </c>
    </row>
    <row r="7" spans="1:11" x14ac:dyDescent="0.25">
      <c r="A7" s="2">
        <f t="shared" si="0"/>
        <v>0</v>
      </c>
      <c r="B7" s="2">
        <v>3</v>
      </c>
      <c r="E7" s="2">
        <f t="shared" si="1"/>
        <v>0</v>
      </c>
      <c r="F7" s="2">
        <v>3</v>
      </c>
      <c r="I7" s="2">
        <f t="shared" si="2"/>
        <v>0</v>
      </c>
      <c r="J7" s="2">
        <v>3</v>
      </c>
    </row>
    <row r="8" spans="1:11" x14ac:dyDescent="0.25">
      <c r="A8" s="2">
        <f t="shared" si="0"/>
        <v>0</v>
      </c>
      <c r="B8" s="2">
        <v>4</v>
      </c>
      <c r="E8" s="2">
        <f t="shared" si="1"/>
        <v>0</v>
      </c>
      <c r="F8" s="2">
        <v>4</v>
      </c>
      <c r="I8" s="2">
        <f t="shared" si="2"/>
        <v>0</v>
      </c>
      <c r="J8" s="2">
        <v>4</v>
      </c>
    </row>
    <row r="9" spans="1:11" x14ac:dyDescent="0.25">
      <c r="A9" s="2">
        <f t="shared" si="0"/>
        <v>0</v>
      </c>
      <c r="B9" s="2">
        <v>5</v>
      </c>
      <c r="E9" s="2">
        <f t="shared" si="1"/>
        <v>0</v>
      </c>
      <c r="F9" s="2">
        <v>5</v>
      </c>
      <c r="I9" s="2">
        <f t="shared" si="2"/>
        <v>0</v>
      </c>
      <c r="J9" s="2">
        <v>5</v>
      </c>
    </row>
    <row r="10" spans="1:11" x14ac:dyDescent="0.25">
      <c r="A10" s="2">
        <f t="shared" si="0"/>
        <v>0</v>
      </c>
      <c r="B10" s="2">
        <v>6</v>
      </c>
      <c r="E10" s="2">
        <f t="shared" si="1"/>
        <v>0</v>
      </c>
      <c r="F10" s="2">
        <v>6</v>
      </c>
      <c r="I10" s="2">
        <f t="shared" si="2"/>
        <v>0</v>
      </c>
      <c r="J10" s="2">
        <v>6</v>
      </c>
    </row>
    <row r="11" spans="1:11" x14ac:dyDescent="0.25">
      <c r="A11" s="2">
        <f t="shared" si="0"/>
        <v>0</v>
      </c>
      <c r="B11" s="2">
        <v>7</v>
      </c>
      <c r="E11" s="2">
        <f t="shared" si="1"/>
        <v>0</v>
      </c>
      <c r="F11" s="2">
        <v>7</v>
      </c>
      <c r="I11" s="2">
        <f t="shared" si="2"/>
        <v>0</v>
      </c>
      <c r="J11" s="2">
        <v>7</v>
      </c>
    </row>
    <row r="12" spans="1:11" x14ac:dyDescent="0.25">
      <c r="A12" s="2">
        <f t="shared" si="0"/>
        <v>0</v>
      </c>
      <c r="B12" s="2">
        <v>8</v>
      </c>
      <c r="E12" s="2">
        <f t="shared" si="1"/>
        <v>0</v>
      </c>
      <c r="F12" s="2">
        <v>8</v>
      </c>
      <c r="I12" s="2">
        <f t="shared" si="2"/>
        <v>0</v>
      </c>
      <c r="J12" s="2">
        <v>8</v>
      </c>
    </row>
    <row r="13" spans="1:11" x14ac:dyDescent="0.25">
      <c r="A13" s="2">
        <f t="shared" si="0"/>
        <v>0</v>
      </c>
      <c r="B13" s="2">
        <v>9</v>
      </c>
      <c r="E13" s="2">
        <f t="shared" si="1"/>
        <v>0</v>
      </c>
      <c r="F13" s="2">
        <v>9</v>
      </c>
      <c r="I13" s="2">
        <f t="shared" si="2"/>
        <v>0</v>
      </c>
      <c r="J13" s="2">
        <v>9</v>
      </c>
    </row>
    <row r="14" spans="1:11" x14ac:dyDescent="0.25">
      <c r="A14" s="2">
        <f t="shared" si="0"/>
        <v>0</v>
      </c>
      <c r="B14" s="2">
        <v>10</v>
      </c>
      <c r="E14" s="2">
        <f t="shared" si="1"/>
        <v>0</v>
      </c>
      <c r="F14" s="2">
        <v>10</v>
      </c>
      <c r="I14" s="2">
        <f t="shared" si="2"/>
        <v>0</v>
      </c>
      <c r="J14" s="2">
        <v>10</v>
      </c>
    </row>
    <row r="15" spans="1:11" x14ac:dyDescent="0.25">
      <c r="A15" s="2">
        <f t="shared" si="0"/>
        <v>0</v>
      </c>
      <c r="B15" s="2">
        <v>11</v>
      </c>
      <c r="E15" s="2">
        <f t="shared" si="1"/>
        <v>0</v>
      </c>
      <c r="F15" s="2">
        <v>11</v>
      </c>
      <c r="I15" s="2">
        <f t="shared" si="2"/>
        <v>0</v>
      </c>
      <c r="J15" s="2">
        <v>11</v>
      </c>
    </row>
    <row r="16" spans="1:11" x14ac:dyDescent="0.25">
      <c r="A16" s="2">
        <f t="shared" si="0"/>
        <v>0</v>
      </c>
      <c r="B16" s="2">
        <v>12</v>
      </c>
      <c r="E16" s="2">
        <f t="shared" si="1"/>
        <v>0</v>
      </c>
      <c r="F16" s="2">
        <v>12</v>
      </c>
      <c r="I16" s="2">
        <f t="shared" si="2"/>
        <v>0</v>
      </c>
      <c r="J16" s="2">
        <v>12</v>
      </c>
    </row>
    <row r="17" spans="1:11" x14ac:dyDescent="0.25">
      <c r="A17" s="2">
        <f t="shared" si="0"/>
        <v>0</v>
      </c>
      <c r="B17" s="2">
        <v>13</v>
      </c>
      <c r="E17" s="2">
        <f t="shared" si="1"/>
        <v>0</v>
      </c>
      <c r="F17" s="2">
        <v>13</v>
      </c>
      <c r="I17" s="2">
        <f t="shared" si="2"/>
        <v>0</v>
      </c>
      <c r="J17" s="2">
        <v>13</v>
      </c>
    </row>
    <row r="18" spans="1:11" x14ac:dyDescent="0.25">
      <c r="A18" s="2">
        <f t="shared" si="0"/>
        <v>0</v>
      </c>
      <c r="B18" s="2">
        <v>14</v>
      </c>
      <c r="E18" s="2">
        <f t="shared" si="1"/>
        <v>0</v>
      </c>
      <c r="F18" s="2">
        <v>14</v>
      </c>
      <c r="I18" s="2">
        <f t="shared" si="2"/>
        <v>0</v>
      </c>
      <c r="J18" s="2">
        <v>14</v>
      </c>
    </row>
    <row r="19" spans="1:11" x14ac:dyDescent="0.25">
      <c r="A19" s="2">
        <f t="shared" si="0"/>
        <v>0</v>
      </c>
      <c r="B19" s="2">
        <v>15</v>
      </c>
      <c r="E19" s="2">
        <f t="shared" si="1"/>
        <v>0</v>
      </c>
      <c r="F19" s="2">
        <v>15</v>
      </c>
      <c r="I19" s="2">
        <f t="shared" si="2"/>
        <v>0</v>
      </c>
      <c r="J19" s="2">
        <v>15</v>
      </c>
    </row>
    <row r="20" spans="1:11" x14ac:dyDescent="0.25">
      <c r="B20" s="2"/>
    </row>
    <row r="21" spans="1:11" ht="15.75" x14ac:dyDescent="0.25">
      <c r="A21" s="6" t="s">
        <v>15</v>
      </c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A22" s="7" t="s">
        <v>47</v>
      </c>
      <c r="B22" s="7"/>
      <c r="C22" s="7"/>
      <c r="D22" s="4"/>
      <c r="E22" s="7" t="s">
        <v>48</v>
      </c>
      <c r="F22" s="7"/>
      <c r="G22" s="7"/>
      <c r="H22" s="4"/>
      <c r="I22" s="7" t="s">
        <v>49</v>
      </c>
      <c r="J22" s="7"/>
      <c r="K22" s="7"/>
    </row>
    <row r="23" spans="1:11" x14ac:dyDescent="0.25">
      <c r="A23" s="3" t="s">
        <v>1</v>
      </c>
      <c r="B23" s="3" t="s">
        <v>50</v>
      </c>
      <c r="C23" s="3" t="s">
        <v>2</v>
      </c>
      <c r="D23" s="3"/>
      <c r="E23" s="3" t="s">
        <v>1</v>
      </c>
      <c r="F23" s="3" t="s">
        <v>50</v>
      </c>
      <c r="G23" s="3" t="s">
        <v>2</v>
      </c>
      <c r="H23" s="3"/>
      <c r="I23" s="3" t="s">
        <v>1</v>
      </c>
      <c r="J23" s="3" t="s">
        <v>50</v>
      </c>
      <c r="K23" s="3" t="s">
        <v>2</v>
      </c>
    </row>
    <row r="24" spans="1:11" x14ac:dyDescent="0.25">
      <c r="A24" s="2">
        <f>C24/5</f>
        <v>19.708000000000002</v>
      </c>
      <c r="B24" s="2">
        <v>0</v>
      </c>
      <c r="C24">
        <v>98.54</v>
      </c>
      <c r="E24" s="2">
        <f>G24/5</f>
        <v>0</v>
      </c>
      <c r="F24" s="2">
        <v>0</v>
      </c>
      <c r="I24" s="2">
        <f>K24/5</f>
        <v>0</v>
      </c>
      <c r="J24" s="2">
        <v>0</v>
      </c>
    </row>
    <row r="25" spans="1:11" x14ac:dyDescent="0.25">
      <c r="A25" s="2">
        <f t="shared" ref="A25:A55" si="3">C25/5</f>
        <v>19.708000000000002</v>
      </c>
      <c r="B25" s="2">
        <v>1</v>
      </c>
      <c r="C25">
        <v>98.54</v>
      </c>
      <c r="E25" s="2">
        <f t="shared" ref="E25:E39" si="4">G25/5</f>
        <v>0</v>
      </c>
      <c r="F25" s="2">
        <v>1</v>
      </c>
      <c r="I25" s="2">
        <f t="shared" ref="I25:I39" si="5">K25/5</f>
        <v>0</v>
      </c>
      <c r="J25" s="2">
        <v>1</v>
      </c>
    </row>
    <row r="26" spans="1:11" x14ac:dyDescent="0.25">
      <c r="A26" s="2">
        <f t="shared" si="3"/>
        <v>19.708000000000002</v>
      </c>
      <c r="B26" s="2">
        <v>2</v>
      </c>
      <c r="C26">
        <v>98.54</v>
      </c>
      <c r="E26" s="2">
        <f t="shared" si="4"/>
        <v>0</v>
      </c>
      <c r="F26" s="2">
        <v>2</v>
      </c>
      <c r="I26" s="2">
        <f t="shared" si="5"/>
        <v>0</v>
      </c>
      <c r="J26" s="2">
        <v>2</v>
      </c>
    </row>
    <row r="27" spans="1:11" x14ac:dyDescent="0.25">
      <c r="A27" s="2">
        <f t="shared" si="3"/>
        <v>0</v>
      </c>
      <c r="B27" s="2">
        <v>3</v>
      </c>
      <c r="E27" s="2">
        <f t="shared" si="4"/>
        <v>0</v>
      </c>
      <c r="F27" s="2">
        <v>3</v>
      </c>
      <c r="I27" s="2">
        <f t="shared" si="5"/>
        <v>0</v>
      </c>
      <c r="J27" s="2">
        <v>3</v>
      </c>
    </row>
    <row r="28" spans="1:11" x14ac:dyDescent="0.25">
      <c r="A28" s="2">
        <f t="shared" si="3"/>
        <v>0</v>
      </c>
      <c r="B28" s="2">
        <v>4</v>
      </c>
      <c r="E28" s="2">
        <f t="shared" si="4"/>
        <v>0</v>
      </c>
      <c r="F28" s="2">
        <v>4</v>
      </c>
      <c r="I28" s="2">
        <f t="shared" si="5"/>
        <v>0</v>
      </c>
      <c r="J28" s="2">
        <v>4</v>
      </c>
    </row>
    <row r="29" spans="1:11" x14ac:dyDescent="0.25">
      <c r="A29" s="2">
        <f t="shared" si="3"/>
        <v>0</v>
      </c>
      <c r="B29" s="2">
        <v>5</v>
      </c>
      <c r="E29" s="2">
        <f t="shared" si="4"/>
        <v>0</v>
      </c>
      <c r="F29" s="2">
        <v>5</v>
      </c>
      <c r="I29" s="2">
        <f t="shared" si="5"/>
        <v>0</v>
      </c>
      <c r="J29" s="2">
        <v>5</v>
      </c>
    </row>
    <row r="30" spans="1:11" x14ac:dyDescent="0.25">
      <c r="A30" s="2">
        <f t="shared" si="3"/>
        <v>0</v>
      </c>
      <c r="B30" s="2">
        <v>6</v>
      </c>
      <c r="E30" s="2">
        <f t="shared" si="4"/>
        <v>0</v>
      </c>
      <c r="F30" s="2">
        <v>6</v>
      </c>
      <c r="I30" s="2">
        <f t="shared" si="5"/>
        <v>0</v>
      </c>
      <c r="J30" s="2">
        <v>6</v>
      </c>
    </row>
    <row r="31" spans="1:11" x14ac:dyDescent="0.25">
      <c r="A31" s="2">
        <f t="shared" si="3"/>
        <v>0</v>
      </c>
      <c r="B31" s="2">
        <v>7</v>
      </c>
      <c r="E31" s="2">
        <f t="shared" si="4"/>
        <v>0</v>
      </c>
      <c r="F31" s="2">
        <v>7</v>
      </c>
      <c r="I31" s="2">
        <f t="shared" si="5"/>
        <v>0</v>
      </c>
      <c r="J31" s="2">
        <v>7</v>
      </c>
    </row>
    <row r="32" spans="1:11" x14ac:dyDescent="0.25">
      <c r="A32" s="2">
        <f t="shared" si="3"/>
        <v>0</v>
      </c>
      <c r="B32" s="2">
        <v>8</v>
      </c>
      <c r="E32" s="2">
        <f t="shared" si="4"/>
        <v>0</v>
      </c>
      <c r="F32" s="2">
        <v>8</v>
      </c>
      <c r="I32" s="2">
        <f t="shared" si="5"/>
        <v>0</v>
      </c>
      <c r="J32" s="2">
        <v>8</v>
      </c>
    </row>
    <row r="33" spans="1:10" x14ac:dyDescent="0.25">
      <c r="A33" s="2">
        <f t="shared" si="3"/>
        <v>0</v>
      </c>
      <c r="B33" s="2">
        <v>9</v>
      </c>
      <c r="E33" s="2">
        <f t="shared" si="4"/>
        <v>0</v>
      </c>
      <c r="F33" s="2">
        <v>9</v>
      </c>
      <c r="I33" s="2">
        <f t="shared" si="5"/>
        <v>0</v>
      </c>
      <c r="J33" s="2">
        <v>9</v>
      </c>
    </row>
    <row r="34" spans="1:10" x14ac:dyDescent="0.25">
      <c r="A34" s="2">
        <f t="shared" si="3"/>
        <v>0</v>
      </c>
      <c r="B34" s="2">
        <v>10</v>
      </c>
      <c r="E34" s="2">
        <f t="shared" si="4"/>
        <v>0</v>
      </c>
      <c r="F34" s="2">
        <v>10</v>
      </c>
      <c r="I34" s="2">
        <f t="shared" si="5"/>
        <v>0</v>
      </c>
      <c r="J34" s="2">
        <v>10</v>
      </c>
    </row>
    <row r="35" spans="1:10" x14ac:dyDescent="0.25">
      <c r="A35" s="2">
        <f t="shared" si="3"/>
        <v>0</v>
      </c>
      <c r="B35" s="2">
        <v>11</v>
      </c>
      <c r="E35" s="2">
        <f t="shared" si="4"/>
        <v>0</v>
      </c>
      <c r="F35" s="2">
        <v>11</v>
      </c>
      <c r="I35" s="2">
        <f t="shared" si="5"/>
        <v>0</v>
      </c>
      <c r="J35" s="2">
        <v>11</v>
      </c>
    </row>
    <row r="36" spans="1:10" x14ac:dyDescent="0.25">
      <c r="A36" s="2">
        <f t="shared" si="3"/>
        <v>0</v>
      </c>
      <c r="B36" s="2">
        <v>12</v>
      </c>
      <c r="E36" s="2">
        <f t="shared" si="4"/>
        <v>0</v>
      </c>
      <c r="F36" s="2">
        <v>12</v>
      </c>
      <c r="I36" s="2">
        <f t="shared" si="5"/>
        <v>0</v>
      </c>
      <c r="J36" s="2">
        <v>12</v>
      </c>
    </row>
    <row r="37" spans="1:10" x14ac:dyDescent="0.25">
      <c r="A37" s="2">
        <f t="shared" si="3"/>
        <v>0</v>
      </c>
      <c r="B37" s="2">
        <v>13</v>
      </c>
      <c r="E37" s="2">
        <f t="shared" si="4"/>
        <v>0</v>
      </c>
      <c r="F37" s="2">
        <v>13</v>
      </c>
      <c r="I37" s="2">
        <f t="shared" si="5"/>
        <v>0</v>
      </c>
      <c r="J37" s="2">
        <v>13</v>
      </c>
    </row>
    <row r="38" spans="1:10" x14ac:dyDescent="0.25">
      <c r="A38" s="2">
        <f t="shared" si="3"/>
        <v>0</v>
      </c>
      <c r="B38" s="2">
        <v>14</v>
      </c>
      <c r="E38" s="2">
        <f t="shared" si="4"/>
        <v>0</v>
      </c>
      <c r="F38" s="2">
        <v>14</v>
      </c>
      <c r="I38" s="2">
        <f t="shared" si="5"/>
        <v>0</v>
      </c>
      <c r="J38" s="2">
        <v>14</v>
      </c>
    </row>
    <row r="39" spans="1:10" x14ac:dyDescent="0.25">
      <c r="A39" s="2">
        <f t="shared" si="3"/>
        <v>0</v>
      </c>
      <c r="B39" s="2">
        <v>15</v>
      </c>
      <c r="E39" s="2">
        <f t="shared" si="4"/>
        <v>0</v>
      </c>
      <c r="F39" s="2">
        <v>15</v>
      </c>
      <c r="I39" s="2">
        <f t="shared" si="5"/>
        <v>0</v>
      </c>
      <c r="J39" s="2">
        <v>15</v>
      </c>
    </row>
    <row r="40" spans="1:10" x14ac:dyDescent="0.25">
      <c r="A40" s="2">
        <f t="shared" si="3"/>
        <v>0</v>
      </c>
      <c r="B40" s="2">
        <v>16</v>
      </c>
    </row>
    <row r="41" spans="1:10" x14ac:dyDescent="0.25">
      <c r="A41" s="2">
        <f t="shared" si="3"/>
        <v>0</v>
      </c>
      <c r="B41" s="2">
        <v>17</v>
      </c>
    </row>
    <row r="42" spans="1:10" x14ac:dyDescent="0.25">
      <c r="A42" s="2">
        <f t="shared" si="3"/>
        <v>0</v>
      </c>
      <c r="B42" s="2">
        <v>18</v>
      </c>
    </row>
    <row r="43" spans="1:10" x14ac:dyDescent="0.25">
      <c r="A43" s="2">
        <f t="shared" si="3"/>
        <v>0</v>
      </c>
      <c r="B43" s="2">
        <v>19</v>
      </c>
    </row>
    <row r="44" spans="1:10" x14ac:dyDescent="0.25">
      <c r="A44" s="2">
        <f t="shared" si="3"/>
        <v>0</v>
      </c>
      <c r="B44" s="2">
        <v>20</v>
      </c>
    </row>
    <row r="45" spans="1:10" x14ac:dyDescent="0.25">
      <c r="A45" s="2">
        <f t="shared" si="3"/>
        <v>0</v>
      </c>
      <c r="B45" s="2">
        <v>21</v>
      </c>
    </row>
    <row r="46" spans="1:10" x14ac:dyDescent="0.25">
      <c r="A46" s="2">
        <f t="shared" si="3"/>
        <v>0</v>
      </c>
      <c r="B46" s="2">
        <v>22</v>
      </c>
    </row>
    <row r="47" spans="1:10" x14ac:dyDescent="0.25">
      <c r="A47" s="2">
        <f t="shared" si="3"/>
        <v>0</v>
      </c>
      <c r="B47" s="2">
        <v>23</v>
      </c>
    </row>
    <row r="48" spans="1:10" x14ac:dyDescent="0.25">
      <c r="A48" s="2">
        <f t="shared" si="3"/>
        <v>0</v>
      </c>
      <c r="B48" s="2">
        <v>24</v>
      </c>
    </row>
    <row r="49" spans="1:2" x14ac:dyDescent="0.25">
      <c r="A49" s="2">
        <f t="shared" si="3"/>
        <v>0</v>
      </c>
      <c r="B49" s="2">
        <v>25</v>
      </c>
    </row>
    <row r="50" spans="1:2" x14ac:dyDescent="0.25">
      <c r="A50" s="2">
        <f t="shared" si="3"/>
        <v>0</v>
      </c>
      <c r="B50" s="2">
        <v>26</v>
      </c>
    </row>
    <row r="51" spans="1:2" x14ac:dyDescent="0.25">
      <c r="A51" s="2">
        <f t="shared" si="3"/>
        <v>0</v>
      </c>
      <c r="B51" s="2">
        <v>27</v>
      </c>
    </row>
    <row r="52" spans="1:2" x14ac:dyDescent="0.25">
      <c r="A52" s="2">
        <f t="shared" si="3"/>
        <v>0</v>
      </c>
      <c r="B52" s="2">
        <v>28</v>
      </c>
    </row>
    <row r="53" spans="1:2" x14ac:dyDescent="0.25">
      <c r="A53" s="2">
        <f t="shared" si="3"/>
        <v>0</v>
      </c>
      <c r="B53" s="2">
        <v>29</v>
      </c>
    </row>
    <row r="54" spans="1:2" x14ac:dyDescent="0.25">
      <c r="A54" s="2">
        <f t="shared" si="3"/>
        <v>0</v>
      </c>
      <c r="B54" s="2">
        <v>30</v>
      </c>
    </row>
    <row r="55" spans="1:2" x14ac:dyDescent="0.25">
      <c r="A55" s="2">
        <f t="shared" si="3"/>
        <v>0</v>
      </c>
      <c r="B55" s="2">
        <v>31</v>
      </c>
    </row>
  </sheetData>
  <mergeCells count="8">
    <mergeCell ref="A22:C22"/>
    <mergeCell ref="E22:G22"/>
    <mergeCell ref="I22:K22"/>
    <mergeCell ref="A1:K1"/>
    <mergeCell ref="A2:C2"/>
    <mergeCell ref="E2:G2"/>
    <mergeCell ref="I2:K2"/>
    <mergeCell ref="A21:K2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Multiply all values with 1+e</vt:lpstr>
      <vt:lpstr>Multiply one value with 1+e</vt:lpstr>
      <vt:lpstr>Single bitflip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2qbn_ngqyp@univie.onmicrosoft.com</dc:creator>
  <cp:lastModifiedBy>Noi Privat</cp:lastModifiedBy>
  <dcterms:created xsi:type="dcterms:W3CDTF">2024-04-18T14:01:04Z</dcterms:created>
  <dcterms:modified xsi:type="dcterms:W3CDTF">2024-05-14T11:46:30Z</dcterms:modified>
</cp:coreProperties>
</file>