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ategories" sheetId="1" r:id="rId4"/>
    <sheet state="visible" name="Short Ceiling" sheetId="2" r:id="rId5"/>
    <sheet state="visible" name="Room 151" sheetId="3" r:id="rId6"/>
    <sheet state="visible" name="Clark Texana" sheetId="4" r:id="rId7"/>
    <sheet state="visible" name="Periodicals" sheetId="5" r:id="rId8"/>
    <sheet state="visible" name="Correlation" sheetId="6" r:id="rId9"/>
    <sheet state="visible" name="Legacy Periodicals" sheetId="7" r:id="rId10"/>
    <sheet state="visible" name="Book Sizes" sheetId="8" r:id="rId11"/>
  </sheets>
  <definedNames/>
  <calcPr/>
</workbook>
</file>

<file path=xl/sharedStrings.xml><?xml version="1.0" encoding="utf-8"?>
<sst xmlns="http://schemas.openxmlformats.org/spreadsheetml/2006/main" count="293" uniqueCount="213">
  <si>
    <t xml:space="preserve">Data Categories </t>
  </si>
  <si>
    <t>Based on the Correlation between Area and Volume of a Book</t>
  </si>
  <si>
    <t>All numbers are in in^2</t>
  </si>
  <si>
    <t>Smallest</t>
  </si>
  <si>
    <t>Small-Mid</t>
  </si>
  <si>
    <t>Medium</t>
  </si>
  <si>
    <t>Mid-Large</t>
  </si>
  <si>
    <t>Large</t>
  </si>
  <si>
    <t>13-25</t>
  </si>
  <si>
    <t>26-38</t>
  </si>
  <si>
    <t>39-50</t>
  </si>
  <si>
    <t>51+</t>
  </si>
  <si>
    <t>Book 31</t>
  </si>
  <si>
    <t>12 1/4</t>
  </si>
  <si>
    <t>9 1/2</t>
  </si>
  <si>
    <t>Book 22</t>
  </si>
  <si>
    <t>9 7/8</t>
  </si>
  <si>
    <t>Book 38</t>
  </si>
  <si>
    <t>8 7/16</t>
  </si>
  <si>
    <t>5 3/4</t>
  </si>
  <si>
    <t>1 5/8</t>
  </si>
  <si>
    <t>Book 47</t>
  </si>
  <si>
    <t>9 1/4</t>
  </si>
  <si>
    <t>1 1/2</t>
  </si>
  <si>
    <t>Book 1</t>
  </si>
  <si>
    <t>9 1/8</t>
  </si>
  <si>
    <t>6 1/8</t>
  </si>
  <si>
    <t>Book 49</t>
  </si>
  <si>
    <t>8 3/4</t>
  </si>
  <si>
    <t>6 3/16</t>
  </si>
  <si>
    <t>Book 12</t>
  </si>
  <si>
    <t>8 6/8</t>
  </si>
  <si>
    <t>1 3/4</t>
  </si>
  <si>
    <t>Book 43</t>
  </si>
  <si>
    <t>5 7/8</t>
  </si>
  <si>
    <t>Book 14</t>
  </si>
  <si>
    <t>10 1/8</t>
  </si>
  <si>
    <t>1 1/4</t>
  </si>
  <si>
    <t>Book 4</t>
  </si>
  <si>
    <t>10 6/8</t>
  </si>
  <si>
    <t>8 5/8</t>
  </si>
  <si>
    <t>Book 21</t>
  </si>
  <si>
    <t>Book 48</t>
  </si>
  <si>
    <t>8 7/8</t>
  </si>
  <si>
    <t>6 1/4</t>
  </si>
  <si>
    <t>Book 15</t>
  </si>
  <si>
    <t>Book 6</t>
  </si>
  <si>
    <t>9 3/16</t>
  </si>
  <si>
    <t>Book 45</t>
  </si>
  <si>
    <t>Book 16</t>
  </si>
  <si>
    <t>Book 24</t>
  </si>
  <si>
    <t>8 9/16</t>
  </si>
  <si>
    <t>2 1/8</t>
  </si>
  <si>
    <t>Book 27</t>
  </si>
  <si>
    <t>Book 33</t>
  </si>
  <si>
    <t>9 5/8</t>
  </si>
  <si>
    <t>Book 40</t>
  </si>
  <si>
    <t>6 7/16</t>
  </si>
  <si>
    <t>Book 8</t>
  </si>
  <si>
    <t>11 1/4</t>
  </si>
  <si>
    <t>Book 3</t>
  </si>
  <si>
    <t>11 1/8</t>
  </si>
  <si>
    <t>8 3/8</t>
  </si>
  <si>
    <t>1 5/16</t>
  </si>
  <si>
    <t>Book 39</t>
  </si>
  <si>
    <t xml:space="preserve">10 3/8 </t>
  </si>
  <si>
    <t>6 3/4</t>
  </si>
  <si>
    <t>Book 32</t>
  </si>
  <si>
    <t>9 3/8</t>
  </si>
  <si>
    <t>Book 50</t>
  </si>
  <si>
    <t>9 13/16</t>
  </si>
  <si>
    <t>7 1/2</t>
  </si>
  <si>
    <t>Book 9</t>
  </si>
  <si>
    <t>13 7/8</t>
  </si>
  <si>
    <t>Book 30</t>
  </si>
  <si>
    <t>10 1/4</t>
  </si>
  <si>
    <t>Book 34</t>
  </si>
  <si>
    <t>9 3/4</t>
  </si>
  <si>
    <t>2 1/4</t>
  </si>
  <si>
    <t>Book 42</t>
  </si>
  <si>
    <t>Book 37</t>
  </si>
  <si>
    <t>8 1/4</t>
  </si>
  <si>
    <t>Book 35</t>
  </si>
  <si>
    <t>8 1/2</t>
  </si>
  <si>
    <t>Book 46</t>
  </si>
  <si>
    <t>9 11/16</t>
  </si>
  <si>
    <t>1 9/16</t>
  </si>
  <si>
    <t>Book 41</t>
  </si>
  <si>
    <t>6 1/2</t>
  </si>
  <si>
    <t>2 3/4</t>
  </si>
  <si>
    <t>Book 13</t>
  </si>
  <si>
    <t>Book 20</t>
  </si>
  <si>
    <t>13 5/8</t>
  </si>
  <si>
    <t>10 5/8</t>
  </si>
  <si>
    <t>Book 28</t>
  </si>
  <si>
    <t>Book 5</t>
  </si>
  <si>
    <t>6 7/8</t>
  </si>
  <si>
    <t>Book 7</t>
  </si>
  <si>
    <t>10 7/16</t>
  </si>
  <si>
    <t>2 1/2</t>
  </si>
  <si>
    <t>Book 23</t>
  </si>
  <si>
    <t>Book 44</t>
  </si>
  <si>
    <t>2 5/16</t>
  </si>
  <si>
    <t>Book 36</t>
  </si>
  <si>
    <t>11 1/16</t>
  </si>
  <si>
    <t>2 3/8</t>
  </si>
  <si>
    <t>Book 18</t>
  </si>
  <si>
    <t>11 5/16</t>
  </si>
  <si>
    <t>8 3/16</t>
  </si>
  <si>
    <t>Book 17</t>
  </si>
  <si>
    <t>2 11/16</t>
  </si>
  <si>
    <t>Book 26</t>
  </si>
  <si>
    <t>10 3/4</t>
  </si>
  <si>
    <t>Book 10</t>
  </si>
  <si>
    <t>Book 25</t>
  </si>
  <si>
    <t>10 1/2</t>
  </si>
  <si>
    <t>Book 19</t>
  </si>
  <si>
    <t>13 3/4</t>
  </si>
  <si>
    <t>Book 29</t>
  </si>
  <si>
    <t>11 1/2</t>
  </si>
  <si>
    <t>Book 2</t>
  </si>
  <si>
    <t>2 3/16</t>
  </si>
  <si>
    <t>Book 11</t>
  </si>
  <si>
    <t>13 1/4</t>
  </si>
  <si>
    <t>3 1/2</t>
  </si>
  <si>
    <t>Book #</t>
  </si>
  <si>
    <t>Height (in)</t>
  </si>
  <si>
    <t>Length (in)</t>
  </si>
  <si>
    <t>Width (in)</t>
  </si>
  <si>
    <t>Weight (oz)</t>
  </si>
  <si>
    <t>Volume</t>
  </si>
  <si>
    <t>Area(in^2)</t>
  </si>
  <si>
    <t>Correlation:</t>
  </si>
  <si>
    <t>Average Length of Books (in):</t>
  </si>
  <si>
    <t>Average Weight of Book (oz):</t>
  </si>
  <si>
    <t>Clayton</t>
  </si>
  <si>
    <t>Henry</t>
  </si>
  <si>
    <t>Room</t>
  </si>
  <si>
    <t xml:space="preserve">Height </t>
  </si>
  <si>
    <t>Width</t>
  </si>
  <si>
    <t>Spine Area</t>
  </si>
  <si>
    <t>Total Number of Books</t>
  </si>
  <si>
    <t>Shelf ID</t>
  </si>
  <si>
    <t>Range 7</t>
  </si>
  <si>
    <t>Range 8</t>
  </si>
  <si>
    <t>Range 9</t>
  </si>
  <si>
    <t>Range 10</t>
  </si>
  <si>
    <t xml:space="preserve">Shelf Heights (inches) </t>
  </si>
  <si>
    <t>Top Shelf</t>
  </si>
  <si>
    <t>Bottom Shelf</t>
  </si>
  <si>
    <t>Self Length (inches)</t>
  </si>
  <si>
    <t>John Tower Library Boxes small:</t>
  </si>
  <si>
    <t>height</t>
  </si>
  <si>
    <t>width</t>
  </si>
  <si>
    <t>length</t>
  </si>
  <si>
    <t>Height: 10 1/4in</t>
  </si>
  <si>
    <t>box s</t>
  </si>
  <si>
    <t>Width: 5 in</t>
  </si>
  <si>
    <t>box large</t>
  </si>
  <si>
    <t>Length: 15 1/4in</t>
  </si>
  <si>
    <t>box short/long</t>
  </si>
  <si>
    <t>box tall/skinny</t>
  </si>
  <si>
    <t>box short/long 2</t>
  </si>
  <si>
    <t>John Tower Library Boxes large:</t>
  </si>
  <si>
    <t>Height: 10 1/2in</t>
  </si>
  <si>
    <t>Width: 13in</t>
  </si>
  <si>
    <t>Length: 15 3/4in</t>
  </si>
  <si>
    <t>John Tower box short and long:</t>
  </si>
  <si>
    <t>Height: 3 1/8in</t>
  </si>
  <si>
    <t>Width: 12in</t>
  </si>
  <si>
    <t>Length: 15 1/2in</t>
  </si>
  <si>
    <t>John Tower box tall and skinny:</t>
  </si>
  <si>
    <t>Width: 2 1/2in</t>
  </si>
  <si>
    <t>John Tower box short and long (light grey):</t>
  </si>
  <si>
    <t>Height: 3 5/8in</t>
  </si>
  <si>
    <t>Width: 15 1/2in</t>
  </si>
  <si>
    <t>Length: 17 1/2in</t>
  </si>
  <si>
    <t>Estimate Areas of a Book:</t>
  </si>
  <si>
    <t>S-M</t>
  </si>
  <si>
    <t>M</t>
  </si>
  <si>
    <t>M-L</t>
  </si>
  <si>
    <t>Largest</t>
  </si>
  <si>
    <t>Total</t>
  </si>
  <si>
    <t>Total Books:</t>
  </si>
  <si>
    <t xml:space="preserve">Volume </t>
  </si>
  <si>
    <t>Weight</t>
  </si>
  <si>
    <t>volume</t>
  </si>
  <si>
    <t>Correlation b/w volume &amp; weight:</t>
  </si>
  <si>
    <t>Standard deviation</t>
  </si>
  <si>
    <t>Mean</t>
  </si>
  <si>
    <t>We have a very strong correlation coeffient.</t>
  </si>
  <si>
    <t>outliers = anything above</t>
  </si>
  <si>
    <t>minimum</t>
  </si>
  <si>
    <t>Q1</t>
  </si>
  <si>
    <t>Median</t>
  </si>
  <si>
    <t>Q3</t>
  </si>
  <si>
    <t>maximum</t>
  </si>
  <si>
    <t>data set</t>
  </si>
  <si>
    <t>19 Total rolling shelves</t>
  </si>
  <si>
    <t>9 columns of shelves, 6 rows  of shelves, doubles sided =</t>
  </si>
  <si>
    <t>Total Shelves</t>
  </si>
  <si>
    <t>An individual shelf is 35 in x 12.5 in x 11 in =</t>
  </si>
  <si>
    <t>Inches cubed</t>
  </si>
  <si>
    <t>Shelf 1 (0-5.44)</t>
  </si>
  <si>
    <t>Volume (in^3)</t>
  </si>
  <si>
    <t>Volume (%)</t>
  </si>
  <si>
    <t>sorted</t>
  </si>
  <si>
    <t>Average:</t>
  </si>
  <si>
    <t>Average w/out 0</t>
  </si>
  <si>
    <t>Weights:</t>
  </si>
  <si>
    <t>Sizes</t>
  </si>
  <si>
    <t>lbs</t>
  </si>
  <si>
    <t>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</si>
</sst>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m/d"/>
    <numFmt numFmtId="166" formatCode="&quot;$&quot;#,##0.00"/>
    <numFmt numFmtId="167" formatCode="0.0"/>
  </numFmts>
  <fonts count="8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sz val="12.0"/>
      <color rgb="FF000000"/>
      <name val="Roboto"/>
    </font>
    <font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1" fillId="2" fontId="3" numFmtId="0" xfId="0" applyAlignment="1" applyBorder="1" applyFill="1" applyFont="1">
      <alignment horizontal="center" readingOrder="0"/>
    </xf>
    <xf borderId="2" fillId="0" fontId="3" numFmtId="12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3" numFmtId="165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4" fillId="0" fontId="3" numFmtId="165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 shrinkToFit="0" wrapText="0"/>
    </xf>
    <xf borderId="0" fillId="0" fontId="3" numFmtId="165" xfId="0" applyAlignment="1" applyFont="1" applyNumberFormat="1">
      <alignment horizontal="center"/>
    </xf>
    <xf borderId="0" fillId="2" fontId="3" numFmtId="0" xfId="0" applyAlignment="1" applyFont="1">
      <alignment horizontal="center" readingOrder="0"/>
    </xf>
    <xf borderId="0" fillId="0" fontId="3" numFmtId="12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shrinkToFit="0" wrapText="0"/>
    </xf>
    <xf borderId="0" fillId="0" fontId="3" numFmtId="165" xfId="0" applyAlignment="1" applyFont="1" applyNumberForma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6" fontId="3" numFmtId="0" xfId="0" applyAlignment="1" applyFill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left"/>
    </xf>
    <xf borderId="0" fillId="0" fontId="3" numFmtId="167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Volume vs. Area(in^2)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'Short Ceiling'!$U$1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Volume</c:name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'Short Ceiling'!$T$2:$T$51</c:f>
            </c:numRef>
          </c:xVal>
          <c:yVal>
            <c:numRef>
              <c:f>'Short Ceiling'!$U$2:$U$51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29424"/>
        <c:axId val="1762718098"/>
      </c:scatterChart>
      <c:valAx>
        <c:axId val="1477029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Area(in^2)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18098"/>
      </c:valAx>
      <c:valAx>
        <c:axId val="1762718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029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Weight vs. Volume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Weight</c:name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Correlation!$A$2:$A$51</c:f>
            </c:numRef>
          </c:xVal>
          <c:yVal>
            <c:numRef>
              <c:f>Correlation!$B$2:$B$51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92011"/>
        <c:axId val="1618131433"/>
      </c:scatterChart>
      <c:valAx>
        <c:axId val="1602492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131433"/>
      </c:valAx>
      <c:valAx>
        <c:axId val="1618131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492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952500</xdr:colOff>
      <xdr:row>5</xdr:row>
      <xdr:rowOff>66675</xdr:rowOff>
    </xdr:from>
    <xdr:ext cx="5276850" cy="3248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11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</cols>
  <sheetData>
    <row r="1">
      <c r="A1" s="1" t="s">
        <v>0</v>
      </c>
      <c r="B1" s="2"/>
      <c r="C1" s="2"/>
      <c r="D1" s="2"/>
      <c r="E1" s="2"/>
      <c r="F1" s="2"/>
    </row>
    <row r="2">
      <c r="A2" s="2" t="s">
        <v>1</v>
      </c>
      <c r="B2" s="2"/>
      <c r="C2" s="2"/>
      <c r="D2" s="2"/>
      <c r="E2" s="2"/>
      <c r="F2" s="2"/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>
      <c r="A4" s="2"/>
      <c r="B4" s="3">
        <v>44574.0</v>
      </c>
      <c r="C4" s="2" t="s">
        <v>8</v>
      </c>
      <c r="D4" s="2" t="s">
        <v>9</v>
      </c>
      <c r="E4" s="2" t="s">
        <v>10</v>
      </c>
      <c r="F4" s="2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4" max="24" width="22.5"/>
    <col customWidth="1" min="25" max="25" width="22.13"/>
  </cols>
  <sheetData>
    <row r="1">
      <c r="A1" s="4" t="s">
        <v>12</v>
      </c>
      <c r="B1" s="5" t="s">
        <v>13</v>
      </c>
      <c r="C1" s="6" t="s">
        <v>14</v>
      </c>
      <c r="D1" s="7">
        <v>44628.0</v>
      </c>
      <c r="E1" s="8">
        <f> 16 * 1.4</f>
        <v>22.4</v>
      </c>
      <c r="F1" s="9">
        <f>12 + 1/4</f>
        <v>12.25</v>
      </c>
      <c r="G1" s="6">
        <f>9 +1/2</f>
        <v>9.5</v>
      </c>
      <c r="H1" s="10">
        <f>3/8</f>
        <v>0.375</v>
      </c>
      <c r="I1" s="11">
        <f t="shared" ref="I1:I48" si="1">F1*G1*H1</f>
        <v>43.640625</v>
      </c>
      <c r="J1" s="12"/>
      <c r="K1" s="12">
        <v>43.640625</v>
      </c>
      <c r="L1" s="8">
        <f> 16 * 1.4</f>
        <v>22.4</v>
      </c>
      <c r="M1" s="12"/>
      <c r="N1" s="13">
        <f t="shared" ref="N1:N50" si="2">F1*H1</f>
        <v>4.59375</v>
      </c>
      <c r="O1" s="8">
        <f> 16 * 1.4</f>
        <v>22.4</v>
      </c>
      <c r="P1" s="12"/>
      <c r="Q1" s="12">
        <f t="shared" ref="Q1:Q50" si="3">QUOTIENT(N1,O1)</f>
        <v>0</v>
      </c>
      <c r="R1" s="12"/>
      <c r="S1" s="12"/>
      <c r="T1" s="13">
        <f t="shared" ref="T1:T50" si="4">F1*H1</f>
        <v>4.59375</v>
      </c>
      <c r="U1" s="14">
        <f t="shared" ref="U1:U50" si="5">F1*G1*H1</f>
        <v>43.640625</v>
      </c>
      <c r="V1" s="12"/>
      <c r="W1" s="12"/>
      <c r="X1" s="12"/>
      <c r="Y1" s="12"/>
      <c r="Z1" s="12"/>
    </row>
    <row r="2">
      <c r="A2" s="15" t="s">
        <v>15</v>
      </c>
      <c r="B2" s="16" t="s">
        <v>16</v>
      </c>
      <c r="C2" s="17">
        <v>7.0</v>
      </c>
      <c r="D2" s="17">
        <v>1.0</v>
      </c>
      <c r="E2" s="12">
        <f>16*1.8</f>
        <v>28.8</v>
      </c>
      <c r="F2" s="12">
        <f> 9 + 7/8</f>
        <v>9.875</v>
      </c>
      <c r="G2" s="17">
        <v>7.0</v>
      </c>
      <c r="H2" s="17">
        <v>1.0</v>
      </c>
      <c r="I2" s="12">
        <f t="shared" si="1"/>
        <v>69.125</v>
      </c>
      <c r="J2" s="12"/>
      <c r="K2" s="12">
        <v>69.125</v>
      </c>
      <c r="L2" s="12">
        <f>16*1.8</f>
        <v>28.8</v>
      </c>
      <c r="M2" s="12"/>
      <c r="N2" s="18">
        <f t="shared" si="2"/>
        <v>9.875</v>
      </c>
      <c r="O2" s="12">
        <f>16*1.8</f>
        <v>28.8</v>
      </c>
      <c r="P2" s="12"/>
      <c r="Q2" s="12">
        <f t="shared" si="3"/>
        <v>0</v>
      </c>
      <c r="R2" s="12"/>
      <c r="S2" s="12"/>
      <c r="T2" s="18">
        <f t="shared" si="4"/>
        <v>9.875</v>
      </c>
      <c r="U2" s="12">
        <f t="shared" si="5"/>
        <v>69.125</v>
      </c>
      <c r="V2" s="12"/>
      <c r="W2" s="12"/>
      <c r="X2" s="12"/>
      <c r="Y2" s="12"/>
      <c r="Z2" s="12"/>
    </row>
    <row r="3">
      <c r="A3" s="15" t="s">
        <v>17</v>
      </c>
      <c r="B3" s="16" t="s">
        <v>18</v>
      </c>
      <c r="C3" s="17" t="s">
        <v>19</v>
      </c>
      <c r="D3" s="17" t="s">
        <v>20</v>
      </c>
      <c r="E3" s="12">
        <f>16 * 2.2</f>
        <v>35.2</v>
      </c>
      <c r="F3" s="12">
        <f>8 +7/16</f>
        <v>8.4375</v>
      </c>
      <c r="G3" s="17">
        <f>5 +3/4</f>
        <v>5.75</v>
      </c>
      <c r="H3" s="17">
        <f>1+ 5/8</f>
        <v>1.625</v>
      </c>
      <c r="I3" s="12">
        <f t="shared" si="1"/>
        <v>78.83789063</v>
      </c>
      <c r="J3" s="12"/>
      <c r="K3" s="12">
        <v>78.837890625</v>
      </c>
      <c r="L3" s="12">
        <f>16 * 2.2</f>
        <v>35.2</v>
      </c>
      <c r="M3" s="12"/>
      <c r="N3" s="18">
        <f t="shared" si="2"/>
        <v>13.7109375</v>
      </c>
      <c r="O3" s="12">
        <f>16 * 2.2</f>
        <v>35.2</v>
      </c>
      <c r="P3" s="12"/>
      <c r="Q3" s="12">
        <f t="shared" si="3"/>
        <v>0</v>
      </c>
      <c r="R3" s="12"/>
      <c r="S3" s="12"/>
      <c r="T3" s="18">
        <f t="shared" si="4"/>
        <v>13.7109375</v>
      </c>
      <c r="U3" s="12">
        <f t="shared" si="5"/>
        <v>78.83789063</v>
      </c>
      <c r="V3" s="12"/>
      <c r="W3" s="12"/>
      <c r="X3" s="12"/>
      <c r="Y3" s="12"/>
      <c r="Z3" s="12"/>
    </row>
    <row r="4">
      <c r="A4" s="15" t="s">
        <v>21</v>
      </c>
      <c r="B4" s="16" t="s">
        <v>22</v>
      </c>
      <c r="C4" s="17">
        <v>6.0</v>
      </c>
      <c r="D4" s="17" t="s">
        <v>23</v>
      </c>
      <c r="E4" s="12">
        <f>16*2</f>
        <v>32</v>
      </c>
      <c r="F4" s="12">
        <f>9 + 1/4</f>
        <v>9.25</v>
      </c>
      <c r="G4" s="17">
        <v>6.0</v>
      </c>
      <c r="H4" s="17">
        <f t="shared" ref="H4:H5" si="6">1 +1/2</f>
        <v>1.5</v>
      </c>
      <c r="I4" s="12">
        <f t="shared" si="1"/>
        <v>83.25</v>
      </c>
      <c r="J4" s="12"/>
      <c r="K4" s="12">
        <v>83.25</v>
      </c>
      <c r="L4" s="12">
        <f>16*2</f>
        <v>32</v>
      </c>
      <c r="M4" s="12"/>
      <c r="N4" s="18">
        <f t="shared" si="2"/>
        <v>13.875</v>
      </c>
      <c r="O4" s="12">
        <f>16*2</f>
        <v>32</v>
      </c>
      <c r="P4" s="12"/>
      <c r="Q4" s="12">
        <f t="shared" si="3"/>
        <v>0</v>
      </c>
      <c r="R4" s="12"/>
      <c r="S4" s="12"/>
      <c r="T4" s="18">
        <f t="shared" si="4"/>
        <v>13.875</v>
      </c>
      <c r="U4" s="12">
        <f t="shared" si="5"/>
        <v>83.25</v>
      </c>
      <c r="V4" s="12"/>
      <c r="W4" s="12"/>
      <c r="X4" s="12"/>
      <c r="Y4" s="12"/>
      <c r="Z4" s="12"/>
    </row>
    <row r="5">
      <c r="A5" s="15" t="s">
        <v>24</v>
      </c>
      <c r="B5" s="16" t="s">
        <v>25</v>
      </c>
      <c r="C5" s="17" t="s">
        <v>26</v>
      </c>
      <c r="D5" s="17" t="s">
        <v>23</v>
      </c>
      <c r="E5" s="12">
        <f>2*16</f>
        <v>32</v>
      </c>
      <c r="F5" s="12">
        <f> 9 + 1/8</f>
        <v>9.125</v>
      </c>
      <c r="G5" s="12">
        <f> 6 + 1/8</f>
        <v>6.125</v>
      </c>
      <c r="H5" s="17">
        <f t="shared" si="6"/>
        <v>1.5</v>
      </c>
      <c r="I5" s="12">
        <f t="shared" si="1"/>
        <v>83.8359375</v>
      </c>
      <c r="J5" s="12"/>
      <c r="K5" s="12">
        <v>83.8359375</v>
      </c>
      <c r="L5" s="12">
        <f>2*16</f>
        <v>32</v>
      </c>
      <c r="M5" s="12"/>
      <c r="N5" s="18">
        <f t="shared" si="2"/>
        <v>13.6875</v>
      </c>
      <c r="O5" s="12">
        <f>2*16</f>
        <v>32</v>
      </c>
      <c r="P5" s="12"/>
      <c r="Q5" s="12">
        <f t="shared" si="3"/>
        <v>0</v>
      </c>
      <c r="R5" s="12"/>
      <c r="S5" s="12"/>
      <c r="T5" s="18">
        <f t="shared" si="4"/>
        <v>13.6875</v>
      </c>
      <c r="U5" s="12">
        <f t="shared" si="5"/>
        <v>83.8359375</v>
      </c>
      <c r="V5" s="12"/>
      <c r="W5" s="12"/>
      <c r="X5" s="12"/>
      <c r="Y5" s="12"/>
      <c r="Z5" s="12"/>
    </row>
    <row r="6">
      <c r="A6" s="15" t="s">
        <v>27</v>
      </c>
      <c r="B6" s="16" t="s">
        <v>28</v>
      </c>
      <c r="C6" s="17" t="s">
        <v>29</v>
      </c>
      <c r="D6" s="17" t="s">
        <v>20</v>
      </c>
      <c r="E6" s="12">
        <f>16 * 2.2</f>
        <v>35.2</v>
      </c>
      <c r="F6" s="17">
        <f t="shared" ref="F6:F7" si="7"> 8 + 6/8</f>
        <v>8.75</v>
      </c>
      <c r="G6" s="17">
        <f>6+ 3/16</f>
        <v>6.1875</v>
      </c>
      <c r="H6" s="17">
        <f>1+ 5/8</f>
        <v>1.625</v>
      </c>
      <c r="I6" s="12">
        <f t="shared" si="1"/>
        <v>87.97851563</v>
      </c>
      <c r="J6" s="12"/>
      <c r="K6" s="12">
        <v>87.978515625</v>
      </c>
      <c r="L6" s="12">
        <f>16 * 2.2</f>
        <v>35.2</v>
      </c>
      <c r="M6" s="12"/>
      <c r="N6" s="18">
        <f t="shared" si="2"/>
        <v>14.21875</v>
      </c>
      <c r="O6" s="12">
        <f>16 * 2.2</f>
        <v>35.2</v>
      </c>
      <c r="P6" s="12"/>
      <c r="Q6" s="12">
        <f t="shared" si="3"/>
        <v>0</v>
      </c>
      <c r="R6" s="12"/>
      <c r="S6" s="12"/>
      <c r="T6" s="18">
        <f t="shared" si="4"/>
        <v>14.21875</v>
      </c>
      <c r="U6" s="12">
        <f t="shared" si="5"/>
        <v>87.97851563</v>
      </c>
      <c r="V6" s="12"/>
      <c r="W6" s="12"/>
      <c r="X6" s="12"/>
      <c r="Y6" s="12"/>
      <c r="Z6" s="12"/>
    </row>
    <row r="7">
      <c r="A7" s="15" t="s">
        <v>30</v>
      </c>
      <c r="B7" s="16" t="s">
        <v>31</v>
      </c>
      <c r="C7" s="17" t="s">
        <v>19</v>
      </c>
      <c r="D7" s="17" t="s">
        <v>32</v>
      </c>
      <c r="E7" s="12">
        <f>1.8*16</f>
        <v>28.8</v>
      </c>
      <c r="F7" s="17">
        <f t="shared" si="7"/>
        <v>8.75</v>
      </c>
      <c r="G7" s="17">
        <f>5 +3/4</f>
        <v>5.75</v>
      </c>
      <c r="H7" s="17">
        <f>1+ 3/4</f>
        <v>1.75</v>
      </c>
      <c r="I7" s="12">
        <f t="shared" si="1"/>
        <v>88.046875</v>
      </c>
      <c r="J7" s="12"/>
      <c r="K7" s="12">
        <v>88.046875</v>
      </c>
      <c r="L7" s="12">
        <f>1.8*16</f>
        <v>28.8</v>
      </c>
      <c r="M7" s="12"/>
      <c r="N7" s="18">
        <f t="shared" si="2"/>
        <v>15.3125</v>
      </c>
      <c r="O7" s="12">
        <f>1.8*16</f>
        <v>28.8</v>
      </c>
      <c r="P7" s="12"/>
      <c r="Q7" s="12">
        <f t="shared" si="3"/>
        <v>0</v>
      </c>
      <c r="R7" s="12"/>
      <c r="S7" s="12"/>
      <c r="T7" s="18">
        <f t="shared" si="4"/>
        <v>15.3125</v>
      </c>
      <c r="U7" s="12">
        <f t="shared" si="5"/>
        <v>88.046875</v>
      </c>
      <c r="V7" s="12"/>
      <c r="W7" s="12"/>
      <c r="X7" s="12"/>
      <c r="Y7" s="12"/>
      <c r="Z7" s="12"/>
    </row>
    <row r="8">
      <c r="A8" s="15" t="s">
        <v>33</v>
      </c>
      <c r="B8" s="16" t="s">
        <v>22</v>
      </c>
      <c r="C8" s="17" t="s">
        <v>34</v>
      </c>
      <c r="D8" s="17" t="s">
        <v>20</v>
      </c>
      <c r="E8" s="12">
        <f>16*2</f>
        <v>32</v>
      </c>
      <c r="F8" s="17">
        <v>9.25</v>
      </c>
      <c r="G8" s="17">
        <f>5+ 7/8</f>
        <v>5.875</v>
      </c>
      <c r="H8" s="17">
        <f>1+ 5/8</f>
        <v>1.625</v>
      </c>
      <c r="I8" s="12">
        <f t="shared" si="1"/>
        <v>88.30859375</v>
      </c>
      <c r="J8" s="12"/>
      <c r="K8" s="12">
        <v>88.30859375</v>
      </c>
      <c r="L8" s="12">
        <f>16*2</f>
        <v>32</v>
      </c>
      <c r="M8" s="12"/>
      <c r="N8" s="18">
        <f t="shared" si="2"/>
        <v>15.03125</v>
      </c>
      <c r="O8" s="12">
        <f>16*2</f>
        <v>32</v>
      </c>
      <c r="P8" s="12"/>
      <c r="Q8" s="12">
        <f t="shared" si="3"/>
        <v>0</v>
      </c>
      <c r="R8" s="12"/>
      <c r="S8" s="12"/>
      <c r="T8" s="18">
        <f t="shared" si="4"/>
        <v>15.03125</v>
      </c>
      <c r="U8" s="12">
        <f t="shared" si="5"/>
        <v>88.30859375</v>
      </c>
      <c r="V8" s="12"/>
      <c r="W8" s="12"/>
      <c r="X8" s="12"/>
      <c r="Y8" s="12"/>
      <c r="Z8" s="12"/>
    </row>
    <row r="9">
      <c r="A9" s="15" t="s">
        <v>35</v>
      </c>
      <c r="B9" s="16" t="s">
        <v>36</v>
      </c>
      <c r="C9" s="17">
        <v>7.0</v>
      </c>
      <c r="D9" s="17" t="s">
        <v>37</v>
      </c>
      <c r="E9" s="12">
        <f>16*2.8</f>
        <v>44.8</v>
      </c>
      <c r="F9" s="17">
        <f>10 + 1/8</f>
        <v>10.125</v>
      </c>
      <c r="G9" s="17">
        <v>7.0</v>
      </c>
      <c r="H9" s="17">
        <f>1+ 1/4</f>
        <v>1.25</v>
      </c>
      <c r="I9" s="12">
        <f t="shared" si="1"/>
        <v>88.59375</v>
      </c>
      <c r="J9" s="12"/>
      <c r="K9" s="12">
        <v>88.59375</v>
      </c>
      <c r="L9" s="12">
        <f>16*2.8</f>
        <v>44.8</v>
      </c>
      <c r="M9" s="12"/>
      <c r="N9" s="18">
        <f t="shared" si="2"/>
        <v>12.65625</v>
      </c>
      <c r="O9" s="12">
        <f>16*2.8</f>
        <v>44.8</v>
      </c>
      <c r="P9" s="12"/>
      <c r="Q9" s="12">
        <f t="shared" si="3"/>
        <v>0</v>
      </c>
      <c r="R9" s="12"/>
      <c r="S9" s="12"/>
      <c r="T9" s="18">
        <f t="shared" si="4"/>
        <v>12.65625</v>
      </c>
      <c r="U9" s="12">
        <f t="shared" si="5"/>
        <v>88.59375</v>
      </c>
      <c r="V9" s="12"/>
      <c r="W9" s="12"/>
      <c r="X9" s="12"/>
      <c r="Y9" s="12"/>
      <c r="Z9" s="12"/>
    </row>
    <row r="10">
      <c r="A10" s="15" t="s">
        <v>38</v>
      </c>
      <c r="B10" s="16" t="s">
        <v>39</v>
      </c>
      <c r="C10" s="17" t="s">
        <v>40</v>
      </c>
      <c r="D10" s="17">
        <v>1.0</v>
      </c>
      <c r="E10" s="17">
        <f>2*16</f>
        <v>32</v>
      </c>
      <c r="F10" s="17">
        <f>10+ 6/8</f>
        <v>10.75</v>
      </c>
      <c r="G10" s="12">
        <f>8 + 5/8</f>
        <v>8.625</v>
      </c>
      <c r="H10" s="17">
        <v>1.0</v>
      </c>
      <c r="I10" s="12">
        <f t="shared" si="1"/>
        <v>92.71875</v>
      </c>
      <c r="J10" s="12"/>
      <c r="K10" s="12">
        <v>92.71875</v>
      </c>
      <c r="L10" s="17">
        <f>2*16</f>
        <v>32</v>
      </c>
      <c r="M10" s="12"/>
      <c r="N10" s="18">
        <f t="shared" si="2"/>
        <v>10.75</v>
      </c>
      <c r="O10" s="17">
        <f>2*16</f>
        <v>32</v>
      </c>
      <c r="P10" s="12"/>
      <c r="Q10" s="12">
        <f t="shared" si="3"/>
        <v>0</v>
      </c>
      <c r="R10" s="12"/>
      <c r="S10" s="12"/>
      <c r="T10" s="18">
        <f t="shared" si="4"/>
        <v>10.75</v>
      </c>
      <c r="U10" s="12">
        <f t="shared" si="5"/>
        <v>92.71875</v>
      </c>
      <c r="V10" s="12"/>
      <c r="W10" s="12"/>
      <c r="X10" s="12"/>
      <c r="Y10" s="12"/>
      <c r="Z10" s="12"/>
    </row>
    <row r="11">
      <c r="A11" s="15" t="s">
        <v>41</v>
      </c>
      <c r="B11" s="16" t="s">
        <v>25</v>
      </c>
      <c r="C11" s="17">
        <v>6.0</v>
      </c>
      <c r="D11" s="17" t="s">
        <v>32</v>
      </c>
      <c r="E11" s="12">
        <f t="shared" ref="E11:E12" si="8">16*2</f>
        <v>32</v>
      </c>
      <c r="F11" s="12">
        <f> 9 + 1/8</f>
        <v>9.125</v>
      </c>
      <c r="G11" s="17">
        <v>6.0</v>
      </c>
      <c r="H11" s="17">
        <f t="shared" ref="H11:H14" si="9">1+ 3/4</f>
        <v>1.75</v>
      </c>
      <c r="I11" s="12">
        <f t="shared" si="1"/>
        <v>95.8125</v>
      </c>
      <c r="J11" s="12"/>
      <c r="K11" s="12">
        <v>95.8125</v>
      </c>
      <c r="L11" s="12">
        <f t="shared" ref="L11:L12" si="10">16*2</f>
        <v>32</v>
      </c>
      <c r="M11" s="12"/>
      <c r="N11" s="18">
        <f t="shared" si="2"/>
        <v>15.96875</v>
      </c>
      <c r="O11" s="12">
        <f t="shared" ref="O11:O12" si="11">16*2</f>
        <v>32</v>
      </c>
      <c r="P11" s="12"/>
      <c r="Q11" s="12">
        <f t="shared" si="3"/>
        <v>0</v>
      </c>
      <c r="R11" s="12"/>
      <c r="S11" s="12"/>
      <c r="T11" s="18">
        <f t="shared" si="4"/>
        <v>15.96875</v>
      </c>
      <c r="U11" s="12">
        <f t="shared" si="5"/>
        <v>95.8125</v>
      </c>
      <c r="V11" s="12"/>
      <c r="W11" s="12"/>
      <c r="X11" s="12"/>
      <c r="Y11" s="12"/>
      <c r="Z11" s="12"/>
    </row>
    <row r="12">
      <c r="A12" s="15" t="s">
        <v>42</v>
      </c>
      <c r="B12" s="16" t="s">
        <v>43</v>
      </c>
      <c r="C12" s="17" t="s">
        <v>44</v>
      </c>
      <c r="D12" s="17" t="s">
        <v>32</v>
      </c>
      <c r="E12" s="12">
        <f t="shared" si="8"/>
        <v>32</v>
      </c>
      <c r="F12" s="12">
        <f>8 + 7/8</f>
        <v>8.875</v>
      </c>
      <c r="G12" s="17">
        <f>6 +1/4</f>
        <v>6.25</v>
      </c>
      <c r="H12" s="17">
        <f t="shared" si="9"/>
        <v>1.75</v>
      </c>
      <c r="I12" s="12">
        <f t="shared" si="1"/>
        <v>97.0703125</v>
      </c>
      <c r="J12" s="12"/>
      <c r="K12" s="12">
        <v>97.0703125</v>
      </c>
      <c r="L12" s="12">
        <f t="shared" si="10"/>
        <v>32</v>
      </c>
      <c r="M12" s="12"/>
      <c r="N12" s="18">
        <f t="shared" si="2"/>
        <v>15.53125</v>
      </c>
      <c r="O12" s="12">
        <f t="shared" si="11"/>
        <v>32</v>
      </c>
      <c r="P12" s="12"/>
      <c r="Q12" s="12">
        <f t="shared" si="3"/>
        <v>0</v>
      </c>
      <c r="R12" s="12"/>
      <c r="S12" s="12"/>
      <c r="T12" s="18">
        <f t="shared" si="4"/>
        <v>15.53125</v>
      </c>
      <c r="U12" s="12">
        <f t="shared" si="5"/>
        <v>97.0703125</v>
      </c>
      <c r="V12" s="12"/>
      <c r="W12" s="12"/>
      <c r="X12" s="12"/>
      <c r="Y12" s="12"/>
      <c r="Z12" s="12"/>
    </row>
    <row r="13">
      <c r="A13" s="15" t="s">
        <v>45</v>
      </c>
      <c r="B13" s="16" t="s">
        <v>22</v>
      </c>
      <c r="C13" s="17">
        <v>6.0</v>
      </c>
      <c r="D13" s="17" t="s">
        <v>32</v>
      </c>
      <c r="E13" s="12">
        <f>16*2.4</f>
        <v>38.4</v>
      </c>
      <c r="F13" s="17">
        <f>9 + 1/4</f>
        <v>9.25</v>
      </c>
      <c r="G13" s="17">
        <v>6.0</v>
      </c>
      <c r="H13" s="17">
        <f t="shared" si="9"/>
        <v>1.75</v>
      </c>
      <c r="I13" s="12">
        <f t="shared" si="1"/>
        <v>97.125</v>
      </c>
      <c r="J13" s="12"/>
      <c r="K13" s="12">
        <v>97.125</v>
      </c>
      <c r="L13" s="12">
        <f>16*2.4</f>
        <v>38.4</v>
      </c>
      <c r="M13" s="12"/>
      <c r="N13" s="18">
        <f t="shared" si="2"/>
        <v>16.1875</v>
      </c>
      <c r="O13" s="12">
        <f>16*2.4</f>
        <v>38.4</v>
      </c>
      <c r="P13" s="12"/>
      <c r="Q13" s="12">
        <f t="shared" si="3"/>
        <v>0</v>
      </c>
      <c r="R13" s="12"/>
      <c r="S13" s="12"/>
      <c r="T13" s="18">
        <f t="shared" si="4"/>
        <v>16.1875</v>
      </c>
      <c r="U13" s="12">
        <f t="shared" si="5"/>
        <v>97.125</v>
      </c>
      <c r="V13" s="12"/>
      <c r="W13" s="12"/>
      <c r="X13" s="12"/>
      <c r="Y13" s="12"/>
      <c r="Z13" s="12"/>
    </row>
    <row r="14">
      <c r="A14" s="15" t="s">
        <v>46</v>
      </c>
      <c r="B14" s="16" t="s">
        <v>47</v>
      </c>
      <c r="C14" s="17" t="s">
        <v>26</v>
      </c>
      <c r="D14" s="17" t="s">
        <v>32</v>
      </c>
      <c r="E14" s="12">
        <f>2.4*16</f>
        <v>38.4</v>
      </c>
      <c r="F14" s="17">
        <f>9 + 3/16</f>
        <v>9.1875</v>
      </c>
      <c r="G14" s="17">
        <f> 6 + 1/8</f>
        <v>6.125</v>
      </c>
      <c r="H14" s="17">
        <f t="shared" si="9"/>
        <v>1.75</v>
      </c>
      <c r="I14" s="12">
        <f t="shared" si="1"/>
        <v>98.47851563</v>
      </c>
      <c r="J14" s="12"/>
      <c r="K14" s="12">
        <v>98.478515625</v>
      </c>
      <c r="L14" s="12">
        <f>2.4*16</f>
        <v>38.4</v>
      </c>
      <c r="M14" s="12"/>
      <c r="N14" s="18">
        <f t="shared" si="2"/>
        <v>16.078125</v>
      </c>
      <c r="O14" s="12">
        <f>2.4*16</f>
        <v>38.4</v>
      </c>
      <c r="P14" s="12"/>
      <c r="Q14" s="12">
        <f t="shared" si="3"/>
        <v>0</v>
      </c>
      <c r="R14" s="12"/>
      <c r="S14" s="12"/>
      <c r="T14" s="18">
        <f t="shared" si="4"/>
        <v>16.078125</v>
      </c>
      <c r="U14" s="12">
        <f t="shared" si="5"/>
        <v>98.47851563</v>
      </c>
      <c r="V14" s="12"/>
      <c r="W14" s="12"/>
      <c r="X14" s="12"/>
      <c r="Y14" s="12"/>
      <c r="Z14" s="12"/>
    </row>
    <row r="15">
      <c r="A15" s="15" t="s">
        <v>48</v>
      </c>
      <c r="B15" s="16" t="s">
        <v>16</v>
      </c>
      <c r="C15" s="17">
        <v>7.0</v>
      </c>
      <c r="D15" s="17" t="s">
        <v>23</v>
      </c>
      <c r="E15" s="12">
        <f>16*2.6</f>
        <v>41.6</v>
      </c>
      <c r="F15" s="12">
        <f> 9 + 7/8</f>
        <v>9.875</v>
      </c>
      <c r="G15" s="17">
        <v>7.0</v>
      </c>
      <c r="H15" s="17">
        <f t="shared" ref="H15:H16" si="12">1 +1/2</f>
        <v>1.5</v>
      </c>
      <c r="I15" s="12">
        <f t="shared" si="1"/>
        <v>103.6875</v>
      </c>
      <c r="J15" s="12"/>
      <c r="K15" s="12">
        <v>103.6875</v>
      </c>
      <c r="L15" s="12">
        <f>16*2.6</f>
        <v>41.6</v>
      </c>
      <c r="M15" s="12"/>
      <c r="N15" s="18">
        <f t="shared" si="2"/>
        <v>14.8125</v>
      </c>
      <c r="O15" s="12">
        <f>16*2.6</f>
        <v>41.6</v>
      </c>
      <c r="P15" s="12"/>
      <c r="Q15" s="12">
        <f t="shared" si="3"/>
        <v>0</v>
      </c>
      <c r="R15" s="12"/>
      <c r="S15" s="12"/>
      <c r="T15" s="18">
        <f t="shared" si="4"/>
        <v>14.8125</v>
      </c>
      <c r="U15" s="12">
        <f t="shared" si="5"/>
        <v>103.6875</v>
      </c>
      <c r="V15" s="12"/>
      <c r="W15" s="12"/>
      <c r="X15" s="12"/>
      <c r="Y15" s="12"/>
      <c r="Z15" s="12"/>
    </row>
    <row r="16">
      <c r="A16" s="15" t="s">
        <v>49</v>
      </c>
      <c r="B16" s="16">
        <v>10.0</v>
      </c>
      <c r="C16" s="17">
        <v>7.0</v>
      </c>
      <c r="D16" s="17" t="s">
        <v>23</v>
      </c>
      <c r="E16" s="12">
        <f>16*2.4</f>
        <v>38.4</v>
      </c>
      <c r="F16" s="17">
        <v>10.0</v>
      </c>
      <c r="G16" s="17">
        <v>7.0</v>
      </c>
      <c r="H16" s="17">
        <f t="shared" si="12"/>
        <v>1.5</v>
      </c>
      <c r="I16" s="12">
        <f t="shared" si="1"/>
        <v>105</v>
      </c>
      <c r="J16" s="12"/>
      <c r="K16" s="12">
        <v>105.0</v>
      </c>
      <c r="L16" s="12">
        <f>16*2.4</f>
        <v>38.4</v>
      </c>
      <c r="M16" s="12"/>
      <c r="N16" s="18">
        <f t="shared" si="2"/>
        <v>15</v>
      </c>
      <c r="O16" s="12">
        <f>16*2.4</f>
        <v>38.4</v>
      </c>
      <c r="P16" s="12"/>
      <c r="Q16" s="12">
        <f t="shared" si="3"/>
        <v>0</v>
      </c>
      <c r="R16" s="12"/>
      <c r="S16" s="12"/>
      <c r="T16" s="18">
        <f t="shared" si="4"/>
        <v>15</v>
      </c>
      <c r="U16" s="12">
        <f t="shared" si="5"/>
        <v>105</v>
      </c>
      <c r="V16" s="12"/>
      <c r="W16" s="12"/>
      <c r="X16" s="12"/>
      <c r="Y16" s="12"/>
      <c r="Z16" s="12"/>
    </row>
    <row r="17">
      <c r="A17" s="15" t="s">
        <v>50</v>
      </c>
      <c r="B17" s="16" t="s">
        <v>51</v>
      </c>
      <c r="C17" s="17">
        <v>6.0</v>
      </c>
      <c r="D17" s="17" t="s">
        <v>52</v>
      </c>
      <c r="E17" s="12">
        <f>16*2.6</f>
        <v>41.6</v>
      </c>
      <c r="F17" s="12">
        <f>8 +9/16</f>
        <v>8.5625</v>
      </c>
      <c r="G17" s="17">
        <v>6.0</v>
      </c>
      <c r="H17" s="17">
        <f>2+ 1/8</f>
        <v>2.125</v>
      </c>
      <c r="I17" s="12">
        <f t="shared" si="1"/>
        <v>109.171875</v>
      </c>
      <c r="J17" s="12"/>
      <c r="K17" s="12">
        <v>109.171875</v>
      </c>
      <c r="L17" s="12">
        <f>16*2.6</f>
        <v>41.6</v>
      </c>
      <c r="M17" s="12"/>
      <c r="N17" s="18">
        <f t="shared" si="2"/>
        <v>18.1953125</v>
      </c>
      <c r="O17" s="12">
        <f>16*2.6</f>
        <v>41.6</v>
      </c>
      <c r="P17" s="12"/>
      <c r="Q17" s="12">
        <f t="shared" si="3"/>
        <v>0</v>
      </c>
      <c r="R17" s="12"/>
      <c r="S17" s="12"/>
      <c r="T17" s="18">
        <f t="shared" si="4"/>
        <v>18.1953125</v>
      </c>
      <c r="U17" s="12">
        <f t="shared" si="5"/>
        <v>109.171875</v>
      </c>
      <c r="V17" s="12"/>
      <c r="W17" s="12"/>
      <c r="X17" s="12"/>
      <c r="Y17" s="12"/>
      <c r="Z17" s="12"/>
    </row>
    <row r="18">
      <c r="A18" s="15" t="s">
        <v>53</v>
      </c>
      <c r="B18" s="16" t="s">
        <v>25</v>
      </c>
      <c r="C18" s="17">
        <v>6.0</v>
      </c>
      <c r="D18" s="17">
        <v>2.0</v>
      </c>
      <c r="E18" s="12">
        <f>16*2.8</f>
        <v>44.8</v>
      </c>
      <c r="F18" s="12">
        <f> 9 + 1/8</f>
        <v>9.125</v>
      </c>
      <c r="G18" s="17">
        <v>6.0</v>
      </c>
      <c r="H18" s="17">
        <v>2.0</v>
      </c>
      <c r="I18" s="12">
        <f t="shared" si="1"/>
        <v>109.5</v>
      </c>
      <c r="J18" s="12"/>
      <c r="K18" s="12">
        <v>109.5</v>
      </c>
      <c r="L18" s="12">
        <f>16*2.8</f>
        <v>44.8</v>
      </c>
      <c r="M18" s="12"/>
      <c r="N18" s="18">
        <f t="shared" si="2"/>
        <v>18.25</v>
      </c>
      <c r="O18" s="12">
        <f>16*2.8</f>
        <v>44.8</v>
      </c>
      <c r="P18" s="12"/>
      <c r="Q18" s="12">
        <f t="shared" si="3"/>
        <v>0</v>
      </c>
      <c r="R18" s="12"/>
      <c r="S18" s="12"/>
      <c r="T18" s="18">
        <f t="shared" si="4"/>
        <v>18.25</v>
      </c>
      <c r="U18" s="12">
        <f t="shared" si="5"/>
        <v>109.5</v>
      </c>
      <c r="V18" s="12"/>
      <c r="W18" s="12"/>
      <c r="X18" s="12"/>
      <c r="Y18" s="12"/>
      <c r="Z18" s="12"/>
    </row>
    <row r="19">
      <c r="A19" s="15" t="s">
        <v>54</v>
      </c>
      <c r="B19" s="16" t="s">
        <v>13</v>
      </c>
      <c r="C19" s="17" t="s">
        <v>55</v>
      </c>
      <c r="D19" s="17">
        <v>1.0</v>
      </c>
      <c r="E19" s="12">
        <f>16 * 3.2</f>
        <v>51.2</v>
      </c>
      <c r="F19" s="12">
        <f>12 + 1/4</f>
        <v>12.25</v>
      </c>
      <c r="G19" s="17">
        <f>9+ 5/8</f>
        <v>9.625</v>
      </c>
      <c r="H19" s="17">
        <v>1.0</v>
      </c>
      <c r="I19" s="12">
        <f t="shared" si="1"/>
        <v>117.90625</v>
      </c>
      <c r="J19" s="12"/>
      <c r="K19" s="12">
        <v>117.90625</v>
      </c>
      <c r="L19" s="12">
        <f>16 * 3.2</f>
        <v>51.2</v>
      </c>
      <c r="M19" s="12"/>
      <c r="N19" s="18">
        <f t="shared" si="2"/>
        <v>12.25</v>
      </c>
      <c r="O19" s="12">
        <f>16 * 3.2</f>
        <v>51.2</v>
      </c>
      <c r="P19" s="12"/>
      <c r="Q19" s="12">
        <f t="shared" si="3"/>
        <v>0</v>
      </c>
      <c r="R19" s="12"/>
      <c r="S19" s="12"/>
      <c r="T19" s="18">
        <f t="shared" si="4"/>
        <v>12.25</v>
      </c>
      <c r="U19" s="12">
        <f t="shared" si="5"/>
        <v>117.90625</v>
      </c>
      <c r="V19" s="12"/>
      <c r="W19" s="12"/>
      <c r="X19" s="12"/>
      <c r="Y19" s="12"/>
      <c r="Z19" s="12"/>
    </row>
    <row r="20">
      <c r="A20" s="15" t="s">
        <v>56</v>
      </c>
      <c r="B20" s="16" t="s">
        <v>22</v>
      </c>
      <c r="C20" s="17" t="s">
        <v>57</v>
      </c>
      <c r="D20" s="17">
        <v>2.0</v>
      </c>
      <c r="E20" s="12">
        <f>16*2.8</f>
        <v>44.8</v>
      </c>
      <c r="F20" s="12">
        <f>9 + 1/4</f>
        <v>9.25</v>
      </c>
      <c r="G20" s="17">
        <f>6 +7/16</f>
        <v>6.4375</v>
      </c>
      <c r="H20" s="17">
        <v>2.0</v>
      </c>
      <c r="I20" s="12">
        <f t="shared" si="1"/>
        <v>119.09375</v>
      </c>
      <c r="J20" s="12"/>
      <c r="K20" s="12">
        <v>119.09375</v>
      </c>
      <c r="L20" s="12">
        <f>16*2.8</f>
        <v>44.8</v>
      </c>
      <c r="M20" s="12"/>
      <c r="N20" s="18">
        <f t="shared" si="2"/>
        <v>18.5</v>
      </c>
      <c r="O20" s="12">
        <f>16*2.8</f>
        <v>44.8</v>
      </c>
      <c r="P20" s="12"/>
      <c r="Q20" s="12">
        <f t="shared" si="3"/>
        <v>0</v>
      </c>
      <c r="R20" s="12"/>
      <c r="S20" s="12"/>
      <c r="T20" s="18">
        <f t="shared" si="4"/>
        <v>18.5</v>
      </c>
      <c r="U20" s="12">
        <f t="shared" si="5"/>
        <v>119.09375</v>
      </c>
      <c r="V20" s="12"/>
      <c r="W20" s="12"/>
      <c r="X20" s="12"/>
      <c r="Y20" s="12"/>
      <c r="Z20" s="12"/>
    </row>
    <row r="21">
      <c r="A21" s="15" t="s">
        <v>58</v>
      </c>
      <c r="B21" s="16" t="s">
        <v>59</v>
      </c>
      <c r="C21" s="17" t="s">
        <v>51</v>
      </c>
      <c r="D21" s="17" t="s">
        <v>37</v>
      </c>
      <c r="E21" s="12">
        <f>2.6*16</f>
        <v>41.6</v>
      </c>
      <c r="F21" s="17">
        <f>11 + 1/4</f>
        <v>11.25</v>
      </c>
      <c r="G21" s="17">
        <f>8 +9/16</f>
        <v>8.5625</v>
      </c>
      <c r="H21" s="17">
        <f>1+ 1/4</f>
        <v>1.25</v>
      </c>
      <c r="I21" s="12">
        <f t="shared" si="1"/>
        <v>120.4101563</v>
      </c>
      <c r="J21" s="12"/>
      <c r="K21" s="12">
        <v>120.41015625</v>
      </c>
      <c r="L21" s="12">
        <f>2.6*16</f>
        <v>41.6</v>
      </c>
      <c r="M21" s="12"/>
      <c r="N21" s="18">
        <f t="shared" si="2"/>
        <v>14.0625</v>
      </c>
      <c r="O21" s="12">
        <f>2.6*16</f>
        <v>41.6</v>
      </c>
      <c r="P21" s="12"/>
      <c r="Q21" s="12">
        <f t="shared" si="3"/>
        <v>0</v>
      </c>
      <c r="R21" s="12"/>
      <c r="S21" s="12"/>
      <c r="T21" s="18">
        <f t="shared" si="4"/>
        <v>14.0625</v>
      </c>
      <c r="U21" s="12">
        <f t="shared" si="5"/>
        <v>120.4101563</v>
      </c>
      <c r="V21" s="12"/>
      <c r="W21" s="12"/>
      <c r="X21" s="12"/>
      <c r="Y21" s="12"/>
      <c r="Z21" s="12"/>
    </row>
    <row r="22">
      <c r="A22" s="15" t="s">
        <v>60</v>
      </c>
      <c r="B22" s="16" t="s">
        <v>61</v>
      </c>
      <c r="C22" s="17" t="s">
        <v>62</v>
      </c>
      <c r="D22" s="17" t="s">
        <v>63</v>
      </c>
      <c r="E22" s="12">
        <f>3.4*16</f>
        <v>54.4</v>
      </c>
      <c r="F22" s="17">
        <v>11.125</v>
      </c>
      <c r="G22" s="12">
        <f>8 + 3/8</f>
        <v>8.375</v>
      </c>
      <c r="H22" s="17">
        <f>1 +5/16</f>
        <v>1.3125</v>
      </c>
      <c r="I22" s="12">
        <f t="shared" si="1"/>
        <v>122.2880859</v>
      </c>
      <c r="J22" s="19"/>
      <c r="K22" s="12">
        <v>122.2880859375</v>
      </c>
      <c r="L22" s="12">
        <f>3.4*16</f>
        <v>54.4</v>
      </c>
      <c r="M22" s="12"/>
      <c r="N22" s="18">
        <f t="shared" si="2"/>
        <v>14.6015625</v>
      </c>
      <c r="O22" s="12">
        <f>3.4*16</f>
        <v>54.4</v>
      </c>
      <c r="P22" s="12"/>
      <c r="Q22" s="12">
        <f t="shared" si="3"/>
        <v>0</v>
      </c>
      <c r="R22" s="12"/>
      <c r="S22" s="12"/>
      <c r="T22" s="18">
        <f t="shared" si="4"/>
        <v>14.6015625</v>
      </c>
      <c r="U22" s="12">
        <f t="shared" si="5"/>
        <v>122.2880859</v>
      </c>
      <c r="V22" s="12"/>
      <c r="W22" s="12"/>
      <c r="X22" s="12"/>
      <c r="Y22" s="12"/>
      <c r="Z22" s="12"/>
    </row>
    <row r="23">
      <c r="A23" s="15" t="s">
        <v>64</v>
      </c>
      <c r="B23" s="16" t="s">
        <v>65</v>
      </c>
      <c r="C23" s="17" t="s">
        <v>66</v>
      </c>
      <c r="D23" s="17" t="s">
        <v>32</v>
      </c>
      <c r="E23" s="12">
        <f> 16 * 4.6</f>
        <v>73.6</v>
      </c>
      <c r="F23" s="12">
        <f>10 + 3/8</f>
        <v>10.375</v>
      </c>
      <c r="G23" s="17">
        <f>6+ 3/4</f>
        <v>6.75</v>
      </c>
      <c r="H23" s="17">
        <f>1+ 3/4</f>
        <v>1.75</v>
      </c>
      <c r="I23" s="12">
        <f t="shared" si="1"/>
        <v>122.5546875</v>
      </c>
      <c r="J23" s="12"/>
      <c r="K23" s="12">
        <v>122.5546875</v>
      </c>
      <c r="L23" s="12">
        <f> 16 * 4.6</f>
        <v>73.6</v>
      </c>
      <c r="M23" s="12"/>
      <c r="N23" s="18">
        <f t="shared" si="2"/>
        <v>18.15625</v>
      </c>
      <c r="O23" s="12">
        <f> 16 * 4.6</f>
        <v>73.6</v>
      </c>
      <c r="P23" s="12"/>
      <c r="Q23" s="12">
        <f t="shared" si="3"/>
        <v>0</v>
      </c>
      <c r="R23" s="12"/>
      <c r="S23" s="12"/>
      <c r="T23" s="18">
        <f t="shared" si="4"/>
        <v>18.15625</v>
      </c>
      <c r="U23" s="12">
        <f t="shared" si="5"/>
        <v>122.5546875</v>
      </c>
      <c r="V23" s="12"/>
      <c r="W23" s="12"/>
      <c r="X23" s="12"/>
      <c r="Y23" s="12"/>
      <c r="Z23" s="12"/>
    </row>
    <row r="24">
      <c r="A24" s="15" t="s">
        <v>67</v>
      </c>
      <c r="B24" s="16">
        <v>11.0</v>
      </c>
      <c r="C24" s="17" t="s">
        <v>68</v>
      </c>
      <c r="D24" s="17" t="s">
        <v>37</v>
      </c>
      <c r="E24" s="12">
        <f> 16 * 3.8</f>
        <v>60.8</v>
      </c>
      <c r="F24" s="17">
        <v>11.0</v>
      </c>
      <c r="G24" s="17">
        <f>9 +3/8</f>
        <v>9.375</v>
      </c>
      <c r="H24" s="17">
        <f>1+ 1/4</f>
        <v>1.25</v>
      </c>
      <c r="I24" s="12">
        <f t="shared" si="1"/>
        <v>128.90625</v>
      </c>
      <c r="J24" s="12"/>
      <c r="K24" s="12">
        <v>128.90625</v>
      </c>
      <c r="L24" s="12">
        <f> 16 * 3.8</f>
        <v>60.8</v>
      </c>
      <c r="M24" s="12"/>
      <c r="N24" s="18">
        <f t="shared" si="2"/>
        <v>13.75</v>
      </c>
      <c r="O24" s="12">
        <f> 16 * 3.8</f>
        <v>60.8</v>
      </c>
      <c r="P24" s="12"/>
      <c r="Q24" s="12">
        <f t="shared" si="3"/>
        <v>0</v>
      </c>
      <c r="R24" s="12"/>
      <c r="S24" s="12"/>
      <c r="T24" s="18">
        <f t="shared" si="4"/>
        <v>13.75</v>
      </c>
      <c r="U24" s="12">
        <f t="shared" si="5"/>
        <v>128.90625</v>
      </c>
      <c r="V24" s="12"/>
      <c r="W24" s="12"/>
      <c r="X24" s="12"/>
      <c r="Y24" s="12"/>
      <c r="Z24" s="12"/>
    </row>
    <row r="25">
      <c r="A25" s="15" t="s">
        <v>69</v>
      </c>
      <c r="B25" s="16" t="s">
        <v>70</v>
      </c>
      <c r="C25" s="17" t="s">
        <v>71</v>
      </c>
      <c r="D25" s="17">
        <v>2.0</v>
      </c>
      <c r="E25" s="12">
        <f>16*2.8</f>
        <v>44.8</v>
      </c>
      <c r="F25" s="12">
        <f> 9 + 13/16</f>
        <v>9.8125</v>
      </c>
      <c r="G25" s="17">
        <f>7 +1/2</f>
        <v>7.5</v>
      </c>
      <c r="H25" s="17">
        <v>2.0</v>
      </c>
      <c r="I25" s="12">
        <f t="shared" si="1"/>
        <v>147.1875</v>
      </c>
      <c r="J25" s="12"/>
      <c r="K25" s="12">
        <v>147.1875</v>
      </c>
      <c r="L25" s="12">
        <f>16*2.8</f>
        <v>44.8</v>
      </c>
      <c r="M25" s="12"/>
      <c r="N25" s="18">
        <f t="shared" si="2"/>
        <v>19.625</v>
      </c>
      <c r="O25" s="12">
        <f>16*2.8</f>
        <v>44.8</v>
      </c>
      <c r="P25" s="12"/>
      <c r="Q25" s="12">
        <f t="shared" si="3"/>
        <v>0</v>
      </c>
      <c r="R25" s="12"/>
      <c r="S25" s="12"/>
      <c r="T25" s="18">
        <f t="shared" si="4"/>
        <v>19.625</v>
      </c>
      <c r="U25" s="12">
        <f t="shared" si="5"/>
        <v>147.1875</v>
      </c>
      <c r="V25" s="12"/>
      <c r="W25" s="12"/>
      <c r="X25" s="12"/>
      <c r="Y25" s="12"/>
      <c r="Z25" s="12"/>
    </row>
    <row r="26">
      <c r="A26" s="15" t="s">
        <v>72</v>
      </c>
      <c r="B26" s="16" t="s">
        <v>73</v>
      </c>
      <c r="C26" s="17" t="s">
        <v>39</v>
      </c>
      <c r="D26" s="17">
        <v>1.0</v>
      </c>
      <c r="E26" s="12">
        <f>16*3.4</f>
        <v>54.4</v>
      </c>
      <c r="F26" s="12">
        <f> 13 + 7/8</f>
        <v>13.875</v>
      </c>
      <c r="G26" s="17">
        <f>10+ 6/8</f>
        <v>10.75</v>
      </c>
      <c r="H26" s="17">
        <v>1.0</v>
      </c>
      <c r="I26" s="12">
        <f t="shared" si="1"/>
        <v>149.15625</v>
      </c>
      <c r="J26" s="12"/>
      <c r="K26" s="12">
        <v>149.15625</v>
      </c>
      <c r="L26" s="12">
        <f>16*3.4</f>
        <v>54.4</v>
      </c>
      <c r="M26" s="12"/>
      <c r="N26" s="18">
        <f t="shared" si="2"/>
        <v>13.875</v>
      </c>
      <c r="O26" s="12">
        <f>16*3.4</f>
        <v>54.4</v>
      </c>
      <c r="P26" s="12"/>
      <c r="Q26" s="12">
        <f t="shared" si="3"/>
        <v>0</v>
      </c>
      <c r="R26" s="12"/>
      <c r="S26" s="12"/>
      <c r="T26" s="18">
        <f t="shared" si="4"/>
        <v>13.875</v>
      </c>
      <c r="U26" s="12">
        <f t="shared" si="5"/>
        <v>149.15625</v>
      </c>
      <c r="V26" s="12"/>
      <c r="W26" s="12"/>
      <c r="X26" s="12"/>
      <c r="Y26" s="12"/>
      <c r="Z26" s="12"/>
    </row>
    <row r="27">
      <c r="A27" s="15" t="s">
        <v>74</v>
      </c>
      <c r="B27" s="16" t="s">
        <v>75</v>
      </c>
      <c r="C27" s="17">
        <v>7.0</v>
      </c>
      <c r="D27" s="17" t="s">
        <v>52</v>
      </c>
      <c r="E27" s="12">
        <f> 16 * 3.8</f>
        <v>60.8</v>
      </c>
      <c r="F27" s="12">
        <f>10 + 1/4</f>
        <v>10.25</v>
      </c>
      <c r="G27" s="17">
        <v>7.0</v>
      </c>
      <c r="H27" s="17">
        <f>2+ 1/8</f>
        <v>2.125</v>
      </c>
      <c r="I27" s="12">
        <f t="shared" si="1"/>
        <v>152.46875</v>
      </c>
      <c r="J27" s="12"/>
      <c r="K27" s="12">
        <v>152.46875</v>
      </c>
      <c r="L27" s="12">
        <f> 16 * 3.8</f>
        <v>60.8</v>
      </c>
      <c r="M27" s="12"/>
      <c r="N27" s="18">
        <f t="shared" si="2"/>
        <v>21.78125</v>
      </c>
      <c r="O27" s="12">
        <f> 16 * 3.8</f>
        <v>60.8</v>
      </c>
      <c r="P27" s="12"/>
      <c r="Q27" s="12">
        <f t="shared" si="3"/>
        <v>0</v>
      </c>
      <c r="R27" s="12"/>
      <c r="S27" s="12"/>
      <c r="T27" s="18">
        <f t="shared" si="4"/>
        <v>21.78125</v>
      </c>
      <c r="U27" s="12">
        <f t="shared" si="5"/>
        <v>152.46875</v>
      </c>
      <c r="V27" s="12"/>
      <c r="W27" s="12"/>
      <c r="X27" s="12"/>
      <c r="Y27" s="12"/>
      <c r="Z27" s="12"/>
    </row>
    <row r="28">
      <c r="A28" s="15" t="s">
        <v>76</v>
      </c>
      <c r="B28" s="16" t="s">
        <v>77</v>
      </c>
      <c r="C28" s="17">
        <v>7.0</v>
      </c>
      <c r="D28" s="17" t="s">
        <v>78</v>
      </c>
      <c r="E28" s="12">
        <f>16*4.8</f>
        <v>76.8</v>
      </c>
      <c r="F28" s="12">
        <f>9 + 3/4</f>
        <v>9.75</v>
      </c>
      <c r="G28" s="17">
        <v>7.0</v>
      </c>
      <c r="H28" s="17">
        <f>2+ 1/4</f>
        <v>2.25</v>
      </c>
      <c r="I28" s="12">
        <f t="shared" si="1"/>
        <v>153.5625</v>
      </c>
      <c r="J28" s="12"/>
      <c r="K28" s="12">
        <v>153.5625</v>
      </c>
      <c r="L28" s="12">
        <f>16*4.8</f>
        <v>76.8</v>
      </c>
      <c r="M28" s="12"/>
      <c r="N28" s="18">
        <f t="shared" si="2"/>
        <v>21.9375</v>
      </c>
      <c r="O28" s="12">
        <f>16*4.8</f>
        <v>76.8</v>
      </c>
      <c r="P28" s="12"/>
      <c r="Q28" s="12">
        <f t="shared" si="3"/>
        <v>0</v>
      </c>
      <c r="R28" s="12"/>
      <c r="S28" s="12"/>
      <c r="T28" s="18">
        <f t="shared" si="4"/>
        <v>21.9375</v>
      </c>
      <c r="U28" s="12">
        <f t="shared" si="5"/>
        <v>153.5625</v>
      </c>
      <c r="V28" s="12"/>
      <c r="W28" s="12"/>
      <c r="X28" s="12"/>
      <c r="Y28" s="12"/>
      <c r="Z28" s="12"/>
    </row>
    <row r="29">
      <c r="A29" s="15" t="s">
        <v>79</v>
      </c>
      <c r="B29" s="16" t="s">
        <v>59</v>
      </c>
      <c r="C29" s="17" t="s">
        <v>18</v>
      </c>
      <c r="D29" s="17" t="s">
        <v>20</v>
      </c>
      <c r="E29" s="12">
        <f> 16 * 3.8</f>
        <v>60.8</v>
      </c>
      <c r="F29" s="17">
        <v>11.25</v>
      </c>
      <c r="G29" s="17">
        <f>8 +7/16</f>
        <v>8.4375</v>
      </c>
      <c r="H29" s="17">
        <f>1+ 5/8</f>
        <v>1.625</v>
      </c>
      <c r="I29" s="12">
        <f t="shared" si="1"/>
        <v>154.2480469</v>
      </c>
      <c r="J29" s="12"/>
      <c r="K29" s="12">
        <v>154.248046875</v>
      </c>
      <c r="L29" s="12">
        <f> 16 * 3.8</f>
        <v>60.8</v>
      </c>
      <c r="M29" s="12"/>
      <c r="N29" s="18">
        <f t="shared" si="2"/>
        <v>18.28125</v>
      </c>
      <c r="O29" s="12">
        <f> 16 * 3.8</f>
        <v>60.8</v>
      </c>
      <c r="P29" s="12"/>
      <c r="Q29" s="12">
        <f t="shared" si="3"/>
        <v>0</v>
      </c>
      <c r="R29" s="12"/>
      <c r="S29" s="12"/>
      <c r="T29" s="18">
        <f t="shared" si="4"/>
        <v>18.28125</v>
      </c>
      <c r="U29" s="12">
        <f t="shared" si="5"/>
        <v>154.2480469</v>
      </c>
      <c r="V29" s="12"/>
      <c r="W29" s="12"/>
      <c r="X29" s="12"/>
      <c r="Y29" s="12"/>
      <c r="Z29" s="12"/>
    </row>
    <row r="30">
      <c r="A30" s="15" t="s">
        <v>80</v>
      </c>
      <c r="B30" s="16" t="s">
        <v>61</v>
      </c>
      <c r="C30" s="17" t="s">
        <v>81</v>
      </c>
      <c r="D30" s="17" t="s">
        <v>32</v>
      </c>
      <c r="E30" s="12">
        <f> 16 * 5</f>
        <v>80</v>
      </c>
      <c r="F30" s="12">
        <f>11 + 1/8</f>
        <v>11.125</v>
      </c>
      <c r="G30" s="17">
        <f>8 +1/4</f>
        <v>8.25</v>
      </c>
      <c r="H30" s="17">
        <f t="shared" ref="H30:H31" si="13">1+ 3/4</f>
        <v>1.75</v>
      </c>
      <c r="I30" s="12">
        <f t="shared" si="1"/>
        <v>160.6171875</v>
      </c>
      <c r="J30" s="12"/>
      <c r="K30" s="12">
        <v>160.6171875</v>
      </c>
      <c r="L30" s="12">
        <f> 16 * 5</f>
        <v>80</v>
      </c>
      <c r="M30" s="12"/>
      <c r="N30" s="18">
        <f t="shared" si="2"/>
        <v>19.46875</v>
      </c>
      <c r="O30" s="12">
        <f> 16 * 5</f>
        <v>80</v>
      </c>
      <c r="P30" s="12"/>
      <c r="Q30" s="12">
        <f t="shared" si="3"/>
        <v>0</v>
      </c>
      <c r="R30" s="12"/>
      <c r="S30" s="12"/>
      <c r="T30" s="18">
        <f t="shared" si="4"/>
        <v>19.46875</v>
      </c>
      <c r="U30" s="12">
        <f t="shared" si="5"/>
        <v>160.6171875</v>
      </c>
      <c r="V30" s="12"/>
      <c r="W30" s="12"/>
      <c r="X30" s="12"/>
      <c r="Y30" s="12"/>
      <c r="Z30" s="12"/>
    </row>
    <row r="31">
      <c r="A31" s="15" t="s">
        <v>82</v>
      </c>
      <c r="B31" s="16">
        <v>11.0</v>
      </c>
      <c r="C31" s="17" t="s">
        <v>83</v>
      </c>
      <c r="D31" s="17" t="s">
        <v>32</v>
      </c>
      <c r="E31" s="12">
        <f> 16 * 5.8</f>
        <v>92.8</v>
      </c>
      <c r="F31" s="17">
        <v>11.0</v>
      </c>
      <c r="G31" s="17">
        <f> 8 + 1/2</f>
        <v>8.5</v>
      </c>
      <c r="H31" s="17">
        <f t="shared" si="13"/>
        <v>1.75</v>
      </c>
      <c r="I31" s="12">
        <f t="shared" si="1"/>
        <v>163.625</v>
      </c>
      <c r="J31" s="12"/>
      <c r="K31" s="12">
        <v>163.625</v>
      </c>
      <c r="L31" s="12">
        <f> 16 * 5.8</f>
        <v>92.8</v>
      </c>
      <c r="M31" s="12"/>
      <c r="N31" s="18">
        <f t="shared" si="2"/>
        <v>19.25</v>
      </c>
      <c r="O31" s="12">
        <f> 16 * 5.8</f>
        <v>92.8</v>
      </c>
      <c r="P31" s="12"/>
      <c r="Q31" s="12">
        <f t="shared" si="3"/>
        <v>0</v>
      </c>
      <c r="R31" s="12"/>
      <c r="S31" s="12"/>
      <c r="T31" s="18">
        <f t="shared" si="4"/>
        <v>19.25</v>
      </c>
      <c r="U31" s="12">
        <f t="shared" si="5"/>
        <v>163.625</v>
      </c>
      <c r="V31" s="12"/>
      <c r="W31" s="12"/>
      <c r="X31" s="12"/>
      <c r="Y31" s="12"/>
      <c r="Z31" s="12"/>
    </row>
    <row r="32">
      <c r="A32" s="15" t="s">
        <v>84</v>
      </c>
      <c r="B32" s="16" t="s">
        <v>61</v>
      </c>
      <c r="C32" s="17" t="s">
        <v>85</v>
      </c>
      <c r="D32" s="17" t="s">
        <v>86</v>
      </c>
      <c r="E32" s="12">
        <f> 16 * 3.8</f>
        <v>60.8</v>
      </c>
      <c r="F32" s="12">
        <f>11 + 1/8</f>
        <v>11.125</v>
      </c>
      <c r="G32" s="17">
        <f>9 +11/16</f>
        <v>9.6875</v>
      </c>
      <c r="H32" s="17">
        <f>1+ 9/16</f>
        <v>1.5625</v>
      </c>
      <c r="I32" s="12">
        <f t="shared" si="1"/>
        <v>168.3959961</v>
      </c>
      <c r="J32" s="12"/>
      <c r="K32" s="12">
        <v>168.39599609375</v>
      </c>
      <c r="L32" s="12">
        <f> 16 * 3.8</f>
        <v>60.8</v>
      </c>
      <c r="M32" s="12"/>
      <c r="N32" s="18">
        <f t="shared" si="2"/>
        <v>17.3828125</v>
      </c>
      <c r="O32" s="12">
        <f> 16 * 3.8</f>
        <v>60.8</v>
      </c>
      <c r="P32" s="12"/>
      <c r="Q32" s="12">
        <f t="shared" si="3"/>
        <v>0</v>
      </c>
      <c r="R32" s="12"/>
      <c r="S32" s="12"/>
      <c r="T32" s="18">
        <f t="shared" si="4"/>
        <v>17.3828125</v>
      </c>
      <c r="U32" s="12">
        <f t="shared" si="5"/>
        <v>168.3959961</v>
      </c>
      <c r="V32" s="12"/>
      <c r="W32" s="12"/>
      <c r="X32" s="12"/>
      <c r="Y32" s="12"/>
      <c r="Z32" s="12"/>
    </row>
    <row r="33">
      <c r="A33" s="15" t="s">
        <v>87</v>
      </c>
      <c r="B33" s="16" t="s">
        <v>77</v>
      </c>
      <c r="C33" s="17" t="s">
        <v>88</v>
      </c>
      <c r="D33" s="17" t="s">
        <v>89</v>
      </c>
      <c r="E33" s="12">
        <f>16*4.8</f>
        <v>76.8</v>
      </c>
      <c r="F33" s="17">
        <v>9.75</v>
      </c>
      <c r="G33" s="17">
        <f>6+ 1/2</f>
        <v>6.5</v>
      </c>
      <c r="H33" s="17">
        <f>2+ 3/4</f>
        <v>2.75</v>
      </c>
      <c r="I33" s="12">
        <f t="shared" si="1"/>
        <v>174.28125</v>
      </c>
      <c r="J33" s="12"/>
      <c r="K33" s="12">
        <v>174.28125</v>
      </c>
      <c r="L33" s="12">
        <f>16*4.8</f>
        <v>76.8</v>
      </c>
      <c r="M33" s="12"/>
      <c r="N33" s="18">
        <f t="shared" si="2"/>
        <v>26.8125</v>
      </c>
      <c r="O33" s="12">
        <f>16*4.8</f>
        <v>76.8</v>
      </c>
      <c r="P33" s="12"/>
      <c r="Q33" s="12">
        <f t="shared" si="3"/>
        <v>0</v>
      </c>
      <c r="R33" s="12"/>
      <c r="S33" s="12"/>
      <c r="T33" s="18">
        <f t="shared" si="4"/>
        <v>26.8125</v>
      </c>
      <c r="U33" s="12">
        <f t="shared" si="5"/>
        <v>174.28125</v>
      </c>
      <c r="V33" s="12"/>
      <c r="W33" s="12"/>
      <c r="X33" s="12"/>
      <c r="Y33" s="12"/>
      <c r="Z33" s="12"/>
    </row>
    <row r="34">
      <c r="A34" s="15" t="s">
        <v>90</v>
      </c>
      <c r="B34" s="16" t="s">
        <v>13</v>
      </c>
      <c r="C34" s="17" t="s">
        <v>14</v>
      </c>
      <c r="D34" s="19">
        <v>44563.0</v>
      </c>
      <c r="E34" s="12">
        <f>1.6*16</f>
        <v>25.6</v>
      </c>
      <c r="F34" s="17">
        <v>12.25</v>
      </c>
      <c r="G34" s="17">
        <f>9 +1/2</f>
        <v>9.5</v>
      </c>
      <c r="H34" s="17">
        <v>1.5</v>
      </c>
      <c r="I34" s="12">
        <f t="shared" si="1"/>
        <v>174.5625</v>
      </c>
      <c r="J34" s="12"/>
      <c r="K34" s="12">
        <v>174.5625</v>
      </c>
      <c r="L34" s="12">
        <f>1.6*16</f>
        <v>25.6</v>
      </c>
      <c r="M34" s="12"/>
      <c r="N34" s="18">
        <f t="shared" si="2"/>
        <v>18.375</v>
      </c>
      <c r="O34" s="12">
        <f>1.6*16</f>
        <v>25.6</v>
      </c>
      <c r="P34" s="12"/>
      <c r="Q34" s="12">
        <f t="shared" si="3"/>
        <v>0</v>
      </c>
      <c r="R34" s="12"/>
      <c r="S34" s="12"/>
      <c r="T34" s="18">
        <f t="shared" si="4"/>
        <v>18.375</v>
      </c>
      <c r="U34" s="12">
        <f t="shared" si="5"/>
        <v>174.5625</v>
      </c>
      <c r="V34" s="12"/>
      <c r="W34" s="12"/>
      <c r="X34" s="12"/>
      <c r="Y34" s="12"/>
      <c r="Z34" s="12"/>
    </row>
    <row r="35">
      <c r="A35" s="15" t="s">
        <v>91</v>
      </c>
      <c r="B35" s="16" t="s">
        <v>92</v>
      </c>
      <c r="C35" s="17" t="s">
        <v>93</v>
      </c>
      <c r="D35" s="17" t="s">
        <v>37</v>
      </c>
      <c r="E35" s="12">
        <f t="shared" ref="E35:E36" si="14">16*4.8</f>
        <v>76.8</v>
      </c>
      <c r="F35" s="12">
        <f> 13 + 5/8</f>
        <v>13.625</v>
      </c>
      <c r="G35" s="17">
        <f>10+ 5/8</f>
        <v>10.625</v>
      </c>
      <c r="H35" s="17">
        <f>1+ 1/4</f>
        <v>1.25</v>
      </c>
      <c r="I35" s="12">
        <f t="shared" si="1"/>
        <v>180.9570313</v>
      </c>
      <c r="J35" s="12"/>
      <c r="K35" s="12">
        <v>180.95703125</v>
      </c>
      <c r="L35" s="12">
        <f t="shared" ref="L35:L36" si="15">16*4.8</f>
        <v>76.8</v>
      </c>
      <c r="M35" s="12"/>
      <c r="N35" s="18">
        <f t="shared" si="2"/>
        <v>17.03125</v>
      </c>
      <c r="O35" s="12">
        <f t="shared" ref="O35:O36" si="16">16*4.8</f>
        <v>76.8</v>
      </c>
      <c r="P35" s="12"/>
      <c r="Q35" s="12">
        <f t="shared" si="3"/>
        <v>0</v>
      </c>
      <c r="R35" s="12"/>
      <c r="S35" s="12"/>
      <c r="T35" s="18">
        <f t="shared" si="4"/>
        <v>17.03125</v>
      </c>
      <c r="U35" s="12">
        <f t="shared" si="5"/>
        <v>180.9570313</v>
      </c>
      <c r="V35" s="12"/>
      <c r="W35" s="12"/>
      <c r="X35" s="12"/>
      <c r="Y35" s="12"/>
      <c r="Z35" s="12"/>
    </row>
    <row r="36">
      <c r="A36" s="15" t="s">
        <v>94</v>
      </c>
      <c r="B36" s="16">
        <v>11.0</v>
      </c>
      <c r="C36" s="17" t="s">
        <v>81</v>
      </c>
      <c r="D36" s="17">
        <v>2.0</v>
      </c>
      <c r="E36" s="12">
        <f t="shared" si="14"/>
        <v>76.8</v>
      </c>
      <c r="F36" s="17">
        <v>11.0</v>
      </c>
      <c r="G36" s="17">
        <f>8 +1/4</f>
        <v>8.25</v>
      </c>
      <c r="H36" s="17">
        <v>2.0</v>
      </c>
      <c r="I36" s="12">
        <f t="shared" si="1"/>
        <v>181.5</v>
      </c>
      <c r="J36" s="12"/>
      <c r="K36" s="12">
        <v>181.5</v>
      </c>
      <c r="L36" s="12">
        <f t="shared" si="15"/>
        <v>76.8</v>
      </c>
      <c r="M36" s="12"/>
      <c r="N36" s="18">
        <f t="shared" si="2"/>
        <v>22</v>
      </c>
      <c r="O36" s="12">
        <f t="shared" si="16"/>
        <v>76.8</v>
      </c>
      <c r="P36" s="12"/>
      <c r="Q36" s="12">
        <f t="shared" si="3"/>
        <v>0</v>
      </c>
      <c r="R36" s="12"/>
      <c r="S36" s="12"/>
      <c r="T36" s="18">
        <f t="shared" si="4"/>
        <v>22</v>
      </c>
      <c r="U36" s="12">
        <f t="shared" si="5"/>
        <v>181.5</v>
      </c>
      <c r="V36" s="12"/>
      <c r="W36" s="12"/>
      <c r="X36" s="12"/>
      <c r="Y36" s="12"/>
      <c r="Z36" s="12"/>
    </row>
    <row r="37">
      <c r="A37" s="15" t="s">
        <v>95</v>
      </c>
      <c r="B37" s="16">
        <v>10.0</v>
      </c>
      <c r="C37" s="17" t="s">
        <v>96</v>
      </c>
      <c r="D37" s="17" t="s">
        <v>89</v>
      </c>
      <c r="E37" s="12">
        <f>6*16</f>
        <v>96</v>
      </c>
      <c r="F37" s="17">
        <v>10.0</v>
      </c>
      <c r="G37" s="12">
        <f> 6 + 7/8</f>
        <v>6.875</v>
      </c>
      <c r="H37" s="17">
        <f>2+ 3/4</f>
        <v>2.75</v>
      </c>
      <c r="I37" s="12">
        <f t="shared" si="1"/>
        <v>189.0625</v>
      </c>
      <c r="J37" s="12"/>
      <c r="K37" s="12">
        <v>189.0625</v>
      </c>
      <c r="L37" s="12">
        <f>6*16</f>
        <v>96</v>
      </c>
      <c r="M37" s="12"/>
      <c r="N37" s="18">
        <f t="shared" si="2"/>
        <v>27.5</v>
      </c>
      <c r="O37" s="12">
        <f>6*16</f>
        <v>96</v>
      </c>
      <c r="P37" s="12"/>
      <c r="Q37" s="12">
        <f t="shared" si="3"/>
        <v>0</v>
      </c>
      <c r="R37" s="12"/>
      <c r="S37" s="12"/>
      <c r="T37" s="18">
        <f t="shared" si="4"/>
        <v>27.5</v>
      </c>
      <c r="U37" s="12">
        <f t="shared" si="5"/>
        <v>189.0625</v>
      </c>
      <c r="V37" s="12"/>
      <c r="W37" s="12"/>
      <c r="X37" s="12"/>
      <c r="Y37" s="12"/>
      <c r="Z37" s="12"/>
    </row>
    <row r="38">
      <c r="A38" s="15" t="s">
        <v>97</v>
      </c>
      <c r="B38" s="16" t="s">
        <v>98</v>
      </c>
      <c r="C38" s="17" t="s">
        <v>71</v>
      </c>
      <c r="D38" s="17" t="s">
        <v>99</v>
      </c>
      <c r="E38" s="12">
        <f>5.4*16</f>
        <v>86.4</v>
      </c>
      <c r="F38" s="17">
        <f>10 + 7/16</f>
        <v>10.4375</v>
      </c>
      <c r="G38" s="17">
        <f>7 +1/2</f>
        <v>7.5</v>
      </c>
      <c r="H38" s="17">
        <f>2+ 1/2</f>
        <v>2.5</v>
      </c>
      <c r="I38" s="12">
        <f t="shared" si="1"/>
        <v>195.703125</v>
      </c>
      <c r="J38" s="12"/>
      <c r="K38" s="12">
        <v>195.703125</v>
      </c>
      <c r="L38" s="12">
        <f>5.4*16</f>
        <v>86.4</v>
      </c>
      <c r="M38" s="12"/>
      <c r="N38" s="18">
        <f t="shared" si="2"/>
        <v>26.09375</v>
      </c>
      <c r="O38" s="12">
        <f>5.4*16</f>
        <v>86.4</v>
      </c>
      <c r="P38" s="12"/>
      <c r="Q38" s="12">
        <f t="shared" si="3"/>
        <v>0</v>
      </c>
      <c r="R38" s="12"/>
      <c r="S38" s="12"/>
      <c r="T38" s="18">
        <f t="shared" si="4"/>
        <v>26.09375</v>
      </c>
      <c r="U38" s="12">
        <f t="shared" si="5"/>
        <v>195.703125</v>
      </c>
      <c r="V38" s="12"/>
      <c r="W38" s="12"/>
      <c r="X38" s="12"/>
      <c r="Y38" s="12"/>
      <c r="Z38" s="12"/>
    </row>
    <row r="39">
      <c r="A39" s="15" t="s">
        <v>100</v>
      </c>
      <c r="B39" s="16">
        <v>10.0</v>
      </c>
      <c r="C39" s="17">
        <v>7.0</v>
      </c>
      <c r="D39" s="17">
        <v>3.0</v>
      </c>
      <c r="E39" s="12">
        <f>6.2*16</f>
        <v>99.2</v>
      </c>
      <c r="F39" s="17">
        <v>10.0</v>
      </c>
      <c r="G39" s="17">
        <v>7.0</v>
      </c>
      <c r="H39" s="17">
        <v>3.0</v>
      </c>
      <c r="I39" s="12">
        <f t="shared" si="1"/>
        <v>210</v>
      </c>
      <c r="J39" s="12"/>
      <c r="K39" s="12">
        <v>210.0</v>
      </c>
      <c r="L39" s="12">
        <f>6.2*16</f>
        <v>99.2</v>
      </c>
      <c r="M39" s="12"/>
      <c r="N39" s="18">
        <f t="shared" si="2"/>
        <v>30</v>
      </c>
      <c r="O39" s="12">
        <f>6.2*16</f>
        <v>99.2</v>
      </c>
      <c r="P39" s="12"/>
      <c r="Q39" s="12">
        <f t="shared" si="3"/>
        <v>0</v>
      </c>
      <c r="R39" s="12"/>
      <c r="S39" s="12"/>
      <c r="T39" s="18">
        <f t="shared" si="4"/>
        <v>30</v>
      </c>
      <c r="U39" s="12">
        <f t="shared" si="5"/>
        <v>210</v>
      </c>
      <c r="V39" s="12"/>
      <c r="W39" s="12"/>
      <c r="X39" s="12"/>
      <c r="Y39" s="12"/>
      <c r="Z39" s="12"/>
    </row>
    <row r="40">
      <c r="A40" s="15" t="s">
        <v>101</v>
      </c>
      <c r="B40" s="16" t="s">
        <v>61</v>
      </c>
      <c r="C40" s="17" t="s">
        <v>62</v>
      </c>
      <c r="D40" s="17" t="s">
        <v>102</v>
      </c>
      <c r="E40" s="12">
        <f>16 * 7.8</f>
        <v>124.8</v>
      </c>
      <c r="F40" s="12">
        <f>11 + 1/8</f>
        <v>11.125</v>
      </c>
      <c r="G40" s="17">
        <f>8 + 3/8</f>
        <v>8.375</v>
      </c>
      <c r="H40" s="17">
        <f>2+ 5/16</f>
        <v>2.3125</v>
      </c>
      <c r="I40" s="12">
        <f t="shared" si="1"/>
        <v>215.4599609</v>
      </c>
      <c r="J40" s="12"/>
      <c r="K40" s="12">
        <v>215.4599609375</v>
      </c>
      <c r="L40" s="12">
        <f>16 * 7.8</f>
        <v>124.8</v>
      </c>
      <c r="M40" s="12"/>
      <c r="N40" s="18">
        <f t="shared" si="2"/>
        <v>25.7265625</v>
      </c>
      <c r="O40" s="12">
        <f>16 * 7.8</f>
        <v>124.8</v>
      </c>
      <c r="P40" s="12"/>
      <c r="Q40" s="12">
        <f t="shared" si="3"/>
        <v>0</v>
      </c>
      <c r="R40" s="12"/>
      <c r="S40" s="12"/>
      <c r="T40" s="18">
        <f t="shared" si="4"/>
        <v>25.7265625</v>
      </c>
      <c r="U40" s="12">
        <f t="shared" si="5"/>
        <v>215.4599609</v>
      </c>
      <c r="V40" s="12"/>
      <c r="W40" s="12"/>
      <c r="X40" s="12"/>
      <c r="Y40" s="12"/>
      <c r="Z40" s="12"/>
    </row>
    <row r="41">
      <c r="A41" s="15" t="s">
        <v>103</v>
      </c>
      <c r="B41" s="16" t="s">
        <v>104</v>
      </c>
      <c r="C41" s="17" t="s">
        <v>83</v>
      </c>
      <c r="D41" s="17" t="s">
        <v>105</v>
      </c>
      <c r="E41" s="12">
        <f>16 * 8.4</f>
        <v>134.4</v>
      </c>
      <c r="F41" s="12">
        <f>11 + 1/16</f>
        <v>11.0625</v>
      </c>
      <c r="G41" s="17">
        <f> 8 + 1/2</f>
        <v>8.5</v>
      </c>
      <c r="H41" s="17">
        <f>2+ 3/8</f>
        <v>2.375</v>
      </c>
      <c r="I41" s="12">
        <f t="shared" si="1"/>
        <v>223.3242188</v>
      </c>
      <c r="J41" s="12"/>
      <c r="K41" s="12">
        <v>223.32421875</v>
      </c>
      <c r="L41" s="12">
        <f>16 * 8.4</f>
        <v>134.4</v>
      </c>
      <c r="M41" s="12"/>
      <c r="N41" s="18">
        <f t="shared" si="2"/>
        <v>26.2734375</v>
      </c>
      <c r="O41" s="12">
        <f>16 * 8.4</f>
        <v>134.4</v>
      </c>
      <c r="P41" s="12"/>
      <c r="Q41" s="12">
        <f t="shared" si="3"/>
        <v>0</v>
      </c>
      <c r="R41" s="12"/>
      <c r="S41" s="12"/>
      <c r="T41" s="18">
        <f t="shared" si="4"/>
        <v>26.2734375</v>
      </c>
      <c r="U41" s="12">
        <f t="shared" si="5"/>
        <v>223.3242188</v>
      </c>
      <c r="V41" s="12"/>
      <c r="W41" s="12"/>
      <c r="X41" s="12"/>
      <c r="Y41" s="12"/>
      <c r="Z41" s="12"/>
    </row>
    <row r="42">
      <c r="A42" s="15" t="s">
        <v>106</v>
      </c>
      <c r="B42" s="16" t="s">
        <v>107</v>
      </c>
      <c r="C42" s="17" t="s">
        <v>108</v>
      </c>
      <c r="D42" s="17" t="s">
        <v>99</v>
      </c>
      <c r="E42" s="12">
        <f>16*6</f>
        <v>96</v>
      </c>
      <c r="F42" s="12">
        <f t="shared" ref="F42:F43" si="17">11 + 5/16</f>
        <v>11.3125</v>
      </c>
      <c r="G42" s="17">
        <f>8 +3/16</f>
        <v>8.1875</v>
      </c>
      <c r="H42" s="17">
        <f>2+ 1/2</f>
        <v>2.5</v>
      </c>
      <c r="I42" s="12">
        <f t="shared" si="1"/>
        <v>231.5527344</v>
      </c>
      <c r="J42" s="12"/>
      <c r="K42" s="12">
        <v>231.552734375</v>
      </c>
      <c r="L42" s="12">
        <f>16*6</f>
        <v>96</v>
      </c>
      <c r="M42" s="12"/>
      <c r="N42" s="18">
        <f t="shared" si="2"/>
        <v>28.28125</v>
      </c>
      <c r="O42" s="12">
        <f>16*6</f>
        <v>96</v>
      </c>
      <c r="P42" s="12"/>
      <c r="Q42" s="12">
        <f t="shared" si="3"/>
        <v>0</v>
      </c>
      <c r="R42" s="12"/>
      <c r="S42" s="12"/>
      <c r="T42" s="18">
        <f t="shared" si="4"/>
        <v>28.28125</v>
      </c>
      <c r="U42" s="12">
        <f t="shared" si="5"/>
        <v>231.5527344</v>
      </c>
      <c r="V42" s="12"/>
      <c r="W42" s="12"/>
      <c r="X42" s="12"/>
      <c r="Y42" s="12"/>
      <c r="Z42" s="12"/>
    </row>
    <row r="43">
      <c r="A43" s="15" t="s">
        <v>109</v>
      </c>
      <c r="B43" s="16" t="s">
        <v>107</v>
      </c>
      <c r="C43" s="17" t="s">
        <v>18</v>
      </c>
      <c r="D43" s="17" t="s">
        <v>110</v>
      </c>
      <c r="E43" s="12">
        <f>16*6.6</f>
        <v>105.6</v>
      </c>
      <c r="F43" s="12">
        <f t="shared" si="17"/>
        <v>11.3125</v>
      </c>
      <c r="G43" s="17">
        <f>8 +7/16</f>
        <v>8.4375</v>
      </c>
      <c r="H43" s="17">
        <f>2+ 11/16</f>
        <v>2.6875</v>
      </c>
      <c r="I43" s="12">
        <f t="shared" si="1"/>
        <v>256.5197754</v>
      </c>
      <c r="J43" s="12"/>
      <c r="K43" s="12">
        <v>256.519775390625</v>
      </c>
      <c r="L43" s="12">
        <f>16*6.6</f>
        <v>105.6</v>
      </c>
      <c r="M43" s="12"/>
      <c r="N43" s="18">
        <f t="shared" si="2"/>
        <v>30.40234375</v>
      </c>
      <c r="O43" s="12">
        <f>16*6.6</f>
        <v>105.6</v>
      </c>
      <c r="P43" s="12"/>
      <c r="Q43" s="12">
        <f t="shared" si="3"/>
        <v>0</v>
      </c>
      <c r="R43" s="12"/>
      <c r="S43" s="12"/>
      <c r="T43" s="18">
        <f t="shared" si="4"/>
        <v>30.40234375</v>
      </c>
      <c r="U43" s="12">
        <f t="shared" si="5"/>
        <v>256.5197754</v>
      </c>
      <c r="V43" s="12"/>
      <c r="W43" s="12"/>
      <c r="X43" s="12"/>
      <c r="Y43" s="12"/>
      <c r="Z43" s="12"/>
    </row>
    <row r="44">
      <c r="A44" s="15" t="s">
        <v>111</v>
      </c>
      <c r="B44" s="16">
        <v>14.0</v>
      </c>
      <c r="C44" s="17" t="s">
        <v>112</v>
      </c>
      <c r="D44" s="17" t="s">
        <v>32</v>
      </c>
      <c r="E44" s="17">
        <f>16*9.4</f>
        <v>150.4</v>
      </c>
      <c r="F44" s="17">
        <v>14.0</v>
      </c>
      <c r="G44" s="17">
        <f>10 +3/4</f>
        <v>10.75</v>
      </c>
      <c r="H44" s="17">
        <f>1+ 3/4</f>
        <v>1.75</v>
      </c>
      <c r="I44" s="12">
        <f t="shared" si="1"/>
        <v>263.375</v>
      </c>
      <c r="J44" s="12"/>
      <c r="K44" s="12">
        <v>263.375</v>
      </c>
      <c r="L44" s="17">
        <f>16*9.4</f>
        <v>150.4</v>
      </c>
      <c r="M44" s="12"/>
      <c r="N44" s="18">
        <f t="shared" si="2"/>
        <v>24.5</v>
      </c>
      <c r="O44" s="17">
        <f>16*9.4</f>
        <v>150.4</v>
      </c>
      <c r="P44" s="12"/>
      <c r="Q44" s="12">
        <f t="shared" si="3"/>
        <v>0</v>
      </c>
      <c r="R44" s="12"/>
      <c r="S44" s="12"/>
      <c r="T44" s="18">
        <f t="shared" si="4"/>
        <v>24.5</v>
      </c>
      <c r="U44" s="12">
        <f t="shared" si="5"/>
        <v>263.375</v>
      </c>
      <c r="V44" s="12"/>
      <c r="W44" s="12"/>
      <c r="X44" s="12"/>
      <c r="Y44" s="12"/>
      <c r="Z44" s="12"/>
    </row>
    <row r="45">
      <c r="A45" s="15" t="s">
        <v>113</v>
      </c>
      <c r="B45" s="16" t="s">
        <v>92</v>
      </c>
      <c r="C45" s="17" t="s">
        <v>59</v>
      </c>
      <c r="D45" s="17">
        <v>2.0</v>
      </c>
      <c r="E45" s="12">
        <f>16*8</f>
        <v>128</v>
      </c>
      <c r="F45" s="12">
        <f> 13 + 5/8</f>
        <v>13.625</v>
      </c>
      <c r="G45" s="17">
        <f>11 + 1/4</f>
        <v>11.25</v>
      </c>
      <c r="H45" s="17">
        <v>2.0</v>
      </c>
      <c r="I45" s="12">
        <f t="shared" si="1"/>
        <v>306.5625</v>
      </c>
      <c r="J45" s="12"/>
      <c r="K45" s="12">
        <v>306.5625</v>
      </c>
      <c r="L45" s="12">
        <f>16*8</f>
        <v>128</v>
      </c>
      <c r="M45" s="12"/>
      <c r="N45" s="18">
        <f t="shared" si="2"/>
        <v>27.25</v>
      </c>
      <c r="O45" s="12">
        <f>16*8</f>
        <v>128</v>
      </c>
      <c r="P45" s="12"/>
      <c r="Q45" s="12">
        <f t="shared" si="3"/>
        <v>0</v>
      </c>
      <c r="R45" s="12"/>
      <c r="S45" s="12"/>
      <c r="T45" s="18">
        <f t="shared" si="4"/>
        <v>27.25</v>
      </c>
      <c r="U45" s="12">
        <f t="shared" si="5"/>
        <v>306.5625</v>
      </c>
      <c r="V45" s="12"/>
      <c r="W45" s="12"/>
      <c r="X45" s="12"/>
      <c r="Y45" s="12"/>
      <c r="Z45" s="12"/>
    </row>
    <row r="46">
      <c r="A46" s="15" t="s">
        <v>114</v>
      </c>
      <c r="B46" s="16" t="s">
        <v>73</v>
      </c>
      <c r="C46" s="17" t="s">
        <v>115</v>
      </c>
      <c r="D46" s="17" t="s">
        <v>78</v>
      </c>
      <c r="E46" s="17">
        <f>16*9.4</f>
        <v>150.4</v>
      </c>
      <c r="F46" s="12">
        <f> 13 + 7/8</f>
        <v>13.875</v>
      </c>
      <c r="G46" s="17">
        <f t="shared" ref="G46:G47" si="18">10+ 1/2</f>
        <v>10.5</v>
      </c>
      <c r="H46" s="17">
        <f>2+ 1/4</f>
        <v>2.25</v>
      </c>
      <c r="I46" s="12">
        <f t="shared" si="1"/>
        <v>327.796875</v>
      </c>
      <c r="J46" s="12"/>
      <c r="K46" s="12">
        <v>327.796875</v>
      </c>
      <c r="L46" s="17">
        <f>16*9.4</f>
        <v>150.4</v>
      </c>
      <c r="M46" s="12"/>
      <c r="N46" s="18">
        <f t="shared" si="2"/>
        <v>31.21875</v>
      </c>
      <c r="O46" s="17">
        <f>16*9.4</f>
        <v>150.4</v>
      </c>
      <c r="P46" s="12"/>
      <c r="Q46" s="12">
        <f t="shared" si="3"/>
        <v>0</v>
      </c>
      <c r="R46" s="12"/>
      <c r="S46" s="12"/>
      <c r="T46" s="18">
        <f t="shared" si="4"/>
        <v>31.21875</v>
      </c>
      <c r="U46" s="12">
        <f t="shared" si="5"/>
        <v>327.796875</v>
      </c>
      <c r="V46" s="12"/>
      <c r="W46" s="12"/>
      <c r="X46" s="12"/>
      <c r="Y46" s="12"/>
      <c r="Z46" s="12"/>
    </row>
    <row r="47">
      <c r="A47" s="15" t="s">
        <v>116</v>
      </c>
      <c r="B47" s="16" t="s">
        <v>117</v>
      </c>
      <c r="C47" s="17" t="s">
        <v>115</v>
      </c>
      <c r="D47" s="17" t="s">
        <v>89</v>
      </c>
      <c r="E47" s="12">
        <f>16*11.2</f>
        <v>179.2</v>
      </c>
      <c r="F47" s="12">
        <f t="shared" ref="F47:F48" si="19"> 13 + 3/4</f>
        <v>13.75</v>
      </c>
      <c r="G47" s="17">
        <f t="shared" si="18"/>
        <v>10.5</v>
      </c>
      <c r="H47" s="17">
        <f t="shared" ref="H47:H48" si="20">2+ 3/4</f>
        <v>2.75</v>
      </c>
      <c r="I47" s="12">
        <f t="shared" si="1"/>
        <v>397.03125</v>
      </c>
      <c r="J47" s="12"/>
      <c r="K47" s="12">
        <v>397.03125</v>
      </c>
      <c r="L47" s="12">
        <f>16*11.2</f>
        <v>179.2</v>
      </c>
      <c r="M47" s="12"/>
      <c r="N47" s="18">
        <f t="shared" si="2"/>
        <v>37.8125</v>
      </c>
      <c r="O47" s="12">
        <f>16*11.2</f>
        <v>179.2</v>
      </c>
      <c r="P47" s="12"/>
      <c r="Q47" s="12">
        <f t="shared" si="3"/>
        <v>0</v>
      </c>
      <c r="R47" s="12"/>
      <c r="S47" s="12"/>
      <c r="T47" s="18">
        <f t="shared" si="4"/>
        <v>37.8125</v>
      </c>
      <c r="U47" s="12">
        <f t="shared" si="5"/>
        <v>397.03125</v>
      </c>
      <c r="V47" s="12"/>
      <c r="W47" s="12"/>
      <c r="X47" s="12"/>
      <c r="Y47" s="12"/>
      <c r="Z47" s="12"/>
    </row>
    <row r="48">
      <c r="A48" s="15" t="s">
        <v>118</v>
      </c>
      <c r="B48" s="16" t="s">
        <v>117</v>
      </c>
      <c r="C48" s="17" t="s">
        <v>119</v>
      </c>
      <c r="D48" s="17" t="s">
        <v>89</v>
      </c>
      <c r="E48" s="12">
        <f> 16 * 10.2</f>
        <v>163.2</v>
      </c>
      <c r="F48" s="17">
        <f t="shared" si="19"/>
        <v>13.75</v>
      </c>
      <c r="G48" s="17">
        <f>11+ 1/2</f>
        <v>11.5</v>
      </c>
      <c r="H48" s="17">
        <f t="shared" si="20"/>
        <v>2.75</v>
      </c>
      <c r="I48" s="12">
        <f t="shared" si="1"/>
        <v>434.84375</v>
      </c>
      <c r="J48" s="12"/>
      <c r="K48" s="12">
        <v>434.84375</v>
      </c>
      <c r="L48" s="12">
        <f> 16 * 10.2</f>
        <v>163.2</v>
      </c>
      <c r="M48" s="12"/>
      <c r="N48" s="18">
        <f t="shared" si="2"/>
        <v>37.8125</v>
      </c>
      <c r="O48" s="12">
        <f> 16 * 10.2</f>
        <v>163.2</v>
      </c>
      <c r="P48" s="12"/>
      <c r="Q48" s="12">
        <f t="shared" si="3"/>
        <v>0</v>
      </c>
      <c r="R48" s="12"/>
      <c r="S48" s="12"/>
      <c r="T48" s="18">
        <f t="shared" si="4"/>
        <v>37.8125</v>
      </c>
      <c r="U48" s="12">
        <f t="shared" si="5"/>
        <v>434.84375</v>
      </c>
      <c r="V48" s="12"/>
      <c r="W48" s="12"/>
      <c r="X48" s="12"/>
      <c r="Y48" s="12"/>
      <c r="Z48" s="12"/>
    </row>
    <row r="49">
      <c r="A49" s="15" t="s">
        <v>120</v>
      </c>
      <c r="B49" s="16" t="s">
        <v>61</v>
      </c>
      <c r="C49" s="17" t="s">
        <v>83</v>
      </c>
      <c r="D49" s="17" t="s">
        <v>121</v>
      </c>
      <c r="E49" s="12">
        <f>5*16</f>
        <v>80</v>
      </c>
      <c r="F49" s="17">
        <v>11.125</v>
      </c>
      <c r="G49" s="12">
        <f> 8 + 1/2</f>
        <v>8.5</v>
      </c>
      <c r="H49" s="17">
        <f>2+ 3/16</f>
        <v>2.1875</v>
      </c>
      <c r="I49" s="12">
        <f>$F$3*$G$3*$H$3</f>
        <v>78.83789063</v>
      </c>
      <c r="J49" s="12"/>
      <c r="K49" s="12">
        <v>206.85546875</v>
      </c>
      <c r="L49" s="12">
        <f>5*16</f>
        <v>80</v>
      </c>
      <c r="M49" s="12"/>
      <c r="N49" s="18">
        <f t="shared" si="2"/>
        <v>24.3359375</v>
      </c>
      <c r="O49" s="12">
        <f>5*16</f>
        <v>80</v>
      </c>
      <c r="P49" s="12"/>
      <c r="Q49" s="12">
        <f t="shared" si="3"/>
        <v>0</v>
      </c>
      <c r="R49" s="12"/>
      <c r="S49" s="12"/>
      <c r="T49" s="18">
        <f t="shared" si="4"/>
        <v>24.3359375</v>
      </c>
      <c r="U49" s="12">
        <f t="shared" si="5"/>
        <v>206.8554688</v>
      </c>
      <c r="V49" s="12"/>
      <c r="W49" s="12"/>
      <c r="X49" s="12"/>
      <c r="Y49" s="12"/>
      <c r="Z49" s="12"/>
    </row>
    <row r="50">
      <c r="A50" s="15" t="s">
        <v>122</v>
      </c>
      <c r="B50" s="16" t="s">
        <v>123</v>
      </c>
      <c r="C50" s="17" t="s">
        <v>115</v>
      </c>
      <c r="D50" s="17" t="s">
        <v>124</v>
      </c>
      <c r="E50" s="12">
        <f>16*13</f>
        <v>208</v>
      </c>
      <c r="F50" s="12">
        <f> 13 + 1/4</f>
        <v>13.25</v>
      </c>
      <c r="G50" s="17">
        <f>10+ 1/2</f>
        <v>10.5</v>
      </c>
      <c r="H50" s="17">
        <f>3+ 1/2</f>
        <v>3.5</v>
      </c>
      <c r="I50" s="12">
        <f>F50*G50*H50</f>
        <v>486.9375</v>
      </c>
      <c r="J50" s="12"/>
      <c r="K50" s="12">
        <v>486.9375</v>
      </c>
      <c r="L50" s="12">
        <f>16*13</f>
        <v>208</v>
      </c>
      <c r="M50" s="12"/>
      <c r="N50" s="18">
        <f t="shared" si="2"/>
        <v>46.375</v>
      </c>
      <c r="O50" s="12">
        <f>16*13</f>
        <v>208</v>
      </c>
      <c r="P50" s="12"/>
      <c r="Q50" s="12">
        <f t="shared" si="3"/>
        <v>0</v>
      </c>
      <c r="R50" s="12"/>
      <c r="S50" s="12"/>
      <c r="T50" s="18">
        <f t="shared" si="4"/>
        <v>46.375</v>
      </c>
      <c r="U50" s="12">
        <f t="shared" si="5"/>
        <v>486.9375</v>
      </c>
      <c r="V50" s="12" t="str">
        <f>CORREL(T50:T99,U50:U99)</f>
        <v>#DIV/0!</v>
      </c>
      <c r="W50" s="12"/>
      <c r="X50" s="12">
        <f>AVERAGE(G50:G99)</f>
        <v>10.5</v>
      </c>
      <c r="Y50" s="12">
        <f>AVERAGE(E50:E99)</f>
        <v>208</v>
      </c>
      <c r="Z50" s="12"/>
    </row>
    <row r="51">
      <c r="A51" s="15" t="s">
        <v>125</v>
      </c>
      <c r="B51" s="15" t="s">
        <v>126</v>
      </c>
      <c r="C51" s="15" t="s">
        <v>127</v>
      </c>
      <c r="D51" s="15" t="s">
        <v>128</v>
      </c>
      <c r="E51" s="15" t="s">
        <v>129</v>
      </c>
      <c r="F51" s="15" t="s">
        <v>126</v>
      </c>
      <c r="G51" s="15" t="s">
        <v>127</v>
      </c>
      <c r="H51" s="15" t="s">
        <v>128</v>
      </c>
      <c r="I51" s="15" t="s">
        <v>130</v>
      </c>
      <c r="J51" s="12"/>
      <c r="K51" s="12" t="s">
        <v>130</v>
      </c>
      <c r="L51" s="15" t="s">
        <v>129</v>
      </c>
      <c r="M51" s="12"/>
      <c r="N51" s="17" t="s">
        <v>131</v>
      </c>
      <c r="O51" s="15" t="s">
        <v>129</v>
      </c>
      <c r="P51" s="12"/>
      <c r="Q51" s="12"/>
      <c r="R51" s="12"/>
      <c r="S51" s="12"/>
      <c r="T51" s="17" t="s">
        <v>131</v>
      </c>
      <c r="U51" s="17" t="s">
        <v>130</v>
      </c>
      <c r="V51" s="17" t="s">
        <v>132</v>
      </c>
      <c r="W51" s="12"/>
      <c r="X51" s="17" t="s">
        <v>133</v>
      </c>
      <c r="Y51" s="17" t="s">
        <v>134</v>
      </c>
      <c r="Z51" s="12"/>
    </row>
    <row r="52">
      <c r="A52" s="12"/>
      <c r="B52" s="20"/>
      <c r="C52" s="20"/>
      <c r="D52" s="20"/>
      <c r="E52" s="20"/>
      <c r="F52" s="12"/>
      <c r="G52" s="12"/>
      <c r="H52" s="12"/>
      <c r="I52" s="12"/>
      <c r="J52" s="12"/>
      <c r="K52" s="12"/>
      <c r="L52" s="20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1" t="s">
        <v>135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2" t="s">
        <v>136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13" max="13" width="17.5"/>
  </cols>
  <sheetData>
    <row r="2">
      <c r="B2" s="23" t="s">
        <v>137</v>
      </c>
      <c r="C2" s="23">
        <v>151.0</v>
      </c>
      <c r="I2" s="24" t="s">
        <v>125</v>
      </c>
      <c r="J2" s="24" t="s">
        <v>138</v>
      </c>
      <c r="K2" s="24" t="s">
        <v>139</v>
      </c>
      <c r="L2" s="24" t="s">
        <v>140</v>
      </c>
      <c r="M2" s="24" t="s">
        <v>141</v>
      </c>
    </row>
    <row r="3">
      <c r="B3" s="23" t="s">
        <v>142</v>
      </c>
      <c r="C3" s="23" t="s">
        <v>143</v>
      </c>
      <c r="D3" s="23" t="s">
        <v>144</v>
      </c>
      <c r="E3" s="23" t="s">
        <v>145</v>
      </c>
      <c r="F3" s="23" t="s">
        <v>146</v>
      </c>
      <c r="G3" s="23"/>
      <c r="I3" s="17">
        <v>1.0</v>
      </c>
      <c r="J3" s="17">
        <v>10.5</v>
      </c>
      <c r="K3" s="17">
        <v>1.5</v>
      </c>
      <c r="L3" s="12">
        <f t="shared" ref="L3:L102" si="1">J3*K3</f>
        <v>15.75</v>
      </c>
      <c r="M3" s="25">
        <f>2270+424+166+2318</f>
        <v>5178</v>
      </c>
    </row>
    <row r="4">
      <c r="B4" s="23" t="s">
        <v>147</v>
      </c>
      <c r="I4" s="17">
        <v>2.0</v>
      </c>
      <c r="J4" s="17">
        <v>10.75</v>
      </c>
      <c r="K4" s="17">
        <v>1.75</v>
      </c>
      <c r="L4" s="12">
        <f t="shared" si="1"/>
        <v>18.8125</v>
      </c>
    </row>
    <row r="5">
      <c r="B5" s="23" t="s">
        <v>148</v>
      </c>
      <c r="C5" s="23">
        <v>12.75</v>
      </c>
      <c r="D5" s="23">
        <v>12.75</v>
      </c>
      <c r="E5" s="23">
        <v>12.75</v>
      </c>
      <c r="F5" s="23">
        <v>12.75</v>
      </c>
      <c r="I5" s="17">
        <v>3.0</v>
      </c>
      <c r="J5" s="17">
        <v>7.5</v>
      </c>
      <c r="K5" s="17">
        <v>1.5</v>
      </c>
      <c r="L5" s="12">
        <f t="shared" si="1"/>
        <v>11.25</v>
      </c>
    </row>
    <row r="6">
      <c r="C6" s="23">
        <v>12.75</v>
      </c>
      <c r="D6" s="23">
        <v>12.75</v>
      </c>
      <c r="E6" s="23">
        <v>12.75</v>
      </c>
      <c r="F6" s="23">
        <v>12.75</v>
      </c>
      <c r="I6" s="17">
        <v>4.0</v>
      </c>
      <c r="J6" s="17">
        <v>9.5</v>
      </c>
      <c r="K6" s="17">
        <v>1.25</v>
      </c>
      <c r="L6" s="12">
        <f t="shared" si="1"/>
        <v>11.875</v>
      </c>
    </row>
    <row r="7">
      <c r="C7" s="23">
        <v>12.75</v>
      </c>
      <c r="D7" s="23">
        <v>12.75</v>
      </c>
      <c r="E7" s="23">
        <v>12.75</v>
      </c>
      <c r="F7" s="23">
        <v>12.75</v>
      </c>
      <c r="I7" s="17">
        <v>5.0</v>
      </c>
      <c r="J7" s="17">
        <v>10.5</v>
      </c>
      <c r="K7" s="17">
        <v>0.75</v>
      </c>
      <c r="L7" s="12">
        <f t="shared" si="1"/>
        <v>7.875</v>
      </c>
    </row>
    <row r="8">
      <c r="C8" s="23">
        <v>12.625</v>
      </c>
      <c r="D8" s="23">
        <v>12.625</v>
      </c>
      <c r="E8" s="23">
        <v>12.625</v>
      </c>
      <c r="F8" s="23">
        <v>12.625</v>
      </c>
      <c r="I8" s="17">
        <v>6.0</v>
      </c>
      <c r="J8" s="17">
        <v>7.75</v>
      </c>
      <c r="K8" s="17">
        <v>0.75</v>
      </c>
      <c r="L8" s="12">
        <f t="shared" si="1"/>
        <v>5.8125</v>
      </c>
    </row>
    <row r="9">
      <c r="B9" s="23" t="s">
        <v>149</v>
      </c>
      <c r="C9" s="23">
        <v>12.75</v>
      </c>
      <c r="D9" s="23">
        <v>12.75</v>
      </c>
      <c r="E9" s="23">
        <v>12.75</v>
      </c>
      <c r="F9" s="23">
        <v>12.75</v>
      </c>
      <c r="I9" s="17">
        <v>7.0</v>
      </c>
      <c r="J9" s="17">
        <v>9.75</v>
      </c>
      <c r="K9" s="17">
        <v>3.5</v>
      </c>
      <c r="L9" s="12">
        <f t="shared" si="1"/>
        <v>34.125</v>
      </c>
    </row>
    <row r="10">
      <c r="B10" s="23" t="s">
        <v>150</v>
      </c>
      <c r="C10" s="23">
        <v>14.125</v>
      </c>
      <c r="D10" s="23">
        <v>14.125</v>
      </c>
      <c r="E10" s="23">
        <v>14.125</v>
      </c>
      <c r="F10" s="23">
        <v>14.125</v>
      </c>
      <c r="I10" s="17">
        <v>8.0</v>
      </c>
      <c r="J10" s="17">
        <v>8.0</v>
      </c>
      <c r="K10" s="17">
        <v>1.5</v>
      </c>
      <c r="L10" s="12">
        <f t="shared" si="1"/>
        <v>12</v>
      </c>
    </row>
    <row r="11">
      <c r="C11" s="23">
        <v>48.0</v>
      </c>
      <c r="D11" s="23">
        <v>48.0</v>
      </c>
      <c r="E11" s="23">
        <v>48.0</v>
      </c>
      <c r="F11" s="23">
        <v>48.0</v>
      </c>
      <c r="I11" s="17">
        <v>9.0</v>
      </c>
      <c r="J11" s="17">
        <v>7.5</v>
      </c>
      <c r="K11" s="17">
        <v>1.75</v>
      </c>
      <c r="L11" s="12">
        <f t="shared" si="1"/>
        <v>13.125</v>
      </c>
    </row>
    <row r="12">
      <c r="I12" s="17">
        <v>10.0</v>
      </c>
      <c r="J12" s="17">
        <v>6.5</v>
      </c>
      <c r="K12" s="17">
        <v>1.5</v>
      </c>
      <c r="L12" s="12">
        <f t="shared" si="1"/>
        <v>9.75</v>
      </c>
    </row>
    <row r="13">
      <c r="B13" s="26" t="s">
        <v>151</v>
      </c>
      <c r="I13" s="17">
        <v>11.0</v>
      </c>
      <c r="J13" s="17">
        <v>8.0</v>
      </c>
      <c r="K13" s="17">
        <v>1.0</v>
      </c>
      <c r="L13" s="12">
        <f t="shared" si="1"/>
        <v>8</v>
      </c>
    </row>
    <row r="14">
      <c r="B14" s="27"/>
      <c r="D14" s="23" t="s">
        <v>152</v>
      </c>
      <c r="E14" s="23" t="s">
        <v>153</v>
      </c>
      <c r="F14" s="23" t="s">
        <v>154</v>
      </c>
      <c r="I14" s="17">
        <v>12.0</v>
      </c>
      <c r="J14" s="17">
        <v>8.0</v>
      </c>
      <c r="K14" s="17">
        <v>0.75</v>
      </c>
      <c r="L14" s="12">
        <f t="shared" si="1"/>
        <v>6</v>
      </c>
    </row>
    <row r="15">
      <c r="B15" s="26" t="s">
        <v>155</v>
      </c>
      <c r="C15" s="28" t="s">
        <v>156</v>
      </c>
      <c r="D15" s="23">
        <v>10.25</v>
      </c>
      <c r="E15" s="23">
        <v>5.0</v>
      </c>
      <c r="F15" s="23">
        <v>15.25</v>
      </c>
      <c r="I15" s="17">
        <v>13.0</v>
      </c>
      <c r="J15" s="17">
        <v>7.5</v>
      </c>
      <c r="K15" s="17">
        <v>1.5</v>
      </c>
      <c r="L15" s="12">
        <f t="shared" si="1"/>
        <v>11.25</v>
      </c>
    </row>
    <row r="16">
      <c r="B16" s="26" t="s">
        <v>157</v>
      </c>
      <c r="C16" s="23" t="s">
        <v>158</v>
      </c>
      <c r="D16" s="23">
        <v>10.5</v>
      </c>
      <c r="E16" s="23">
        <v>13.0</v>
      </c>
      <c r="F16" s="23">
        <v>15.75</v>
      </c>
      <c r="I16" s="17">
        <v>14.0</v>
      </c>
      <c r="J16" s="17">
        <v>7.5</v>
      </c>
      <c r="K16" s="17">
        <v>0.8</v>
      </c>
      <c r="L16" s="12">
        <f t="shared" si="1"/>
        <v>6</v>
      </c>
    </row>
    <row r="17">
      <c r="B17" s="26" t="s">
        <v>159</v>
      </c>
      <c r="C17" s="23" t="s">
        <v>160</v>
      </c>
      <c r="D17" s="23">
        <v>3.125</v>
      </c>
      <c r="E17" s="23">
        <v>12.0</v>
      </c>
      <c r="F17" s="23">
        <v>15.5</v>
      </c>
      <c r="I17" s="17">
        <v>15.0</v>
      </c>
      <c r="J17" s="17">
        <v>9.0</v>
      </c>
      <c r="K17" s="17">
        <v>0.2</v>
      </c>
      <c r="L17" s="12">
        <f t="shared" si="1"/>
        <v>1.8</v>
      </c>
    </row>
    <row r="18">
      <c r="B18" s="27"/>
      <c r="C18" s="23" t="s">
        <v>161</v>
      </c>
      <c r="D18" s="23">
        <v>10.5</v>
      </c>
      <c r="E18" s="23">
        <v>2.5</v>
      </c>
      <c r="F18" s="23">
        <v>15.5</v>
      </c>
      <c r="I18" s="17">
        <v>16.0</v>
      </c>
      <c r="J18" s="17">
        <v>10.0</v>
      </c>
      <c r="K18" s="17">
        <v>0.1</v>
      </c>
      <c r="L18" s="12">
        <f t="shared" si="1"/>
        <v>1</v>
      </c>
    </row>
    <row r="19">
      <c r="B19" s="27"/>
      <c r="C19" s="23" t="s">
        <v>162</v>
      </c>
      <c r="D19" s="23">
        <v>3.625</v>
      </c>
      <c r="E19" s="23">
        <v>15.5</v>
      </c>
      <c r="F19" s="23">
        <v>17.5</v>
      </c>
      <c r="I19" s="17">
        <v>17.0</v>
      </c>
      <c r="J19" s="17">
        <v>13.0</v>
      </c>
      <c r="K19" s="17">
        <v>0.5</v>
      </c>
      <c r="L19" s="12">
        <f t="shared" si="1"/>
        <v>6.5</v>
      </c>
    </row>
    <row r="20">
      <c r="B20" s="26" t="s">
        <v>163</v>
      </c>
      <c r="I20" s="17">
        <v>18.0</v>
      </c>
      <c r="J20" s="17">
        <v>10.0</v>
      </c>
      <c r="K20" s="17">
        <v>3.0</v>
      </c>
      <c r="L20" s="12">
        <f t="shared" si="1"/>
        <v>30</v>
      </c>
    </row>
    <row r="21">
      <c r="B21" s="27"/>
      <c r="I21" s="17">
        <v>19.0</v>
      </c>
      <c r="J21" s="17">
        <v>12.0</v>
      </c>
      <c r="K21" s="17">
        <v>6.5</v>
      </c>
      <c r="L21" s="12">
        <f t="shared" si="1"/>
        <v>78</v>
      </c>
    </row>
    <row r="22">
      <c r="B22" s="26" t="s">
        <v>164</v>
      </c>
      <c r="I22" s="17">
        <v>20.0</v>
      </c>
      <c r="J22" s="17">
        <v>9.5</v>
      </c>
      <c r="K22" s="17">
        <v>1.25</v>
      </c>
      <c r="L22" s="12">
        <f t="shared" si="1"/>
        <v>11.875</v>
      </c>
    </row>
    <row r="23">
      <c r="B23" s="26" t="s">
        <v>165</v>
      </c>
      <c r="I23" s="17">
        <v>21.0</v>
      </c>
      <c r="J23" s="17">
        <v>11.0</v>
      </c>
      <c r="K23" s="17">
        <v>2.3</v>
      </c>
      <c r="L23" s="12">
        <f t="shared" si="1"/>
        <v>25.3</v>
      </c>
    </row>
    <row r="24">
      <c r="B24" s="26" t="s">
        <v>166</v>
      </c>
      <c r="I24" s="17">
        <v>22.0</v>
      </c>
      <c r="J24" s="17">
        <v>17.0</v>
      </c>
      <c r="K24" s="17">
        <v>4.0</v>
      </c>
      <c r="L24" s="12">
        <f t="shared" si="1"/>
        <v>68</v>
      </c>
    </row>
    <row r="25">
      <c r="B25" s="27"/>
      <c r="I25" s="17">
        <v>23.0</v>
      </c>
      <c r="J25" s="17">
        <v>16.5</v>
      </c>
      <c r="K25" s="17">
        <v>2.6</v>
      </c>
      <c r="L25" s="12">
        <f t="shared" si="1"/>
        <v>42.9</v>
      </c>
    </row>
    <row r="26">
      <c r="B26" s="27"/>
      <c r="I26" s="17">
        <v>24.0</v>
      </c>
      <c r="J26" s="17">
        <v>16.5</v>
      </c>
      <c r="K26" s="17">
        <v>2.75</v>
      </c>
      <c r="L26" s="12">
        <f t="shared" si="1"/>
        <v>45.375</v>
      </c>
    </row>
    <row r="27">
      <c r="B27" s="26" t="s">
        <v>167</v>
      </c>
      <c r="I27" s="17">
        <v>25.0</v>
      </c>
      <c r="J27" s="17">
        <v>12.5</v>
      </c>
      <c r="K27" s="17">
        <v>2.8</v>
      </c>
      <c r="L27" s="12">
        <f t="shared" si="1"/>
        <v>35</v>
      </c>
    </row>
    <row r="28">
      <c r="B28" s="27"/>
      <c r="I28" s="17">
        <v>26.0</v>
      </c>
      <c r="J28" s="17">
        <v>9.0</v>
      </c>
      <c r="K28" s="17">
        <v>1.0</v>
      </c>
      <c r="L28" s="12">
        <f t="shared" si="1"/>
        <v>9</v>
      </c>
    </row>
    <row r="29">
      <c r="B29" s="26" t="s">
        <v>168</v>
      </c>
      <c r="I29" s="17">
        <v>27.0</v>
      </c>
      <c r="J29" s="17">
        <v>9.0</v>
      </c>
      <c r="K29" s="17">
        <v>0.3</v>
      </c>
      <c r="L29" s="12">
        <f t="shared" si="1"/>
        <v>2.7</v>
      </c>
    </row>
    <row r="30">
      <c r="B30" s="26" t="s">
        <v>169</v>
      </c>
      <c r="I30" s="17">
        <v>28.0</v>
      </c>
      <c r="J30" s="17">
        <v>9.0</v>
      </c>
      <c r="K30" s="17">
        <v>0.8</v>
      </c>
      <c r="L30" s="12">
        <f t="shared" si="1"/>
        <v>7.2</v>
      </c>
    </row>
    <row r="31">
      <c r="B31" s="26" t="s">
        <v>170</v>
      </c>
      <c r="I31" s="17">
        <v>29.0</v>
      </c>
      <c r="J31" s="17">
        <v>9.0</v>
      </c>
      <c r="K31" s="17">
        <v>1.0</v>
      </c>
      <c r="L31" s="12">
        <f t="shared" si="1"/>
        <v>9</v>
      </c>
    </row>
    <row r="32">
      <c r="B32" s="27"/>
      <c r="I32" s="17">
        <v>30.0</v>
      </c>
      <c r="J32" s="17">
        <v>9.0</v>
      </c>
      <c r="K32" s="17">
        <v>0.75</v>
      </c>
      <c r="L32" s="12">
        <f t="shared" si="1"/>
        <v>6.75</v>
      </c>
    </row>
    <row r="33">
      <c r="B33" s="26" t="s">
        <v>171</v>
      </c>
      <c r="I33" s="17">
        <v>31.0</v>
      </c>
      <c r="J33" s="17">
        <v>10.5</v>
      </c>
      <c r="K33" s="17">
        <v>1.5</v>
      </c>
      <c r="L33" s="12">
        <f t="shared" si="1"/>
        <v>15.75</v>
      </c>
    </row>
    <row r="34">
      <c r="B34" s="27"/>
      <c r="I34" s="17">
        <v>32.0</v>
      </c>
      <c r="J34" s="17">
        <v>9.5</v>
      </c>
      <c r="K34" s="17">
        <v>2.5</v>
      </c>
      <c r="L34" s="12">
        <f t="shared" si="1"/>
        <v>23.75</v>
      </c>
    </row>
    <row r="35">
      <c r="B35" s="26" t="s">
        <v>164</v>
      </c>
      <c r="I35" s="17">
        <v>33.0</v>
      </c>
      <c r="J35" s="17">
        <v>11.0</v>
      </c>
      <c r="K35" s="17">
        <v>0.75</v>
      </c>
      <c r="L35" s="12">
        <f t="shared" si="1"/>
        <v>8.25</v>
      </c>
    </row>
    <row r="36">
      <c r="B36" s="26" t="s">
        <v>172</v>
      </c>
      <c r="I36" s="17">
        <v>34.0</v>
      </c>
      <c r="J36" s="17">
        <v>9.25</v>
      </c>
      <c r="K36" s="17">
        <v>2.0</v>
      </c>
      <c r="L36" s="12">
        <f t="shared" si="1"/>
        <v>18.5</v>
      </c>
    </row>
    <row r="37">
      <c r="B37" s="26" t="s">
        <v>170</v>
      </c>
      <c r="I37" s="17">
        <v>35.0</v>
      </c>
      <c r="J37" s="17">
        <v>10.75</v>
      </c>
      <c r="K37" s="17">
        <v>1.5</v>
      </c>
      <c r="L37" s="12">
        <f t="shared" si="1"/>
        <v>16.125</v>
      </c>
    </row>
    <row r="38">
      <c r="B38" s="27"/>
      <c r="I38" s="17">
        <v>36.0</v>
      </c>
      <c r="J38" s="17">
        <v>10.3</v>
      </c>
      <c r="K38" s="17">
        <v>1.25</v>
      </c>
      <c r="L38" s="12">
        <f t="shared" si="1"/>
        <v>12.875</v>
      </c>
    </row>
    <row r="39">
      <c r="B39" s="26" t="s">
        <v>173</v>
      </c>
      <c r="I39" s="17">
        <v>37.0</v>
      </c>
      <c r="J39" s="17">
        <v>11.5</v>
      </c>
      <c r="K39" s="17">
        <v>2.0</v>
      </c>
      <c r="L39" s="12">
        <f t="shared" si="1"/>
        <v>23</v>
      </c>
    </row>
    <row r="40">
      <c r="B40" s="27"/>
      <c r="I40" s="17">
        <v>38.0</v>
      </c>
      <c r="J40" s="17">
        <v>12.0</v>
      </c>
      <c r="K40" s="17">
        <v>0.75</v>
      </c>
      <c r="L40" s="12">
        <f t="shared" si="1"/>
        <v>9</v>
      </c>
    </row>
    <row r="41">
      <c r="B41" s="26" t="s">
        <v>174</v>
      </c>
      <c r="I41" s="17">
        <v>39.0</v>
      </c>
      <c r="J41" s="17">
        <v>8.5</v>
      </c>
      <c r="K41" s="17">
        <v>2.0</v>
      </c>
      <c r="L41" s="12">
        <f t="shared" si="1"/>
        <v>17</v>
      </c>
    </row>
    <row r="42">
      <c r="B42" s="26" t="s">
        <v>175</v>
      </c>
      <c r="I42" s="17">
        <v>40.0</v>
      </c>
      <c r="J42" s="17">
        <v>8.0</v>
      </c>
      <c r="K42" s="17">
        <v>2.0</v>
      </c>
      <c r="L42" s="12">
        <f t="shared" si="1"/>
        <v>16</v>
      </c>
    </row>
    <row r="43">
      <c r="B43" s="26" t="s">
        <v>176</v>
      </c>
      <c r="I43" s="17">
        <v>41.0</v>
      </c>
      <c r="J43" s="17">
        <v>5.5</v>
      </c>
      <c r="K43" s="17">
        <v>1.0</v>
      </c>
      <c r="L43" s="12">
        <f t="shared" si="1"/>
        <v>5.5</v>
      </c>
    </row>
    <row r="44">
      <c r="B44" s="27"/>
      <c r="I44" s="17">
        <v>42.0</v>
      </c>
      <c r="J44" s="17">
        <v>5.0</v>
      </c>
      <c r="K44" s="17">
        <v>1.0</v>
      </c>
      <c r="L44" s="12">
        <f t="shared" si="1"/>
        <v>5</v>
      </c>
    </row>
    <row r="45">
      <c r="I45" s="17">
        <v>43.0</v>
      </c>
      <c r="J45" s="17">
        <v>7.75</v>
      </c>
      <c r="K45" s="17">
        <v>1.75</v>
      </c>
      <c r="L45" s="12">
        <f t="shared" si="1"/>
        <v>13.5625</v>
      </c>
    </row>
    <row r="46">
      <c r="I46" s="17">
        <v>44.0</v>
      </c>
      <c r="J46" s="17">
        <v>7.5</v>
      </c>
      <c r="K46" s="17">
        <v>2.5</v>
      </c>
      <c r="L46" s="12">
        <f t="shared" si="1"/>
        <v>18.75</v>
      </c>
    </row>
    <row r="47">
      <c r="I47" s="17">
        <v>45.0</v>
      </c>
      <c r="J47" s="17">
        <v>7.0</v>
      </c>
      <c r="K47" s="17">
        <v>1.25</v>
      </c>
      <c r="L47" s="12">
        <f t="shared" si="1"/>
        <v>8.75</v>
      </c>
    </row>
    <row r="48">
      <c r="I48" s="17">
        <v>46.0</v>
      </c>
      <c r="J48" s="17">
        <v>7.5</v>
      </c>
      <c r="K48" s="17">
        <v>1.5</v>
      </c>
      <c r="L48" s="12">
        <f t="shared" si="1"/>
        <v>11.25</v>
      </c>
    </row>
    <row r="49">
      <c r="I49" s="17">
        <v>47.0</v>
      </c>
      <c r="J49" s="17">
        <v>9.25</v>
      </c>
      <c r="K49" s="17">
        <v>2.5</v>
      </c>
      <c r="L49" s="12">
        <f t="shared" si="1"/>
        <v>23.125</v>
      </c>
    </row>
    <row r="50">
      <c r="I50" s="17">
        <v>48.0</v>
      </c>
      <c r="J50" s="17">
        <v>8.5</v>
      </c>
      <c r="K50" s="17">
        <v>1.5</v>
      </c>
      <c r="L50" s="12">
        <f t="shared" si="1"/>
        <v>12.75</v>
      </c>
    </row>
    <row r="51">
      <c r="I51" s="17">
        <v>49.0</v>
      </c>
      <c r="J51" s="17">
        <v>6.5</v>
      </c>
      <c r="K51" s="17">
        <v>1.5</v>
      </c>
      <c r="L51" s="12">
        <f t="shared" si="1"/>
        <v>9.75</v>
      </c>
    </row>
    <row r="52">
      <c r="I52" s="17">
        <v>50.0</v>
      </c>
      <c r="J52" s="17">
        <v>8.5</v>
      </c>
      <c r="K52" s="17">
        <v>2.0</v>
      </c>
      <c r="L52" s="12">
        <f t="shared" si="1"/>
        <v>17</v>
      </c>
    </row>
    <row r="53">
      <c r="I53" s="17">
        <v>51.0</v>
      </c>
      <c r="J53" s="17">
        <v>9.25</v>
      </c>
      <c r="K53" s="17">
        <v>2.0</v>
      </c>
      <c r="L53" s="12">
        <f t="shared" si="1"/>
        <v>18.5</v>
      </c>
    </row>
    <row r="54">
      <c r="I54" s="17">
        <v>52.0</v>
      </c>
      <c r="J54" s="17">
        <v>9.25</v>
      </c>
      <c r="K54" s="17">
        <v>2.25</v>
      </c>
      <c r="L54" s="12">
        <f t="shared" si="1"/>
        <v>20.8125</v>
      </c>
    </row>
    <row r="55">
      <c r="I55" s="17">
        <v>53.0</v>
      </c>
      <c r="J55" s="17">
        <v>9.5</v>
      </c>
      <c r="K55" s="17">
        <v>2.5</v>
      </c>
      <c r="L55" s="12">
        <f t="shared" si="1"/>
        <v>23.75</v>
      </c>
    </row>
    <row r="56">
      <c r="I56" s="17">
        <v>54.0</v>
      </c>
      <c r="J56" s="17">
        <v>8.0</v>
      </c>
      <c r="K56" s="17">
        <v>0.25</v>
      </c>
      <c r="L56" s="12">
        <f t="shared" si="1"/>
        <v>2</v>
      </c>
    </row>
    <row r="57">
      <c r="I57" s="17">
        <v>55.0</v>
      </c>
      <c r="J57" s="17">
        <v>7.5</v>
      </c>
      <c r="K57" s="17">
        <v>1.0</v>
      </c>
      <c r="L57" s="12">
        <f t="shared" si="1"/>
        <v>7.5</v>
      </c>
    </row>
    <row r="58">
      <c r="I58" s="17">
        <v>56.0</v>
      </c>
      <c r="J58" s="17">
        <v>7.75</v>
      </c>
      <c r="K58" s="17">
        <v>1.0</v>
      </c>
      <c r="L58" s="12">
        <f t="shared" si="1"/>
        <v>7.75</v>
      </c>
    </row>
    <row r="59">
      <c r="I59" s="17">
        <v>57.0</v>
      </c>
      <c r="J59" s="17">
        <v>8.5</v>
      </c>
      <c r="K59" s="17">
        <v>1.75</v>
      </c>
      <c r="L59" s="12">
        <f t="shared" si="1"/>
        <v>14.875</v>
      </c>
    </row>
    <row r="60">
      <c r="I60" s="17">
        <v>58.0</v>
      </c>
      <c r="J60" s="17">
        <v>9.0</v>
      </c>
      <c r="K60" s="17">
        <v>0.5</v>
      </c>
      <c r="L60" s="12">
        <f t="shared" si="1"/>
        <v>4.5</v>
      </c>
    </row>
    <row r="61">
      <c r="I61" s="17">
        <v>59.0</v>
      </c>
      <c r="J61" s="17">
        <v>10.0</v>
      </c>
      <c r="K61" s="17">
        <v>2.0</v>
      </c>
      <c r="L61" s="12">
        <f t="shared" si="1"/>
        <v>20</v>
      </c>
    </row>
    <row r="62">
      <c r="I62" s="17">
        <v>60.0</v>
      </c>
      <c r="J62" s="17">
        <v>11.4</v>
      </c>
      <c r="K62" s="17">
        <v>4.25</v>
      </c>
      <c r="L62" s="12">
        <f t="shared" si="1"/>
        <v>48.45</v>
      </c>
    </row>
    <row r="63">
      <c r="I63" s="17">
        <v>61.0</v>
      </c>
      <c r="J63" s="17">
        <v>11.25</v>
      </c>
      <c r="K63" s="17">
        <v>1.0</v>
      </c>
      <c r="L63" s="12">
        <f t="shared" si="1"/>
        <v>11.25</v>
      </c>
    </row>
    <row r="64">
      <c r="I64" s="17">
        <v>62.0</v>
      </c>
      <c r="J64" s="17">
        <v>7.25</v>
      </c>
      <c r="K64" s="17">
        <v>0.5</v>
      </c>
      <c r="L64" s="12">
        <f t="shared" si="1"/>
        <v>3.625</v>
      </c>
    </row>
    <row r="65">
      <c r="I65" s="17">
        <v>63.0</v>
      </c>
      <c r="J65" s="17">
        <v>8.0</v>
      </c>
      <c r="K65" s="17">
        <v>1.25</v>
      </c>
      <c r="L65" s="12">
        <f t="shared" si="1"/>
        <v>10</v>
      </c>
    </row>
    <row r="66">
      <c r="I66" s="17">
        <v>64.0</v>
      </c>
      <c r="J66" s="17">
        <v>18.5</v>
      </c>
      <c r="K66" s="17">
        <v>3.25</v>
      </c>
      <c r="L66" s="12">
        <f t="shared" si="1"/>
        <v>60.125</v>
      </c>
    </row>
    <row r="67">
      <c r="I67" s="17">
        <v>65.0</v>
      </c>
      <c r="J67" s="17">
        <v>10.25</v>
      </c>
      <c r="K67" s="17">
        <v>1.8</v>
      </c>
      <c r="L67" s="12">
        <f t="shared" si="1"/>
        <v>18.45</v>
      </c>
    </row>
    <row r="68">
      <c r="I68" s="17">
        <v>66.0</v>
      </c>
      <c r="J68" s="17">
        <v>8.75</v>
      </c>
      <c r="K68" s="17">
        <v>1.8</v>
      </c>
      <c r="L68" s="12">
        <f t="shared" si="1"/>
        <v>15.75</v>
      </c>
    </row>
    <row r="69">
      <c r="I69" s="17">
        <v>67.0</v>
      </c>
      <c r="J69" s="17">
        <v>9.25</v>
      </c>
      <c r="K69" s="17">
        <v>1.0</v>
      </c>
      <c r="L69" s="12">
        <f t="shared" si="1"/>
        <v>9.25</v>
      </c>
    </row>
    <row r="70">
      <c r="I70" s="17">
        <v>68.0</v>
      </c>
      <c r="J70" s="17">
        <v>11.25</v>
      </c>
      <c r="K70" s="17">
        <v>0.8</v>
      </c>
      <c r="L70" s="12">
        <f t="shared" si="1"/>
        <v>9</v>
      </c>
    </row>
    <row r="71">
      <c r="I71" s="17">
        <v>69.0</v>
      </c>
      <c r="J71" s="17">
        <v>9.75</v>
      </c>
      <c r="K71" s="17">
        <v>1.5</v>
      </c>
      <c r="L71" s="12">
        <f t="shared" si="1"/>
        <v>14.625</v>
      </c>
    </row>
    <row r="72">
      <c r="I72" s="17">
        <v>70.0</v>
      </c>
      <c r="J72" s="17">
        <v>9.6</v>
      </c>
      <c r="K72" s="17">
        <v>1.0</v>
      </c>
      <c r="L72" s="12">
        <f t="shared" si="1"/>
        <v>9.6</v>
      </c>
    </row>
    <row r="73">
      <c r="I73" s="17">
        <v>71.0</v>
      </c>
      <c r="J73" s="17">
        <v>10.5</v>
      </c>
      <c r="K73" s="17">
        <v>0.75</v>
      </c>
      <c r="L73" s="12">
        <f t="shared" si="1"/>
        <v>7.875</v>
      </c>
    </row>
    <row r="74">
      <c r="I74" s="17">
        <v>72.0</v>
      </c>
      <c r="J74" s="17">
        <v>10.25</v>
      </c>
      <c r="K74" s="17">
        <v>1.25</v>
      </c>
      <c r="L74" s="12">
        <f t="shared" si="1"/>
        <v>12.8125</v>
      </c>
    </row>
    <row r="75">
      <c r="I75" s="17">
        <v>73.0</v>
      </c>
      <c r="J75" s="17">
        <v>9.75</v>
      </c>
      <c r="K75" s="17">
        <v>3.5</v>
      </c>
      <c r="L75" s="12">
        <f t="shared" si="1"/>
        <v>34.125</v>
      </c>
    </row>
    <row r="76">
      <c r="I76" s="17">
        <v>74.0</v>
      </c>
      <c r="J76" s="17">
        <v>9.25</v>
      </c>
      <c r="K76" s="17">
        <v>1.75</v>
      </c>
      <c r="L76" s="12">
        <f t="shared" si="1"/>
        <v>16.1875</v>
      </c>
    </row>
    <row r="77">
      <c r="I77" s="17">
        <v>75.0</v>
      </c>
      <c r="J77" s="17">
        <v>8.0</v>
      </c>
      <c r="K77" s="17">
        <v>0.8</v>
      </c>
      <c r="L77" s="12">
        <f t="shared" si="1"/>
        <v>6.4</v>
      </c>
    </row>
    <row r="78">
      <c r="I78" s="17">
        <v>76.0</v>
      </c>
      <c r="J78" s="17">
        <v>7.25</v>
      </c>
      <c r="K78" s="17">
        <v>0.75</v>
      </c>
      <c r="L78" s="12">
        <f t="shared" si="1"/>
        <v>5.4375</v>
      </c>
    </row>
    <row r="79">
      <c r="I79" s="17">
        <v>77.0</v>
      </c>
      <c r="J79" s="17">
        <v>5.4</v>
      </c>
      <c r="K79" s="17">
        <v>1.8</v>
      </c>
      <c r="L79" s="12">
        <f t="shared" si="1"/>
        <v>9.72</v>
      </c>
    </row>
    <row r="80">
      <c r="I80" s="17">
        <v>78.0</v>
      </c>
      <c r="J80" s="17">
        <v>6.0</v>
      </c>
      <c r="K80" s="17">
        <v>1.1</v>
      </c>
      <c r="L80" s="12">
        <f t="shared" si="1"/>
        <v>6.6</v>
      </c>
    </row>
    <row r="81">
      <c r="I81" s="17">
        <v>79.0</v>
      </c>
      <c r="J81" s="17">
        <v>6.5</v>
      </c>
      <c r="K81" s="17">
        <v>1.25</v>
      </c>
      <c r="L81" s="12">
        <f t="shared" si="1"/>
        <v>8.125</v>
      </c>
    </row>
    <row r="82">
      <c r="I82" s="17">
        <v>80.0</v>
      </c>
      <c r="J82" s="17">
        <v>16.75</v>
      </c>
      <c r="K82" s="17">
        <v>4.0</v>
      </c>
      <c r="L82" s="12">
        <f t="shared" si="1"/>
        <v>67</v>
      </c>
    </row>
    <row r="83">
      <c r="I83" s="17">
        <v>81.0</v>
      </c>
      <c r="J83" s="17">
        <v>12.5</v>
      </c>
      <c r="K83" s="17">
        <v>2.75</v>
      </c>
      <c r="L83" s="12">
        <f t="shared" si="1"/>
        <v>34.375</v>
      </c>
    </row>
    <row r="84">
      <c r="I84" s="17">
        <v>82.0</v>
      </c>
      <c r="J84" s="17">
        <v>10.75</v>
      </c>
      <c r="K84" s="17">
        <v>4.0</v>
      </c>
      <c r="L84" s="12">
        <f t="shared" si="1"/>
        <v>43</v>
      </c>
    </row>
    <row r="85">
      <c r="I85" s="17">
        <v>83.0</v>
      </c>
      <c r="J85" s="17">
        <v>13.0</v>
      </c>
      <c r="K85" s="17">
        <v>0.5</v>
      </c>
      <c r="L85" s="12">
        <f t="shared" si="1"/>
        <v>6.5</v>
      </c>
    </row>
    <row r="86">
      <c r="I86" s="17">
        <v>84.0</v>
      </c>
      <c r="J86" s="17">
        <v>15.0</v>
      </c>
      <c r="K86" s="17">
        <v>0.2</v>
      </c>
      <c r="L86" s="12">
        <f t="shared" si="1"/>
        <v>3</v>
      </c>
    </row>
    <row r="87">
      <c r="I87" s="17">
        <v>85.0</v>
      </c>
      <c r="J87" s="17">
        <v>12.0</v>
      </c>
      <c r="K87" s="17">
        <v>1.25</v>
      </c>
      <c r="L87" s="12">
        <f t="shared" si="1"/>
        <v>15</v>
      </c>
    </row>
    <row r="88">
      <c r="I88" s="17">
        <v>86.0</v>
      </c>
      <c r="J88" s="17">
        <v>11.5</v>
      </c>
      <c r="K88" s="17">
        <v>2.5</v>
      </c>
      <c r="L88" s="12">
        <f t="shared" si="1"/>
        <v>28.75</v>
      </c>
    </row>
    <row r="89">
      <c r="I89" s="17">
        <v>87.0</v>
      </c>
      <c r="J89" s="17">
        <v>14.0</v>
      </c>
      <c r="K89" s="17">
        <v>2.0</v>
      </c>
      <c r="L89" s="12">
        <f t="shared" si="1"/>
        <v>28</v>
      </c>
    </row>
    <row r="90">
      <c r="I90" s="17">
        <v>88.0</v>
      </c>
      <c r="J90" s="17">
        <v>10.75</v>
      </c>
      <c r="K90" s="17">
        <v>0.75</v>
      </c>
      <c r="L90" s="12">
        <f t="shared" si="1"/>
        <v>8.0625</v>
      </c>
    </row>
    <row r="91">
      <c r="I91" s="17">
        <v>89.0</v>
      </c>
      <c r="J91" s="17">
        <v>11.0</v>
      </c>
      <c r="K91" s="17">
        <v>2.5</v>
      </c>
      <c r="L91" s="12">
        <f t="shared" si="1"/>
        <v>27.5</v>
      </c>
    </row>
    <row r="92">
      <c r="I92" s="17">
        <v>90.0</v>
      </c>
      <c r="J92" s="17">
        <v>9.0</v>
      </c>
      <c r="K92" s="17">
        <v>3.2</v>
      </c>
      <c r="L92" s="12">
        <f t="shared" si="1"/>
        <v>28.8</v>
      </c>
    </row>
    <row r="93">
      <c r="I93" s="17">
        <v>91.0</v>
      </c>
      <c r="J93" s="17">
        <v>8.75</v>
      </c>
      <c r="K93" s="17">
        <v>1.5</v>
      </c>
      <c r="L93" s="12">
        <f t="shared" si="1"/>
        <v>13.125</v>
      </c>
    </row>
    <row r="94">
      <c r="I94" s="17">
        <v>92.0</v>
      </c>
      <c r="J94" s="17">
        <v>9.75</v>
      </c>
      <c r="K94" s="17">
        <v>1.5</v>
      </c>
      <c r="L94" s="12">
        <f t="shared" si="1"/>
        <v>14.625</v>
      </c>
    </row>
    <row r="95">
      <c r="I95" s="17">
        <v>93.0</v>
      </c>
      <c r="J95" s="17">
        <v>8.5</v>
      </c>
      <c r="K95" s="17">
        <v>1.75</v>
      </c>
      <c r="L95" s="12">
        <f t="shared" si="1"/>
        <v>14.875</v>
      </c>
    </row>
    <row r="96">
      <c r="I96" s="17">
        <v>94.0</v>
      </c>
      <c r="J96" s="17">
        <v>8.5</v>
      </c>
      <c r="K96" s="17">
        <v>3.4</v>
      </c>
      <c r="L96" s="12">
        <f t="shared" si="1"/>
        <v>28.9</v>
      </c>
    </row>
    <row r="97">
      <c r="I97" s="17">
        <v>95.0</v>
      </c>
      <c r="J97" s="17">
        <v>10.0</v>
      </c>
      <c r="K97" s="17">
        <v>2.25</v>
      </c>
      <c r="L97" s="12">
        <f t="shared" si="1"/>
        <v>22.5</v>
      </c>
    </row>
    <row r="98">
      <c r="I98" s="17">
        <v>96.0</v>
      </c>
      <c r="J98" s="17">
        <v>8.25</v>
      </c>
      <c r="K98" s="17">
        <v>1.5</v>
      </c>
      <c r="L98" s="12">
        <f t="shared" si="1"/>
        <v>12.375</v>
      </c>
    </row>
    <row r="99">
      <c r="I99" s="17">
        <v>97.0</v>
      </c>
      <c r="J99" s="17">
        <v>8.75</v>
      </c>
      <c r="K99" s="17">
        <v>1.5</v>
      </c>
      <c r="L99" s="12">
        <f t="shared" si="1"/>
        <v>13.125</v>
      </c>
    </row>
    <row r="100">
      <c r="I100" s="17">
        <v>98.0</v>
      </c>
      <c r="J100" s="17">
        <v>8.5</v>
      </c>
      <c r="K100" s="17">
        <v>2.0</v>
      </c>
      <c r="L100" s="12">
        <f t="shared" si="1"/>
        <v>17</v>
      </c>
    </row>
    <row r="101">
      <c r="I101" s="17">
        <v>99.0</v>
      </c>
      <c r="J101" s="17">
        <v>9.0</v>
      </c>
      <c r="K101" s="17">
        <v>2.0</v>
      </c>
      <c r="L101" s="12">
        <f t="shared" si="1"/>
        <v>18</v>
      </c>
    </row>
    <row r="102">
      <c r="I102" s="17">
        <v>100.0</v>
      </c>
      <c r="J102" s="17">
        <v>9.2</v>
      </c>
      <c r="K102" s="17">
        <v>1.0</v>
      </c>
      <c r="L102" s="12">
        <f t="shared" si="1"/>
        <v>9.2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5"/>
  </cols>
  <sheetData>
    <row r="1">
      <c r="A1" s="24" t="s">
        <v>125</v>
      </c>
      <c r="B1" s="24" t="s">
        <v>138</v>
      </c>
      <c r="C1" s="24" t="s">
        <v>139</v>
      </c>
      <c r="D1" s="24" t="s">
        <v>140</v>
      </c>
      <c r="E1" s="24" t="s">
        <v>141</v>
      </c>
    </row>
    <row r="2">
      <c r="A2" s="17">
        <v>1.0</v>
      </c>
      <c r="B2" s="17">
        <v>9.0</v>
      </c>
      <c r="C2" s="17">
        <v>1.6</v>
      </c>
      <c r="D2" s="12">
        <f t="shared" ref="D2:D101" si="1">B2*C2</f>
        <v>14.4</v>
      </c>
      <c r="E2" s="23">
        <v>4688.0</v>
      </c>
    </row>
    <row r="3">
      <c r="A3" s="17">
        <v>2.0</v>
      </c>
      <c r="B3" s="17">
        <v>10.0</v>
      </c>
      <c r="C3" s="17">
        <v>2.5</v>
      </c>
      <c r="D3" s="12">
        <f t="shared" si="1"/>
        <v>25</v>
      </c>
    </row>
    <row r="4">
      <c r="A4" s="17">
        <v>3.0</v>
      </c>
      <c r="B4" s="17">
        <v>9.0</v>
      </c>
      <c r="C4" s="17">
        <v>0.4</v>
      </c>
      <c r="D4" s="12">
        <f t="shared" si="1"/>
        <v>3.6</v>
      </c>
    </row>
    <row r="5">
      <c r="A5" s="17">
        <v>4.0</v>
      </c>
      <c r="B5" s="17">
        <v>9.5</v>
      </c>
      <c r="C5" s="17">
        <v>1.0</v>
      </c>
      <c r="D5" s="12">
        <f t="shared" si="1"/>
        <v>9.5</v>
      </c>
    </row>
    <row r="6">
      <c r="A6" s="17">
        <v>5.0</v>
      </c>
      <c r="B6" s="17">
        <v>11.25</v>
      </c>
      <c r="C6" s="17">
        <v>1.75</v>
      </c>
      <c r="D6" s="12">
        <f t="shared" si="1"/>
        <v>19.6875</v>
      </c>
    </row>
    <row r="7">
      <c r="A7" s="17">
        <v>6.0</v>
      </c>
      <c r="B7" s="17">
        <v>7.5</v>
      </c>
      <c r="C7" s="17">
        <v>1.0</v>
      </c>
      <c r="D7" s="12">
        <f t="shared" si="1"/>
        <v>7.5</v>
      </c>
    </row>
    <row r="8">
      <c r="A8" s="17">
        <v>7.0</v>
      </c>
      <c r="B8" s="17">
        <v>9.5</v>
      </c>
      <c r="C8" s="17">
        <v>2.25</v>
      </c>
      <c r="D8" s="12">
        <f t="shared" si="1"/>
        <v>21.375</v>
      </c>
    </row>
    <row r="9">
      <c r="A9" s="17">
        <v>8.0</v>
      </c>
      <c r="B9" s="17">
        <v>8.75</v>
      </c>
      <c r="C9" s="17">
        <v>0.5</v>
      </c>
      <c r="D9" s="12">
        <f t="shared" si="1"/>
        <v>4.375</v>
      </c>
    </row>
    <row r="10">
      <c r="A10" s="17">
        <v>9.0</v>
      </c>
      <c r="B10" s="17">
        <v>8.5</v>
      </c>
      <c r="C10" s="17">
        <v>1.5</v>
      </c>
      <c r="D10" s="12">
        <f t="shared" si="1"/>
        <v>12.75</v>
      </c>
    </row>
    <row r="11">
      <c r="A11" s="17">
        <v>10.0</v>
      </c>
      <c r="B11" s="17">
        <v>9.5</v>
      </c>
      <c r="C11" s="17">
        <v>1.75</v>
      </c>
      <c r="D11" s="12">
        <f t="shared" si="1"/>
        <v>16.625</v>
      </c>
    </row>
    <row r="12">
      <c r="A12" s="17">
        <v>11.0</v>
      </c>
      <c r="B12" s="17">
        <v>8.2</v>
      </c>
      <c r="C12" s="17">
        <v>0.8</v>
      </c>
      <c r="D12" s="12">
        <f t="shared" si="1"/>
        <v>6.56</v>
      </c>
    </row>
    <row r="13">
      <c r="A13" s="17">
        <v>12.0</v>
      </c>
      <c r="B13" s="17">
        <v>9.25</v>
      </c>
      <c r="C13" s="17">
        <v>1.0</v>
      </c>
      <c r="D13" s="12">
        <f t="shared" si="1"/>
        <v>9.25</v>
      </c>
    </row>
    <row r="14">
      <c r="A14" s="17">
        <v>13.0</v>
      </c>
      <c r="B14" s="17">
        <v>8.5</v>
      </c>
      <c r="C14" s="17">
        <v>1.5</v>
      </c>
      <c r="D14" s="12">
        <f t="shared" si="1"/>
        <v>12.75</v>
      </c>
    </row>
    <row r="15">
      <c r="A15" s="17">
        <v>14.0</v>
      </c>
      <c r="B15" s="17">
        <v>9.0</v>
      </c>
      <c r="C15" s="17">
        <v>0.6</v>
      </c>
      <c r="D15" s="12">
        <f t="shared" si="1"/>
        <v>5.4</v>
      </c>
    </row>
    <row r="16">
      <c r="A16" s="17">
        <v>15.0</v>
      </c>
      <c r="B16" s="17">
        <v>9.25</v>
      </c>
      <c r="C16" s="17">
        <v>2.75</v>
      </c>
      <c r="D16" s="12">
        <f t="shared" si="1"/>
        <v>25.4375</v>
      </c>
    </row>
    <row r="17">
      <c r="A17" s="17">
        <v>16.0</v>
      </c>
      <c r="B17" s="17">
        <v>9.0</v>
      </c>
      <c r="C17" s="17">
        <v>2.25</v>
      </c>
      <c r="D17" s="12">
        <f t="shared" si="1"/>
        <v>20.25</v>
      </c>
    </row>
    <row r="18">
      <c r="A18" s="17">
        <v>17.0</v>
      </c>
      <c r="B18" s="17">
        <v>10.75</v>
      </c>
      <c r="C18" s="17">
        <v>3.0</v>
      </c>
      <c r="D18" s="12">
        <f t="shared" si="1"/>
        <v>32.25</v>
      </c>
    </row>
    <row r="19">
      <c r="A19" s="17">
        <v>18.0</v>
      </c>
      <c r="B19" s="17">
        <v>9.0</v>
      </c>
      <c r="C19" s="17">
        <v>1.0</v>
      </c>
      <c r="D19" s="12">
        <f t="shared" si="1"/>
        <v>9</v>
      </c>
    </row>
    <row r="20">
      <c r="A20" s="17">
        <v>19.0</v>
      </c>
      <c r="B20" s="17">
        <v>12.6</v>
      </c>
      <c r="C20" s="17">
        <v>4.0</v>
      </c>
      <c r="D20" s="12">
        <f t="shared" si="1"/>
        <v>50.4</v>
      </c>
    </row>
    <row r="21">
      <c r="A21" s="17">
        <v>20.0</v>
      </c>
      <c r="B21" s="17">
        <v>9.2</v>
      </c>
      <c r="C21" s="17">
        <v>2.2</v>
      </c>
      <c r="D21" s="12">
        <f t="shared" si="1"/>
        <v>20.24</v>
      </c>
    </row>
    <row r="22">
      <c r="A22" s="17">
        <v>21.0</v>
      </c>
      <c r="B22" s="17">
        <v>8.0</v>
      </c>
      <c r="C22" s="17">
        <v>1.0</v>
      </c>
      <c r="D22" s="12">
        <f t="shared" si="1"/>
        <v>8</v>
      </c>
    </row>
    <row r="23">
      <c r="A23" s="17">
        <v>22.0</v>
      </c>
      <c r="B23" s="17">
        <v>11.0</v>
      </c>
      <c r="C23" s="17">
        <v>1.0</v>
      </c>
      <c r="D23" s="12">
        <f t="shared" si="1"/>
        <v>11</v>
      </c>
    </row>
    <row r="24">
      <c r="A24" s="17">
        <v>23.0</v>
      </c>
      <c r="B24" s="17">
        <v>10.5</v>
      </c>
      <c r="C24" s="17">
        <v>0.75</v>
      </c>
      <c r="D24" s="12">
        <f t="shared" si="1"/>
        <v>7.875</v>
      </c>
    </row>
    <row r="25">
      <c r="A25" s="17">
        <v>24.0</v>
      </c>
      <c r="B25" s="17">
        <v>8.5</v>
      </c>
      <c r="C25" s="17">
        <v>0.75</v>
      </c>
      <c r="D25" s="12">
        <f t="shared" si="1"/>
        <v>6.375</v>
      </c>
    </row>
    <row r="26">
      <c r="A26" s="17">
        <v>25.0</v>
      </c>
      <c r="B26" s="17">
        <v>8.0</v>
      </c>
      <c r="C26" s="17">
        <v>1.0</v>
      </c>
      <c r="D26" s="12">
        <f t="shared" si="1"/>
        <v>8</v>
      </c>
    </row>
    <row r="27">
      <c r="A27" s="17">
        <v>26.0</v>
      </c>
      <c r="B27" s="17">
        <v>8.5</v>
      </c>
      <c r="C27" s="17">
        <v>1.75</v>
      </c>
      <c r="D27" s="12">
        <f t="shared" si="1"/>
        <v>14.875</v>
      </c>
    </row>
    <row r="28">
      <c r="A28" s="17">
        <v>27.0</v>
      </c>
      <c r="B28" s="17">
        <v>8.5</v>
      </c>
      <c r="C28" s="17">
        <v>1.0</v>
      </c>
      <c r="D28" s="12">
        <f t="shared" si="1"/>
        <v>8.5</v>
      </c>
    </row>
    <row r="29">
      <c r="A29" s="17">
        <v>28.0</v>
      </c>
      <c r="B29" s="17">
        <v>9.5</v>
      </c>
      <c r="C29" s="17">
        <v>0.75</v>
      </c>
      <c r="D29" s="12">
        <f t="shared" si="1"/>
        <v>7.125</v>
      </c>
    </row>
    <row r="30">
      <c r="A30" s="17">
        <v>29.0</v>
      </c>
      <c r="B30" s="17">
        <v>9.0</v>
      </c>
      <c r="C30" s="17">
        <v>1.0</v>
      </c>
      <c r="D30" s="12">
        <f t="shared" si="1"/>
        <v>9</v>
      </c>
    </row>
    <row r="31">
      <c r="A31" s="17">
        <v>30.0</v>
      </c>
      <c r="B31" s="17">
        <v>11.0</v>
      </c>
      <c r="C31" s="17">
        <v>1.8</v>
      </c>
      <c r="D31" s="12">
        <f t="shared" si="1"/>
        <v>19.8</v>
      </c>
    </row>
    <row r="32">
      <c r="A32" s="17">
        <v>31.0</v>
      </c>
      <c r="B32" s="17">
        <v>9.5</v>
      </c>
      <c r="C32" s="17">
        <v>2.0</v>
      </c>
      <c r="D32" s="12">
        <f t="shared" si="1"/>
        <v>19</v>
      </c>
    </row>
    <row r="33">
      <c r="A33" s="17">
        <v>32.0</v>
      </c>
      <c r="B33" s="17">
        <v>8.5</v>
      </c>
      <c r="C33" s="17">
        <v>1.75</v>
      </c>
      <c r="D33" s="12">
        <f t="shared" si="1"/>
        <v>14.875</v>
      </c>
    </row>
    <row r="34">
      <c r="A34" s="17">
        <v>33.0</v>
      </c>
      <c r="B34" s="17">
        <v>10.0</v>
      </c>
      <c r="C34" s="17">
        <v>1.0</v>
      </c>
      <c r="D34" s="12">
        <f t="shared" si="1"/>
        <v>10</v>
      </c>
    </row>
    <row r="35">
      <c r="A35" s="17">
        <v>34.0</v>
      </c>
      <c r="B35" s="17">
        <v>10.0</v>
      </c>
      <c r="C35" s="17">
        <v>1.5</v>
      </c>
      <c r="D35" s="12">
        <f t="shared" si="1"/>
        <v>15</v>
      </c>
    </row>
    <row r="36">
      <c r="A36" s="17">
        <v>35.0</v>
      </c>
      <c r="B36" s="17">
        <v>11.5</v>
      </c>
      <c r="C36" s="17">
        <v>2.0</v>
      </c>
      <c r="D36" s="12">
        <f t="shared" si="1"/>
        <v>23</v>
      </c>
    </row>
    <row r="37">
      <c r="A37" s="17">
        <v>36.0</v>
      </c>
      <c r="B37" s="17">
        <v>12.0</v>
      </c>
      <c r="C37" s="17">
        <v>1.0</v>
      </c>
      <c r="D37" s="12">
        <f t="shared" si="1"/>
        <v>12</v>
      </c>
    </row>
    <row r="38">
      <c r="A38" s="17">
        <v>37.0</v>
      </c>
      <c r="B38" s="17">
        <v>9.0</v>
      </c>
      <c r="C38" s="17">
        <v>0.75</v>
      </c>
      <c r="D38" s="12">
        <f t="shared" si="1"/>
        <v>6.75</v>
      </c>
    </row>
    <row r="39">
      <c r="A39" s="17">
        <v>38.0</v>
      </c>
      <c r="B39" s="17">
        <v>9.5</v>
      </c>
      <c r="C39" s="17">
        <v>2.25</v>
      </c>
      <c r="D39" s="12">
        <f t="shared" si="1"/>
        <v>21.375</v>
      </c>
    </row>
    <row r="40">
      <c r="A40" s="17">
        <v>39.0</v>
      </c>
      <c r="B40" s="17">
        <v>9.5</v>
      </c>
      <c r="C40" s="17">
        <v>1.25</v>
      </c>
      <c r="D40" s="12">
        <f t="shared" si="1"/>
        <v>11.875</v>
      </c>
    </row>
    <row r="41">
      <c r="A41" s="17">
        <v>40.0</v>
      </c>
      <c r="B41" s="17">
        <v>10.0</v>
      </c>
      <c r="C41" s="17">
        <v>1.5</v>
      </c>
      <c r="D41" s="12">
        <f t="shared" si="1"/>
        <v>15</v>
      </c>
    </row>
    <row r="42">
      <c r="A42" s="17">
        <v>41.0</v>
      </c>
      <c r="B42" s="17">
        <v>10.9</v>
      </c>
      <c r="C42" s="17">
        <v>1.6</v>
      </c>
      <c r="D42" s="12">
        <f t="shared" si="1"/>
        <v>17.44</v>
      </c>
    </row>
    <row r="43">
      <c r="A43" s="17">
        <v>42.0</v>
      </c>
      <c r="B43" s="17">
        <v>8.0</v>
      </c>
      <c r="C43" s="17">
        <v>1.25</v>
      </c>
      <c r="D43" s="12">
        <f t="shared" si="1"/>
        <v>10</v>
      </c>
    </row>
    <row r="44">
      <c r="A44" s="17">
        <v>43.0</v>
      </c>
      <c r="B44" s="17">
        <v>8.5</v>
      </c>
      <c r="C44" s="17">
        <v>1.4</v>
      </c>
      <c r="D44" s="12">
        <f t="shared" si="1"/>
        <v>11.9</v>
      </c>
    </row>
    <row r="45">
      <c r="A45" s="17">
        <v>44.0</v>
      </c>
      <c r="B45" s="17">
        <v>9.0</v>
      </c>
      <c r="C45" s="17">
        <v>1.6</v>
      </c>
      <c r="D45" s="12">
        <f t="shared" si="1"/>
        <v>14.4</v>
      </c>
    </row>
    <row r="46">
      <c r="A46" s="17">
        <v>45.0</v>
      </c>
      <c r="B46" s="17">
        <v>10.0</v>
      </c>
      <c r="C46" s="17">
        <v>1.5</v>
      </c>
      <c r="D46" s="12">
        <f t="shared" si="1"/>
        <v>15</v>
      </c>
    </row>
    <row r="47">
      <c r="A47" s="17">
        <v>46.0</v>
      </c>
      <c r="B47" s="17">
        <v>9.75</v>
      </c>
      <c r="C47" s="17">
        <v>1.75</v>
      </c>
      <c r="D47" s="12">
        <f t="shared" si="1"/>
        <v>17.0625</v>
      </c>
    </row>
    <row r="48">
      <c r="A48" s="17">
        <v>47.0</v>
      </c>
      <c r="B48" s="17">
        <v>10.5</v>
      </c>
      <c r="C48" s="17">
        <v>2.0</v>
      </c>
      <c r="D48" s="12">
        <f t="shared" si="1"/>
        <v>21</v>
      </c>
    </row>
    <row r="49">
      <c r="A49" s="17">
        <v>48.0</v>
      </c>
      <c r="B49" s="17">
        <v>8.0</v>
      </c>
      <c r="C49" s="17">
        <v>0.5</v>
      </c>
      <c r="D49" s="12">
        <f t="shared" si="1"/>
        <v>4</v>
      </c>
    </row>
    <row r="50">
      <c r="A50" s="17">
        <v>49.0</v>
      </c>
      <c r="B50" s="17">
        <v>9.0</v>
      </c>
      <c r="C50" s="17">
        <v>1.5</v>
      </c>
      <c r="D50" s="12">
        <f t="shared" si="1"/>
        <v>13.5</v>
      </c>
    </row>
    <row r="51">
      <c r="A51" s="17">
        <v>50.0</v>
      </c>
      <c r="B51" s="17">
        <v>8.5</v>
      </c>
      <c r="C51" s="17">
        <v>0.75</v>
      </c>
      <c r="D51" s="12">
        <f t="shared" si="1"/>
        <v>6.375</v>
      </c>
    </row>
    <row r="52">
      <c r="A52" s="17">
        <v>51.0</v>
      </c>
      <c r="B52" s="17">
        <v>9.25</v>
      </c>
      <c r="C52" s="17">
        <v>1.75</v>
      </c>
      <c r="D52" s="12">
        <f t="shared" si="1"/>
        <v>16.1875</v>
      </c>
    </row>
    <row r="53">
      <c r="A53" s="17">
        <v>52.0</v>
      </c>
      <c r="B53" s="17">
        <v>9.4</v>
      </c>
      <c r="C53" s="17">
        <v>0.8</v>
      </c>
      <c r="D53" s="12">
        <f t="shared" si="1"/>
        <v>7.52</v>
      </c>
    </row>
    <row r="54">
      <c r="A54" s="17">
        <v>53.0</v>
      </c>
      <c r="B54" s="17">
        <v>9.5</v>
      </c>
      <c r="C54" s="17">
        <v>0.75</v>
      </c>
      <c r="D54" s="12">
        <f t="shared" si="1"/>
        <v>7.125</v>
      </c>
    </row>
    <row r="55">
      <c r="A55" s="17">
        <v>54.0</v>
      </c>
      <c r="B55" s="17">
        <v>10.75</v>
      </c>
      <c r="C55" s="17">
        <v>0.5</v>
      </c>
      <c r="D55" s="12">
        <f t="shared" si="1"/>
        <v>5.375</v>
      </c>
    </row>
    <row r="56">
      <c r="A56" s="17">
        <v>55.0</v>
      </c>
      <c r="B56" s="17">
        <v>14.25</v>
      </c>
      <c r="C56" s="17">
        <v>1.75</v>
      </c>
      <c r="D56" s="12">
        <f t="shared" si="1"/>
        <v>24.9375</v>
      </c>
    </row>
    <row r="57">
      <c r="A57" s="17">
        <v>56.0</v>
      </c>
      <c r="B57" s="17">
        <v>9.5</v>
      </c>
      <c r="C57" s="17">
        <v>2.75</v>
      </c>
      <c r="D57" s="12">
        <f t="shared" si="1"/>
        <v>26.125</v>
      </c>
    </row>
    <row r="58">
      <c r="A58" s="17">
        <v>57.0</v>
      </c>
      <c r="B58" s="17">
        <v>9.5</v>
      </c>
      <c r="C58" s="17">
        <v>1.5</v>
      </c>
      <c r="D58" s="12">
        <f t="shared" si="1"/>
        <v>14.25</v>
      </c>
    </row>
    <row r="59">
      <c r="A59" s="17">
        <v>58.0</v>
      </c>
      <c r="B59" s="17">
        <v>8.75</v>
      </c>
      <c r="C59" s="17">
        <v>0.6</v>
      </c>
      <c r="D59" s="12">
        <f t="shared" si="1"/>
        <v>5.25</v>
      </c>
    </row>
    <row r="60">
      <c r="A60" s="17">
        <v>59.0</v>
      </c>
      <c r="B60" s="17">
        <v>8.5</v>
      </c>
      <c r="C60" s="17">
        <v>1.5</v>
      </c>
      <c r="D60" s="12">
        <f t="shared" si="1"/>
        <v>12.75</v>
      </c>
    </row>
    <row r="61">
      <c r="A61" s="17">
        <v>60.0</v>
      </c>
      <c r="B61" s="17">
        <v>9.5</v>
      </c>
      <c r="C61" s="17">
        <v>1.25</v>
      </c>
      <c r="D61" s="12">
        <f t="shared" si="1"/>
        <v>11.875</v>
      </c>
    </row>
    <row r="62">
      <c r="A62" s="17">
        <v>61.0</v>
      </c>
      <c r="B62" s="17">
        <v>8.0</v>
      </c>
      <c r="C62" s="17">
        <v>0.1</v>
      </c>
      <c r="D62" s="12">
        <f t="shared" si="1"/>
        <v>0.8</v>
      </c>
    </row>
    <row r="63">
      <c r="A63" s="17">
        <v>62.0</v>
      </c>
      <c r="B63" s="17">
        <v>9.25</v>
      </c>
      <c r="C63" s="17">
        <v>1.0</v>
      </c>
      <c r="D63" s="12">
        <f t="shared" si="1"/>
        <v>9.25</v>
      </c>
    </row>
    <row r="64">
      <c r="A64" s="17">
        <v>63.0</v>
      </c>
      <c r="B64" s="17">
        <v>12.4</v>
      </c>
      <c r="C64" s="17">
        <v>0.2</v>
      </c>
      <c r="D64" s="12">
        <f t="shared" si="1"/>
        <v>2.48</v>
      </c>
    </row>
    <row r="65">
      <c r="A65" s="17">
        <v>64.0</v>
      </c>
      <c r="B65" s="17">
        <v>12.75</v>
      </c>
      <c r="C65" s="17">
        <v>1.6</v>
      </c>
      <c r="D65" s="12">
        <f t="shared" si="1"/>
        <v>20.4</v>
      </c>
    </row>
    <row r="66">
      <c r="A66" s="17">
        <v>65.0</v>
      </c>
      <c r="B66" s="17">
        <v>9.4</v>
      </c>
      <c r="C66" s="17">
        <v>1.8</v>
      </c>
      <c r="D66" s="12">
        <f t="shared" si="1"/>
        <v>16.92</v>
      </c>
    </row>
    <row r="67">
      <c r="A67" s="17">
        <v>66.0</v>
      </c>
      <c r="B67" s="17">
        <v>9.5</v>
      </c>
      <c r="C67" s="17">
        <v>1.5</v>
      </c>
      <c r="D67" s="12">
        <f t="shared" si="1"/>
        <v>14.25</v>
      </c>
    </row>
    <row r="68">
      <c r="A68" s="17">
        <v>67.0</v>
      </c>
      <c r="B68" s="17">
        <v>9.5</v>
      </c>
      <c r="C68" s="17">
        <v>1.25</v>
      </c>
      <c r="D68" s="12">
        <f t="shared" si="1"/>
        <v>11.875</v>
      </c>
    </row>
    <row r="69">
      <c r="A69" s="17">
        <v>68.0</v>
      </c>
      <c r="B69" s="17">
        <v>8.0</v>
      </c>
      <c r="C69" s="17">
        <v>1.5</v>
      </c>
      <c r="D69" s="12">
        <f t="shared" si="1"/>
        <v>12</v>
      </c>
    </row>
    <row r="70">
      <c r="A70" s="17">
        <v>69.0</v>
      </c>
      <c r="B70" s="17">
        <v>9.3</v>
      </c>
      <c r="C70" s="17">
        <v>3.25</v>
      </c>
      <c r="D70" s="12">
        <f t="shared" si="1"/>
        <v>30.225</v>
      </c>
    </row>
    <row r="71">
      <c r="A71" s="17">
        <v>70.0</v>
      </c>
      <c r="B71" s="17">
        <v>9.5</v>
      </c>
      <c r="C71" s="17">
        <v>1.8</v>
      </c>
      <c r="D71" s="12">
        <f t="shared" si="1"/>
        <v>17.1</v>
      </c>
    </row>
    <row r="72">
      <c r="A72" s="17">
        <v>71.0</v>
      </c>
      <c r="B72" s="17">
        <v>10.0</v>
      </c>
      <c r="C72" s="17">
        <v>0.5</v>
      </c>
      <c r="D72" s="12">
        <f t="shared" si="1"/>
        <v>5</v>
      </c>
    </row>
    <row r="73">
      <c r="A73" s="17">
        <v>72.0</v>
      </c>
      <c r="B73" s="17">
        <v>8.5</v>
      </c>
      <c r="C73" s="17">
        <v>1.25</v>
      </c>
      <c r="D73" s="12">
        <f t="shared" si="1"/>
        <v>10.625</v>
      </c>
    </row>
    <row r="74">
      <c r="A74" s="17">
        <v>73.0</v>
      </c>
      <c r="B74" s="17">
        <v>9.0</v>
      </c>
      <c r="C74" s="17">
        <v>0.1</v>
      </c>
      <c r="D74" s="12">
        <f t="shared" si="1"/>
        <v>0.9</v>
      </c>
    </row>
    <row r="75">
      <c r="A75" s="17">
        <v>74.0</v>
      </c>
      <c r="B75" s="17">
        <v>8.75</v>
      </c>
      <c r="C75" s="17">
        <v>2.5</v>
      </c>
      <c r="D75" s="12">
        <f t="shared" si="1"/>
        <v>21.875</v>
      </c>
    </row>
    <row r="76">
      <c r="A76" s="17">
        <v>75.0</v>
      </c>
      <c r="B76" s="17">
        <v>9.25</v>
      </c>
      <c r="C76" s="17">
        <v>1.0</v>
      </c>
      <c r="D76" s="12">
        <f t="shared" si="1"/>
        <v>9.25</v>
      </c>
    </row>
    <row r="77">
      <c r="A77" s="17">
        <v>76.0</v>
      </c>
      <c r="B77" s="17">
        <v>9.4</v>
      </c>
      <c r="C77" s="17">
        <v>1.8</v>
      </c>
      <c r="D77" s="12">
        <f t="shared" si="1"/>
        <v>16.92</v>
      </c>
    </row>
    <row r="78">
      <c r="A78" s="17">
        <v>77.0</v>
      </c>
      <c r="B78" s="17">
        <v>9.25</v>
      </c>
      <c r="C78" s="17">
        <v>1.0</v>
      </c>
      <c r="D78" s="12">
        <f t="shared" si="1"/>
        <v>9.25</v>
      </c>
    </row>
    <row r="79">
      <c r="A79" s="17">
        <v>78.0</v>
      </c>
      <c r="B79" s="17">
        <v>7.75</v>
      </c>
      <c r="C79" s="17">
        <v>0.3</v>
      </c>
      <c r="D79" s="12">
        <f t="shared" si="1"/>
        <v>2.325</v>
      </c>
    </row>
    <row r="80">
      <c r="A80" s="17">
        <v>79.0</v>
      </c>
      <c r="B80" s="17">
        <v>10.5</v>
      </c>
      <c r="C80" s="17">
        <v>1.75</v>
      </c>
      <c r="D80" s="12">
        <f t="shared" si="1"/>
        <v>18.375</v>
      </c>
    </row>
    <row r="81">
      <c r="A81" s="17">
        <v>80.0</v>
      </c>
      <c r="B81" s="17">
        <v>9.5</v>
      </c>
      <c r="C81" s="17">
        <v>0.9</v>
      </c>
      <c r="D81" s="12">
        <f t="shared" si="1"/>
        <v>8.55</v>
      </c>
    </row>
    <row r="82">
      <c r="A82" s="17">
        <v>81.0</v>
      </c>
      <c r="B82" s="17">
        <v>11.75</v>
      </c>
      <c r="C82" s="17">
        <v>2.5</v>
      </c>
      <c r="D82" s="12">
        <f t="shared" si="1"/>
        <v>29.375</v>
      </c>
    </row>
    <row r="83">
      <c r="A83" s="17">
        <v>82.0</v>
      </c>
      <c r="B83" s="17">
        <v>11.2</v>
      </c>
      <c r="C83" s="17">
        <v>1.0</v>
      </c>
      <c r="D83" s="12">
        <f t="shared" si="1"/>
        <v>11.2</v>
      </c>
    </row>
    <row r="84">
      <c r="A84" s="17">
        <v>83.0</v>
      </c>
      <c r="B84" s="17">
        <v>8.5</v>
      </c>
      <c r="C84" s="17">
        <v>1.25</v>
      </c>
      <c r="D84" s="12">
        <f t="shared" si="1"/>
        <v>10.625</v>
      </c>
    </row>
    <row r="85">
      <c r="A85" s="17">
        <v>84.0</v>
      </c>
      <c r="B85" s="17">
        <v>9.25</v>
      </c>
      <c r="C85" s="17">
        <v>1.25</v>
      </c>
      <c r="D85" s="12">
        <f t="shared" si="1"/>
        <v>11.5625</v>
      </c>
    </row>
    <row r="86">
      <c r="A86" s="17">
        <v>85.0</v>
      </c>
      <c r="B86" s="17">
        <v>9.0</v>
      </c>
      <c r="C86" s="17">
        <v>0.1</v>
      </c>
      <c r="D86" s="12">
        <f t="shared" si="1"/>
        <v>0.9</v>
      </c>
    </row>
    <row r="87">
      <c r="A87" s="17">
        <v>86.0</v>
      </c>
      <c r="B87" s="17">
        <v>9.5</v>
      </c>
      <c r="C87" s="17">
        <v>1.8</v>
      </c>
      <c r="D87" s="12">
        <f t="shared" si="1"/>
        <v>17.1</v>
      </c>
    </row>
    <row r="88">
      <c r="A88" s="17">
        <v>87.0</v>
      </c>
      <c r="B88" s="17">
        <v>6.75</v>
      </c>
      <c r="C88" s="17">
        <v>0.8</v>
      </c>
      <c r="D88" s="12">
        <f t="shared" si="1"/>
        <v>5.4</v>
      </c>
    </row>
    <row r="89">
      <c r="A89" s="17">
        <v>88.0</v>
      </c>
      <c r="B89" s="17">
        <v>9.2</v>
      </c>
      <c r="C89" s="17">
        <v>0.2</v>
      </c>
      <c r="D89" s="12">
        <f t="shared" si="1"/>
        <v>1.84</v>
      </c>
    </row>
    <row r="90">
      <c r="A90" s="17">
        <v>89.0</v>
      </c>
      <c r="B90" s="17">
        <v>12.5</v>
      </c>
      <c r="C90" s="17">
        <v>1.4</v>
      </c>
      <c r="D90" s="12">
        <f t="shared" si="1"/>
        <v>17.5</v>
      </c>
    </row>
    <row r="91">
      <c r="A91" s="17">
        <v>90.0</v>
      </c>
      <c r="B91" s="17">
        <v>9.75</v>
      </c>
      <c r="C91" s="17">
        <v>1.5</v>
      </c>
      <c r="D91" s="12">
        <f t="shared" si="1"/>
        <v>14.625</v>
      </c>
    </row>
    <row r="92">
      <c r="A92" s="17">
        <v>91.0</v>
      </c>
      <c r="B92" s="17">
        <v>11.0</v>
      </c>
      <c r="C92" s="17">
        <v>1.5</v>
      </c>
      <c r="D92" s="12">
        <f t="shared" si="1"/>
        <v>16.5</v>
      </c>
    </row>
    <row r="93">
      <c r="A93" s="17">
        <v>92.0</v>
      </c>
      <c r="B93" s="17">
        <v>9.25</v>
      </c>
      <c r="C93" s="17">
        <v>1.0</v>
      </c>
      <c r="D93" s="12">
        <f t="shared" si="1"/>
        <v>9.25</v>
      </c>
    </row>
    <row r="94">
      <c r="A94" s="17">
        <v>93.0</v>
      </c>
      <c r="B94" s="17">
        <v>12.0</v>
      </c>
      <c r="C94" s="17">
        <v>0.75</v>
      </c>
      <c r="D94" s="12">
        <f t="shared" si="1"/>
        <v>9</v>
      </c>
    </row>
    <row r="95">
      <c r="A95" s="17">
        <v>94.0</v>
      </c>
      <c r="B95" s="17">
        <v>9.5</v>
      </c>
      <c r="C95" s="17">
        <v>1.2</v>
      </c>
      <c r="D95" s="12">
        <f t="shared" si="1"/>
        <v>11.4</v>
      </c>
    </row>
    <row r="96">
      <c r="A96" s="17">
        <v>95.0</v>
      </c>
      <c r="B96" s="17">
        <v>7.75</v>
      </c>
      <c r="C96" s="17">
        <v>1.5</v>
      </c>
      <c r="D96" s="12">
        <f t="shared" si="1"/>
        <v>11.625</v>
      </c>
    </row>
    <row r="97">
      <c r="A97" s="17">
        <v>96.0</v>
      </c>
      <c r="B97" s="17">
        <v>8.75</v>
      </c>
      <c r="C97" s="17">
        <v>0.8</v>
      </c>
      <c r="D97" s="12">
        <f t="shared" si="1"/>
        <v>7</v>
      </c>
    </row>
    <row r="98">
      <c r="A98" s="17">
        <v>97.0</v>
      </c>
      <c r="B98" s="17">
        <v>9.0</v>
      </c>
      <c r="C98" s="17">
        <v>2.0</v>
      </c>
      <c r="D98" s="12">
        <f t="shared" si="1"/>
        <v>18</v>
      </c>
    </row>
    <row r="99">
      <c r="A99" s="17">
        <v>98.0</v>
      </c>
      <c r="B99" s="17">
        <v>9.5</v>
      </c>
      <c r="C99" s="17">
        <v>1.8</v>
      </c>
      <c r="D99" s="12">
        <f t="shared" si="1"/>
        <v>17.1</v>
      </c>
    </row>
    <row r="100">
      <c r="A100" s="17">
        <v>99.0</v>
      </c>
      <c r="B100" s="17">
        <v>7.6</v>
      </c>
      <c r="C100" s="17">
        <v>1.75</v>
      </c>
      <c r="D100" s="12">
        <f t="shared" si="1"/>
        <v>13.3</v>
      </c>
    </row>
    <row r="101">
      <c r="A101" s="17">
        <v>100.0</v>
      </c>
      <c r="B101" s="17">
        <v>7.5</v>
      </c>
      <c r="C101" s="17">
        <v>1.8</v>
      </c>
      <c r="D101" s="12">
        <f t="shared" si="1"/>
        <v>13.5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5.63"/>
  </cols>
  <sheetData>
    <row r="1">
      <c r="A1" s="2" t="s">
        <v>177</v>
      </c>
      <c r="B1" s="2"/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 t="s">
        <v>3</v>
      </c>
      <c r="B3" s="2" t="s">
        <v>178</v>
      </c>
      <c r="C3" s="2" t="s">
        <v>179</v>
      </c>
      <c r="D3" s="2" t="s">
        <v>180</v>
      </c>
      <c r="E3" s="2" t="s">
        <v>181</v>
      </c>
      <c r="F3" s="2"/>
    </row>
    <row r="4">
      <c r="A4" s="3">
        <v>44574.0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182</v>
      </c>
    </row>
    <row r="5">
      <c r="A5" s="29">
        <v>31.0</v>
      </c>
      <c r="B5" s="29">
        <v>47.0</v>
      </c>
      <c r="C5" s="29">
        <v>19.0</v>
      </c>
      <c r="D5" s="29">
        <v>3.0</v>
      </c>
      <c r="E5" s="2"/>
      <c r="F5" s="29">
        <f>Sum(A5:E5)</f>
        <v>100</v>
      </c>
    </row>
    <row r="6">
      <c r="A6" s="2"/>
      <c r="B6" s="2"/>
      <c r="C6" s="2"/>
      <c r="D6" s="2"/>
      <c r="E6" s="2"/>
      <c r="F6" s="2"/>
    </row>
    <row r="7">
      <c r="A7" s="2" t="s">
        <v>183</v>
      </c>
      <c r="B7" s="2"/>
      <c r="C7" s="2"/>
      <c r="D7" s="2"/>
      <c r="E7" s="2"/>
      <c r="F7" s="2"/>
    </row>
    <row r="8">
      <c r="A8" s="30">
        <v>17363.0</v>
      </c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75"/>
    <col customWidth="1" min="6" max="6" width="14.5"/>
  </cols>
  <sheetData>
    <row r="1">
      <c r="A1" s="31" t="s">
        <v>184</v>
      </c>
      <c r="B1" s="32" t="s">
        <v>185</v>
      </c>
      <c r="C1" s="33"/>
      <c r="D1" s="34"/>
      <c r="F1" s="23" t="s">
        <v>186</v>
      </c>
      <c r="G1" s="23"/>
    </row>
    <row r="2">
      <c r="A2" s="34">
        <v>43.640625</v>
      </c>
      <c r="B2" s="35">
        <f> 16 * 1.4</f>
        <v>22.4</v>
      </c>
      <c r="C2" s="33" t="s">
        <v>187</v>
      </c>
      <c r="D2" s="34">
        <f t="shared" ref="D2:D51" si="1">QUOTIENT(A2,B2)</f>
        <v>1</v>
      </c>
      <c r="F2" s="23" t="s">
        <v>188</v>
      </c>
      <c r="G2" s="23" t="s">
        <v>189</v>
      </c>
    </row>
    <row r="3">
      <c r="A3" s="34">
        <v>69.125</v>
      </c>
      <c r="B3" s="35">
        <f>16*1.8</f>
        <v>28.8</v>
      </c>
      <c r="C3" s="36">
        <f>CORREL(A2:A51,B2:B51)</f>
        <v>0.9466465376</v>
      </c>
      <c r="D3" s="34">
        <f t="shared" si="1"/>
        <v>2</v>
      </c>
      <c r="F3" s="37">
        <f>STDEV(A2:A51)</f>
        <v>93.56025398</v>
      </c>
      <c r="G3" s="25">
        <f>AVERAGE(A2:A51)</f>
        <v>165.1385498</v>
      </c>
    </row>
    <row r="4">
      <c r="A4" s="34">
        <v>78.837890625</v>
      </c>
      <c r="B4" s="35">
        <f>16 * 2.2</f>
        <v>35.2</v>
      </c>
      <c r="C4" s="33" t="s">
        <v>190</v>
      </c>
      <c r="D4" s="34">
        <f t="shared" si="1"/>
        <v>2</v>
      </c>
    </row>
    <row r="5">
      <c r="A5" s="34">
        <v>83.25</v>
      </c>
      <c r="B5" s="35">
        <f>16*2</f>
        <v>32</v>
      </c>
      <c r="C5" s="36"/>
      <c r="D5" s="34">
        <f t="shared" si="1"/>
        <v>2</v>
      </c>
      <c r="J5" s="23" t="s">
        <v>191</v>
      </c>
    </row>
    <row r="6">
      <c r="A6" s="34">
        <v>83.8359375</v>
      </c>
      <c r="B6" s="35">
        <f>2*16</f>
        <v>32</v>
      </c>
      <c r="C6" s="36"/>
      <c r="D6" s="34">
        <f t="shared" si="1"/>
        <v>2</v>
      </c>
      <c r="J6" s="23">
        <v>343.5701</v>
      </c>
    </row>
    <row r="7">
      <c r="A7" s="34">
        <v>87.978515625</v>
      </c>
      <c r="B7" s="35">
        <f>16 * 2.2</f>
        <v>35.2</v>
      </c>
      <c r="C7" s="36"/>
      <c r="D7" s="34">
        <f t="shared" si="1"/>
        <v>2</v>
      </c>
      <c r="G7" s="23" t="s">
        <v>192</v>
      </c>
      <c r="H7" s="23" t="s">
        <v>193</v>
      </c>
      <c r="I7" s="23" t="s">
        <v>194</v>
      </c>
      <c r="J7" s="23" t="s">
        <v>195</v>
      </c>
      <c r="K7" s="23" t="s">
        <v>196</v>
      </c>
    </row>
    <row r="8">
      <c r="A8" s="34">
        <v>88.046875</v>
      </c>
      <c r="B8" s="35">
        <f>1.8*16</f>
        <v>28.8</v>
      </c>
      <c r="C8" s="36"/>
      <c r="D8" s="34">
        <f t="shared" si="1"/>
        <v>3</v>
      </c>
      <c r="F8" s="23" t="s">
        <v>197</v>
      </c>
      <c r="G8" s="25">
        <f>min(A2:A51)</f>
        <v>43.640625</v>
      </c>
      <c r="H8" s="23">
        <f>quartile(A2:A51,1)</f>
        <v>97.46337891</v>
      </c>
      <c r="I8" s="23">
        <v>148.171875</v>
      </c>
      <c r="J8" s="23">
        <f>quartile(A2:A51,3)</f>
        <v>194.0429688</v>
      </c>
      <c r="K8" s="25">
        <f>MAX(A2:A51)</f>
        <v>486.9375</v>
      </c>
    </row>
    <row r="9">
      <c r="A9" s="34">
        <v>88.30859375</v>
      </c>
      <c r="B9" s="35">
        <f>16*2</f>
        <v>32</v>
      </c>
      <c r="C9" s="36"/>
      <c r="D9" s="34">
        <f t="shared" si="1"/>
        <v>2</v>
      </c>
    </row>
    <row r="10">
      <c r="A10" s="34">
        <v>88.59375</v>
      </c>
      <c r="B10" s="35">
        <f>16*2.8</f>
        <v>44.8</v>
      </c>
      <c r="C10" s="36"/>
      <c r="D10" s="34">
        <f t="shared" si="1"/>
        <v>1</v>
      </c>
    </row>
    <row r="11">
      <c r="A11" s="34">
        <v>92.71875</v>
      </c>
      <c r="B11" s="35">
        <f>2*16</f>
        <v>32</v>
      </c>
      <c r="C11" s="36"/>
      <c r="D11" s="34">
        <f t="shared" si="1"/>
        <v>2</v>
      </c>
    </row>
    <row r="12">
      <c r="A12" s="34">
        <v>95.8125</v>
      </c>
      <c r="B12" s="35">
        <f t="shared" ref="B12:B13" si="2">16*2</f>
        <v>32</v>
      </c>
      <c r="C12" s="36"/>
      <c r="D12" s="34">
        <f t="shared" si="1"/>
        <v>2</v>
      </c>
    </row>
    <row r="13">
      <c r="A13" s="34">
        <v>97.0703125</v>
      </c>
      <c r="B13" s="35">
        <f t="shared" si="2"/>
        <v>32</v>
      </c>
      <c r="C13" s="36"/>
      <c r="D13" s="34">
        <f t="shared" si="1"/>
        <v>3</v>
      </c>
    </row>
    <row r="14">
      <c r="A14" s="34">
        <v>97.125</v>
      </c>
      <c r="B14" s="35">
        <f>16*2.4</f>
        <v>38.4</v>
      </c>
      <c r="C14" s="36"/>
      <c r="D14" s="34">
        <f t="shared" si="1"/>
        <v>2</v>
      </c>
    </row>
    <row r="15">
      <c r="A15" s="34">
        <v>98.478515625</v>
      </c>
      <c r="B15" s="35">
        <f>2.4*16</f>
        <v>38.4</v>
      </c>
      <c r="C15" s="36"/>
      <c r="D15" s="34">
        <f t="shared" si="1"/>
        <v>2</v>
      </c>
    </row>
    <row r="16">
      <c r="A16" s="34">
        <v>103.6875</v>
      </c>
      <c r="B16" s="35">
        <f>16*2.6</f>
        <v>41.6</v>
      </c>
      <c r="C16" s="36"/>
      <c r="D16" s="34">
        <f t="shared" si="1"/>
        <v>2</v>
      </c>
    </row>
    <row r="17">
      <c r="A17" s="34">
        <v>105.0</v>
      </c>
      <c r="B17" s="35">
        <f>16*2.4</f>
        <v>38.4</v>
      </c>
      <c r="C17" s="36"/>
      <c r="D17" s="34">
        <f t="shared" si="1"/>
        <v>2</v>
      </c>
    </row>
    <row r="18">
      <c r="A18" s="34">
        <v>109.171875</v>
      </c>
      <c r="B18" s="35">
        <f>16*2.6</f>
        <v>41.6</v>
      </c>
      <c r="C18" s="36"/>
      <c r="D18" s="34">
        <f t="shared" si="1"/>
        <v>2</v>
      </c>
    </row>
    <row r="19">
      <c r="A19" s="34">
        <v>109.5</v>
      </c>
      <c r="B19" s="35">
        <f>16*2.8</f>
        <v>44.8</v>
      </c>
      <c r="C19" s="36"/>
      <c r="D19" s="34">
        <f t="shared" si="1"/>
        <v>2</v>
      </c>
    </row>
    <row r="20">
      <c r="A20" s="34">
        <v>117.90625</v>
      </c>
      <c r="B20" s="35">
        <f>16 * 3.2</f>
        <v>51.2</v>
      </c>
      <c r="C20" s="36"/>
      <c r="D20" s="34">
        <f t="shared" si="1"/>
        <v>2</v>
      </c>
    </row>
    <row r="21">
      <c r="A21" s="34">
        <v>119.09375</v>
      </c>
      <c r="B21" s="35">
        <f>16*2.8</f>
        <v>44.8</v>
      </c>
      <c r="C21" s="36"/>
      <c r="D21" s="34">
        <f t="shared" si="1"/>
        <v>2</v>
      </c>
    </row>
    <row r="22">
      <c r="A22" s="34">
        <v>120.41015625</v>
      </c>
      <c r="B22" s="35">
        <f>2.6*16</f>
        <v>41.6</v>
      </c>
      <c r="C22" s="36"/>
      <c r="D22" s="34">
        <f t="shared" si="1"/>
        <v>2</v>
      </c>
    </row>
    <row r="23">
      <c r="A23" s="34">
        <v>122.2880859375</v>
      </c>
      <c r="B23" s="35">
        <f>3.4*16</f>
        <v>54.4</v>
      </c>
      <c r="C23" s="36"/>
      <c r="D23" s="34">
        <f t="shared" si="1"/>
        <v>2</v>
      </c>
    </row>
    <row r="24">
      <c r="A24" s="34">
        <v>122.5546875</v>
      </c>
      <c r="B24" s="35">
        <f> 16 * 4.6</f>
        <v>73.6</v>
      </c>
      <c r="C24" s="36"/>
      <c r="D24" s="34">
        <f t="shared" si="1"/>
        <v>1</v>
      </c>
    </row>
    <row r="25">
      <c r="A25" s="34">
        <v>128.90625</v>
      </c>
      <c r="B25" s="35">
        <f> 16 * 3.8</f>
        <v>60.8</v>
      </c>
      <c r="C25" s="36"/>
      <c r="D25" s="34">
        <f t="shared" si="1"/>
        <v>2</v>
      </c>
    </row>
    <row r="26">
      <c r="A26" s="34">
        <v>147.1875</v>
      </c>
      <c r="B26" s="35">
        <f>16*2.8</f>
        <v>44.8</v>
      </c>
      <c r="C26" s="36"/>
      <c r="D26" s="34">
        <f t="shared" si="1"/>
        <v>3</v>
      </c>
    </row>
    <row r="27">
      <c r="A27" s="34">
        <v>149.15625</v>
      </c>
      <c r="B27" s="35">
        <f>16*3.4</f>
        <v>54.4</v>
      </c>
      <c r="C27" s="36"/>
      <c r="D27" s="34">
        <f t="shared" si="1"/>
        <v>2</v>
      </c>
    </row>
    <row r="28">
      <c r="A28" s="34">
        <v>152.46875</v>
      </c>
      <c r="B28" s="35">
        <f> 16 * 3.8</f>
        <v>60.8</v>
      </c>
      <c r="C28" s="36"/>
      <c r="D28" s="34">
        <f t="shared" si="1"/>
        <v>2</v>
      </c>
    </row>
    <row r="29">
      <c r="A29" s="34">
        <v>153.5625</v>
      </c>
      <c r="B29" s="35">
        <f>16*4.8</f>
        <v>76.8</v>
      </c>
      <c r="C29" s="36"/>
      <c r="D29" s="34">
        <f t="shared" si="1"/>
        <v>1</v>
      </c>
    </row>
    <row r="30">
      <c r="A30" s="34">
        <v>154.248046875</v>
      </c>
      <c r="B30" s="35">
        <f> 16 * 3.8</f>
        <v>60.8</v>
      </c>
      <c r="C30" s="36"/>
      <c r="D30" s="34">
        <f t="shared" si="1"/>
        <v>2</v>
      </c>
    </row>
    <row r="31">
      <c r="A31" s="34">
        <v>160.6171875</v>
      </c>
      <c r="B31" s="35">
        <f> 16 * 5</f>
        <v>80</v>
      </c>
      <c r="C31" s="36"/>
      <c r="D31" s="34">
        <f t="shared" si="1"/>
        <v>2</v>
      </c>
    </row>
    <row r="32">
      <c r="A32" s="34">
        <v>163.625</v>
      </c>
      <c r="B32" s="35">
        <f> 16 * 5.8</f>
        <v>92.8</v>
      </c>
      <c r="C32" s="36"/>
      <c r="D32" s="34">
        <f t="shared" si="1"/>
        <v>1</v>
      </c>
    </row>
    <row r="33">
      <c r="A33" s="34">
        <v>168.39599609375</v>
      </c>
      <c r="B33" s="35">
        <f> 16 * 3.8</f>
        <v>60.8</v>
      </c>
      <c r="C33" s="36"/>
      <c r="D33" s="34">
        <f t="shared" si="1"/>
        <v>2</v>
      </c>
    </row>
    <row r="34">
      <c r="A34" s="34">
        <v>174.28125</v>
      </c>
      <c r="B34" s="35">
        <f>16*4.8</f>
        <v>76.8</v>
      </c>
      <c r="C34" s="36"/>
      <c r="D34" s="34">
        <f t="shared" si="1"/>
        <v>2</v>
      </c>
    </row>
    <row r="35">
      <c r="A35" s="34">
        <v>174.5625</v>
      </c>
      <c r="B35" s="35">
        <f>1.6*16</f>
        <v>25.6</v>
      </c>
      <c r="C35" s="36"/>
      <c r="D35" s="34">
        <f t="shared" si="1"/>
        <v>6</v>
      </c>
    </row>
    <row r="36">
      <c r="A36" s="34">
        <v>180.95703125</v>
      </c>
      <c r="B36" s="35">
        <f t="shared" ref="B36:B37" si="3">16*4.8</f>
        <v>76.8</v>
      </c>
      <c r="C36" s="36"/>
      <c r="D36" s="34">
        <f t="shared" si="1"/>
        <v>2</v>
      </c>
    </row>
    <row r="37">
      <c r="A37" s="34">
        <v>181.5</v>
      </c>
      <c r="B37" s="35">
        <f t="shared" si="3"/>
        <v>76.8</v>
      </c>
      <c r="C37" s="36"/>
      <c r="D37" s="34">
        <f t="shared" si="1"/>
        <v>2</v>
      </c>
    </row>
    <row r="38">
      <c r="A38" s="34">
        <v>189.0625</v>
      </c>
      <c r="B38" s="35">
        <f>6*16</f>
        <v>96</v>
      </c>
      <c r="C38" s="36"/>
      <c r="D38" s="34">
        <f t="shared" si="1"/>
        <v>1</v>
      </c>
    </row>
    <row r="39">
      <c r="A39" s="34">
        <v>195.703125</v>
      </c>
      <c r="B39" s="35">
        <f>5.4*16</f>
        <v>86.4</v>
      </c>
      <c r="C39" s="36"/>
      <c r="D39" s="34">
        <f t="shared" si="1"/>
        <v>2</v>
      </c>
    </row>
    <row r="40">
      <c r="A40" s="34">
        <v>206.85546875</v>
      </c>
      <c r="B40" s="35">
        <f>5*16</f>
        <v>80</v>
      </c>
      <c r="C40" s="36"/>
      <c r="D40" s="34">
        <f t="shared" si="1"/>
        <v>2</v>
      </c>
    </row>
    <row r="41">
      <c r="A41" s="34">
        <v>210.0</v>
      </c>
      <c r="B41" s="35">
        <f>6.2*16</f>
        <v>99.2</v>
      </c>
      <c r="C41" s="36"/>
      <c r="D41" s="34">
        <f t="shared" si="1"/>
        <v>2</v>
      </c>
    </row>
    <row r="42">
      <c r="A42" s="34">
        <v>215.4599609375</v>
      </c>
      <c r="B42" s="35">
        <f>16 * 7.8</f>
        <v>124.8</v>
      </c>
      <c r="C42" s="36"/>
      <c r="D42" s="34">
        <f t="shared" si="1"/>
        <v>1</v>
      </c>
    </row>
    <row r="43">
      <c r="A43" s="34">
        <v>223.32421875</v>
      </c>
      <c r="B43" s="35">
        <f>16 * 8.4</f>
        <v>134.4</v>
      </c>
      <c r="C43" s="36"/>
      <c r="D43" s="34">
        <f t="shared" si="1"/>
        <v>1</v>
      </c>
    </row>
    <row r="44">
      <c r="A44" s="34">
        <v>231.552734375</v>
      </c>
      <c r="B44" s="35">
        <f>16*6</f>
        <v>96</v>
      </c>
      <c r="C44" s="36"/>
      <c r="D44" s="34">
        <f t="shared" si="1"/>
        <v>2</v>
      </c>
    </row>
    <row r="45">
      <c r="A45" s="34">
        <v>256.519775390625</v>
      </c>
      <c r="B45" s="35">
        <f>16*6.6</f>
        <v>105.6</v>
      </c>
      <c r="C45" s="36"/>
      <c r="D45" s="34">
        <f t="shared" si="1"/>
        <v>2</v>
      </c>
    </row>
    <row r="46">
      <c r="A46" s="34">
        <v>263.375</v>
      </c>
      <c r="B46" s="35">
        <f>16*9.4</f>
        <v>150.4</v>
      </c>
      <c r="C46" s="36"/>
      <c r="D46" s="34">
        <f t="shared" si="1"/>
        <v>1</v>
      </c>
    </row>
    <row r="47">
      <c r="A47" s="34">
        <v>306.5625</v>
      </c>
      <c r="B47" s="35">
        <f>16*8</f>
        <v>128</v>
      </c>
      <c r="C47" s="36"/>
      <c r="D47" s="34">
        <f t="shared" si="1"/>
        <v>2</v>
      </c>
    </row>
    <row r="48">
      <c r="A48" s="34">
        <v>327.796875</v>
      </c>
      <c r="B48" s="35">
        <f>16*9.4</f>
        <v>150.4</v>
      </c>
      <c r="C48" s="36"/>
      <c r="D48" s="34">
        <f t="shared" si="1"/>
        <v>2</v>
      </c>
    </row>
    <row r="49">
      <c r="A49" s="34">
        <v>397.03125</v>
      </c>
      <c r="B49" s="35">
        <f>16*11.2</f>
        <v>179.2</v>
      </c>
      <c r="C49" s="36"/>
      <c r="D49" s="34">
        <f t="shared" si="1"/>
        <v>2</v>
      </c>
    </row>
    <row r="50">
      <c r="A50" s="34">
        <v>434.84375</v>
      </c>
      <c r="B50" s="35">
        <f> 16 * 10.2</f>
        <v>163.2</v>
      </c>
      <c r="C50" s="36"/>
      <c r="D50" s="34">
        <f t="shared" si="1"/>
        <v>2</v>
      </c>
    </row>
    <row r="51">
      <c r="A51" s="34">
        <v>486.9375</v>
      </c>
      <c r="B51" s="35">
        <f>16*13</f>
        <v>208</v>
      </c>
      <c r="C51" s="36"/>
      <c r="D51" s="34">
        <f t="shared" si="1"/>
        <v>2</v>
      </c>
    </row>
    <row r="52">
      <c r="A52" s="36"/>
      <c r="B52" s="36"/>
      <c r="C52" s="36"/>
      <c r="D52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198</v>
      </c>
    </row>
    <row r="2">
      <c r="A2" s="23" t="s">
        <v>199</v>
      </c>
      <c r="E2" s="25">
        <f>19*9*6*2</f>
        <v>2052</v>
      </c>
      <c r="F2" s="23" t="s">
        <v>200</v>
      </c>
    </row>
    <row r="3">
      <c r="A3" s="23" t="s">
        <v>201</v>
      </c>
      <c r="E3" s="25">
        <f>35*12.5*11</f>
        <v>4812.5</v>
      </c>
      <c r="F3" s="23" t="s">
        <v>202</v>
      </c>
      <c r="H3" s="25">
        <f>12*18*24</f>
        <v>5184</v>
      </c>
    </row>
    <row r="5">
      <c r="B5" s="23" t="s">
        <v>203</v>
      </c>
    </row>
    <row r="6">
      <c r="B6" s="23" t="s">
        <v>127</v>
      </c>
      <c r="C6" s="23" t="s">
        <v>128</v>
      </c>
      <c r="D6" s="23" t="s">
        <v>126</v>
      </c>
      <c r="E6" s="23" t="s">
        <v>204</v>
      </c>
      <c r="F6" s="23" t="s">
        <v>205</v>
      </c>
      <c r="G6" s="23" t="s">
        <v>206</v>
      </c>
    </row>
    <row r="7">
      <c r="B7" s="23">
        <v>0.0</v>
      </c>
      <c r="C7" s="23">
        <v>0.0</v>
      </c>
      <c r="D7" s="23">
        <v>0.0</v>
      </c>
      <c r="E7" s="25">
        <f t="shared" ref="E7:E62" si="1">PRODUCT(B7:D7)</f>
        <v>0</v>
      </c>
      <c r="F7" s="25">
        <f>E7/E3</f>
        <v>0</v>
      </c>
      <c r="G7" s="25">
        <v>0.0</v>
      </c>
    </row>
    <row r="8">
      <c r="B8" s="23">
        <v>0.0</v>
      </c>
      <c r="C8" s="23">
        <v>0.0</v>
      </c>
      <c r="D8" s="23">
        <v>0.0</v>
      </c>
      <c r="E8" s="25">
        <f t="shared" si="1"/>
        <v>0</v>
      </c>
      <c r="F8" s="25">
        <f>E8/E3</f>
        <v>0</v>
      </c>
      <c r="G8" s="25">
        <v>0.0</v>
      </c>
    </row>
    <row r="9">
      <c r="B9" s="23">
        <v>0.0</v>
      </c>
      <c r="C9" s="23">
        <v>0.0</v>
      </c>
      <c r="D9" s="23">
        <v>0.0</v>
      </c>
      <c r="E9" s="25">
        <f t="shared" si="1"/>
        <v>0</v>
      </c>
      <c r="F9" s="25">
        <f>E9/E3</f>
        <v>0</v>
      </c>
      <c r="G9" s="25">
        <v>0.0</v>
      </c>
    </row>
    <row r="10">
      <c r="B10" s="23">
        <v>0.0</v>
      </c>
      <c r="C10" s="23">
        <v>0.0</v>
      </c>
      <c r="D10" s="23">
        <v>0.0</v>
      </c>
      <c r="E10" s="25">
        <f t="shared" si="1"/>
        <v>0</v>
      </c>
      <c r="F10" s="25">
        <f>E10/E3</f>
        <v>0</v>
      </c>
      <c r="G10" s="25">
        <v>0.0</v>
      </c>
    </row>
    <row r="11">
      <c r="B11" s="23">
        <v>30.0</v>
      </c>
      <c r="C11" s="23">
        <v>7.0</v>
      </c>
      <c r="D11" s="23">
        <v>9.0</v>
      </c>
      <c r="E11" s="25">
        <f t="shared" si="1"/>
        <v>1890</v>
      </c>
      <c r="F11" s="25">
        <f>E11/E3</f>
        <v>0.3927272727</v>
      </c>
      <c r="G11" s="38">
        <v>0.10181818181818182</v>
      </c>
    </row>
    <row r="12">
      <c r="B12" s="23">
        <v>29.0</v>
      </c>
      <c r="C12" s="23">
        <v>7.0</v>
      </c>
      <c r="D12" s="23">
        <v>11.0</v>
      </c>
      <c r="E12" s="25">
        <f t="shared" si="1"/>
        <v>2233</v>
      </c>
      <c r="F12" s="25">
        <f>E12/E3</f>
        <v>0.464</v>
      </c>
      <c r="G12" s="38">
        <v>0.1570909090909091</v>
      </c>
    </row>
    <row r="13">
      <c r="B13" s="23">
        <v>24.0</v>
      </c>
      <c r="C13" s="23">
        <v>7.0</v>
      </c>
      <c r="D13" s="23">
        <v>9.0</v>
      </c>
      <c r="E13" s="25">
        <f t="shared" si="1"/>
        <v>1512</v>
      </c>
      <c r="F13" s="25">
        <f>E13/E3</f>
        <v>0.3141818182</v>
      </c>
      <c r="G13" s="38">
        <v>0.17272727272727273</v>
      </c>
    </row>
    <row r="14">
      <c r="B14" s="23">
        <v>28.0</v>
      </c>
      <c r="C14" s="23">
        <v>8.0</v>
      </c>
      <c r="D14" s="23">
        <v>10.0</v>
      </c>
      <c r="E14" s="25">
        <f t="shared" si="1"/>
        <v>2240</v>
      </c>
      <c r="F14" s="25">
        <f>E14/E3</f>
        <v>0.4654545455</v>
      </c>
      <c r="G14" s="38">
        <v>0.18654545454545454</v>
      </c>
    </row>
    <row r="15">
      <c r="B15" s="23">
        <v>26.5</v>
      </c>
      <c r="C15" s="23">
        <v>6.0</v>
      </c>
      <c r="D15" s="23">
        <v>9.5</v>
      </c>
      <c r="E15" s="25">
        <f t="shared" si="1"/>
        <v>1510.5</v>
      </c>
      <c r="F15" s="25">
        <f>E15/E3</f>
        <v>0.3138701299</v>
      </c>
      <c r="G15" s="38">
        <v>0.18654545454545454</v>
      </c>
    </row>
    <row r="16">
      <c r="B16" s="23">
        <v>13.5</v>
      </c>
      <c r="C16" s="23">
        <v>7.0</v>
      </c>
      <c r="D16" s="23">
        <v>9.5</v>
      </c>
      <c r="E16" s="25">
        <f t="shared" si="1"/>
        <v>897.75</v>
      </c>
      <c r="F16" s="25">
        <f>E16/E3</f>
        <v>0.1865454545</v>
      </c>
      <c r="G16" s="38">
        <v>0.1890909090909091</v>
      </c>
    </row>
    <row r="17">
      <c r="B17" s="23">
        <v>18.0</v>
      </c>
      <c r="C17" s="23">
        <v>7.0</v>
      </c>
      <c r="D17" s="23">
        <v>9.0</v>
      </c>
      <c r="E17" s="25">
        <f t="shared" si="1"/>
        <v>1134</v>
      </c>
      <c r="F17" s="25">
        <f>E17/E3</f>
        <v>0.2356363636</v>
      </c>
      <c r="G17" s="38">
        <v>0.18981818181818183</v>
      </c>
    </row>
    <row r="18">
      <c r="B18" s="23">
        <v>16.0</v>
      </c>
      <c r="C18" s="23">
        <v>8.0</v>
      </c>
      <c r="D18" s="23">
        <v>9.0</v>
      </c>
      <c r="E18" s="25">
        <f t="shared" si="1"/>
        <v>1152</v>
      </c>
      <c r="F18" s="25">
        <f t="shared" ref="F18:F62" si="2">E18/4812.5</f>
        <v>0.2393766234</v>
      </c>
      <c r="G18" s="38">
        <v>0.19116883116883118</v>
      </c>
    </row>
    <row r="19">
      <c r="B19" s="23">
        <v>28.0</v>
      </c>
      <c r="C19" s="23">
        <v>7.0</v>
      </c>
      <c r="D19" s="23">
        <v>9.0</v>
      </c>
      <c r="E19" s="25">
        <f t="shared" si="1"/>
        <v>1764</v>
      </c>
      <c r="F19" s="25">
        <f t="shared" si="2"/>
        <v>0.3665454545</v>
      </c>
      <c r="G19" s="38">
        <v>0.19345454545454546</v>
      </c>
    </row>
    <row r="20">
      <c r="B20" s="23">
        <v>18.0</v>
      </c>
      <c r="C20" s="23">
        <v>7.0</v>
      </c>
      <c r="D20" s="23">
        <v>9.0</v>
      </c>
      <c r="E20" s="25">
        <f t="shared" si="1"/>
        <v>1134</v>
      </c>
      <c r="F20" s="25">
        <f t="shared" si="2"/>
        <v>0.2356363636</v>
      </c>
      <c r="G20" s="38">
        <v>0.19636363636363635</v>
      </c>
    </row>
    <row r="21">
      <c r="B21" s="23">
        <v>17.0</v>
      </c>
      <c r="C21" s="23">
        <v>7.0</v>
      </c>
      <c r="D21" s="23">
        <v>9.0</v>
      </c>
      <c r="E21" s="25">
        <f t="shared" si="1"/>
        <v>1071</v>
      </c>
      <c r="F21" s="25">
        <f t="shared" si="2"/>
        <v>0.2225454545</v>
      </c>
      <c r="G21" s="38">
        <v>0.20727272727272728</v>
      </c>
    </row>
    <row r="22">
      <c r="B22" s="23">
        <v>13.0</v>
      </c>
      <c r="C22" s="23">
        <v>7.0</v>
      </c>
      <c r="D22" s="23">
        <v>10.0</v>
      </c>
      <c r="E22" s="25">
        <f t="shared" si="1"/>
        <v>910</v>
      </c>
      <c r="F22" s="25">
        <f t="shared" si="2"/>
        <v>0.1890909091</v>
      </c>
      <c r="G22" s="38">
        <v>0.21812987012987012</v>
      </c>
    </row>
    <row r="23">
      <c r="B23" s="23">
        <v>7.0</v>
      </c>
      <c r="C23" s="23">
        <v>7.0</v>
      </c>
      <c r="D23" s="23">
        <v>10.0</v>
      </c>
      <c r="E23" s="25">
        <f t="shared" si="1"/>
        <v>490</v>
      </c>
      <c r="F23" s="25">
        <f t="shared" si="2"/>
        <v>0.1018181818</v>
      </c>
      <c r="G23" s="38">
        <v>0.21818181818181817</v>
      </c>
    </row>
    <row r="24">
      <c r="B24" s="23">
        <v>21.0</v>
      </c>
      <c r="C24" s="23">
        <v>8.0</v>
      </c>
      <c r="D24" s="23">
        <v>9.0</v>
      </c>
      <c r="E24" s="25">
        <f t="shared" si="1"/>
        <v>1512</v>
      </c>
      <c r="F24" s="25">
        <f t="shared" si="2"/>
        <v>0.3141818182</v>
      </c>
      <c r="G24" s="38">
        <v>0.22254545454545455</v>
      </c>
    </row>
    <row r="25">
      <c r="B25" s="23">
        <v>20.0</v>
      </c>
      <c r="C25" s="23">
        <v>8.0</v>
      </c>
      <c r="D25" s="23">
        <v>11.0</v>
      </c>
      <c r="E25" s="25">
        <f t="shared" si="1"/>
        <v>1760</v>
      </c>
      <c r="F25" s="25">
        <f t="shared" si="2"/>
        <v>0.3657142857</v>
      </c>
      <c r="G25" s="38">
        <v>0.23272727272727273</v>
      </c>
    </row>
    <row r="26">
      <c r="B26" s="23">
        <v>18.0</v>
      </c>
      <c r="C26" s="23">
        <v>7.5</v>
      </c>
      <c r="D26" s="23">
        <v>10.0</v>
      </c>
      <c r="E26" s="25">
        <f t="shared" si="1"/>
        <v>1350</v>
      </c>
      <c r="F26" s="25">
        <f t="shared" si="2"/>
        <v>0.2805194805</v>
      </c>
      <c r="G26" s="38">
        <v>0.2349090909090909</v>
      </c>
    </row>
    <row r="27">
      <c r="B27" s="23">
        <v>23.0</v>
      </c>
      <c r="C27" s="23">
        <v>7.0</v>
      </c>
      <c r="D27" s="23">
        <v>9.0</v>
      </c>
      <c r="E27" s="25">
        <f t="shared" si="1"/>
        <v>1449</v>
      </c>
      <c r="F27" s="25">
        <f t="shared" si="2"/>
        <v>0.3010909091</v>
      </c>
      <c r="G27" s="38">
        <v>0.23563636363636364</v>
      </c>
    </row>
    <row r="28">
      <c r="B28" s="23">
        <v>14.5</v>
      </c>
      <c r="C28" s="23">
        <v>7.0</v>
      </c>
      <c r="D28" s="23">
        <v>9.0</v>
      </c>
      <c r="E28" s="25">
        <f t="shared" si="1"/>
        <v>913.5</v>
      </c>
      <c r="F28" s="25">
        <f t="shared" si="2"/>
        <v>0.1898181818</v>
      </c>
      <c r="G28" s="38">
        <v>0.23563636363636364</v>
      </c>
    </row>
    <row r="29">
      <c r="B29" s="23">
        <v>21.0</v>
      </c>
      <c r="C29" s="23">
        <v>7.0</v>
      </c>
      <c r="D29" s="23">
        <v>9.0</v>
      </c>
      <c r="E29" s="25">
        <f t="shared" si="1"/>
        <v>1323</v>
      </c>
      <c r="F29" s="25">
        <f t="shared" si="2"/>
        <v>0.2749090909</v>
      </c>
      <c r="G29" s="38">
        <v>0.23937662337662338</v>
      </c>
    </row>
    <row r="30">
      <c r="B30" s="23">
        <v>21.0</v>
      </c>
      <c r="C30" s="23">
        <v>7.0</v>
      </c>
      <c r="D30" s="23">
        <v>9.0</v>
      </c>
      <c r="E30" s="25">
        <f t="shared" si="1"/>
        <v>1323</v>
      </c>
      <c r="F30" s="25">
        <f t="shared" si="2"/>
        <v>0.2749090909</v>
      </c>
      <c r="G30" s="38">
        <v>0.24727272727272728</v>
      </c>
    </row>
    <row r="31">
      <c r="B31" s="23">
        <v>18.5</v>
      </c>
      <c r="C31" s="23">
        <v>7.0</v>
      </c>
      <c r="D31" s="23">
        <v>10.5</v>
      </c>
      <c r="E31" s="25">
        <f t="shared" si="1"/>
        <v>1359.75</v>
      </c>
      <c r="F31" s="25">
        <f t="shared" si="2"/>
        <v>0.2825454545</v>
      </c>
      <c r="G31" s="38">
        <v>0.2487272727272727</v>
      </c>
    </row>
    <row r="32">
      <c r="B32" s="23">
        <v>12.0</v>
      </c>
      <c r="C32" s="23">
        <v>7.0</v>
      </c>
      <c r="D32" s="23">
        <v>9.0</v>
      </c>
      <c r="E32" s="25">
        <f t="shared" si="1"/>
        <v>756</v>
      </c>
      <c r="F32" s="25">
        <f t="shared" si="2"/>
        <v>0.1570909091</v>
      </c>
      <c r="G32" s="38">
        <v>0.25527272727272726</v>
      </c>
    </row>
    <row r="33">
      <c r="B33" s="23">
        <v>15.0</v>
      </c>
      <c r="C33" s="23">
        <v>7.0</v>
      </c>
      <c r="D33" s="23">
        <v>10.0</v>
      </c>
      <c r="E33" s="25">
        <f t="shared" si="1"/>
        <v>1050</v>
      </c>
      <c r="F33" s="25">
        <f t="shared" si="2"/>
        <v>0.2181818182</v>
      </c>
      <c r="G33" s="38">
        <v>0.2596363636363636</v>
      </c>
    </row>
    <row r="34">
      <c r="B34" s="23">
        <v>22.0</v>
      </c>
      <c r="C34" s="23">
        <v>8.0</v>
      </c>
      <c r="D34" s="23">
        <v>10.0</v>
      </c>
      <c r="E34" s="25">
        <f t="shared" si="1"/>
        <v>1760</v>
      </c>
      <c r="F34" s="25">
        <f t="shared" si="2"/>
        <v>0.3657142857</v>
      </c>
      <c r="G34" s="38">
        <v>0.27490909090909094</v>
      </c>
    </row>
    <row r="35">
      <c r="B35" s="23">
        <v>17.0</v>
      </c>
      <c r="C35" s="23">
        <v>6.5</v>
      </c>
      <c r="D35" s="23">
        <v>9.5</v>
      </c>
      <c r="E35" s="25">
        <f t="shared" si="1"/>
        <v>1049.75</v>
      </c>
      <c r="F35" s="25">
        <f t="shared" si="2"/>
        <v>0.2181298701</v>
      </c>
      <c r="G35" s="38">
        <v>0.27490909090909094</v>
      </c>
    </row>
    <row r="36">
      <c r="B36" s="23">
        <v>20.0</v>
      </c>
      <c r="C36" s="23">
        <v>7.0</v>
      </c>
      <c r="D36" s="23">
        <v>10.5</v>
      </c>
      <c r="E36" s="25">
        <f t="shared" si="1"/>
        <v>1470</v>
      </c>
      <c r="F36" s="25">
        <f t="shared" si="2"/>
        <v>0.3054545455</v>
      </c>
      <c r="G36" s="38">
        <v>0.27490909090909094</v>
      </c>
    </row>
    <row r="37">
      <c r="B37" s="23">
        <v>16.0</v>
      </c>
      <c r="C37" s="23">
        <v>7.0</v>
      </c>
      <c r="D37" s="23">
        <v>10.0</v>
      </c>
      <c r="E37" s="25">
        <f t="shared" si="1"/>
        <v>1120</v>
      </c>
      <c r="F37" s="25">
        <f t="shared" si="2"/>
        <v>0.2327272727</v>
      </c>
      <c r="G37" s="38">
        <v>0.27636363636363637</v>
      </c>
    </row>
    <row r="38">
      <c r="B38" s="23">
        <v>11.5</v>
      </c>
      <c r="C38" s="23">
        <v>8.0</v>
      </c>
      <c r="D38" s="23">
        <v>10.0</v>
      </c>
      <c r="E38" s="25">
        <f t="shared" si="1"/>
        <v>920</v>
      </c>
      <c r="F38" s="25">
        <f t="shared" si="2"/>
        <v>0.1911688312</v>
      </c>
      <c r="G38" s="38">
        <v>0.2805194805194805</v>
      </c>
    </row>
    <row r="39">
      <c r="B39" s="23">
        <v>15.0</v>
      </c>
      <c r="C39" s="23">
        <v>7.0</v>
      </c>
      <c r="D39" s="23">
        <v>9.0</v>
      </c>
      <c r="E39" s="25">
        <f t="shared" si="1"/>
        <v>945</v>
      </c>
      <c r="F39" s="25">
        <f t="shared" si="2"/>
        <v>0.1963636364</v>
      </c>
      <c r="G39" s="38">
        <v>0.28254545454545454</v>
      </c>
    </row>
    <row r="40">
      <c r="B40" s="23">
        <v>13.5</v>
      </c>
      <c r="C40" s="23">
        <v>7.0</v>
      </c>
      <c r="D40" s="23">
        <v>9.5</v>
      </c>
      <c r="E40" s="25">
        <f t="shared" si="1"/>
        <v>897.75</v>
      </c>
      <c r="F40" s="25">
        <f t="shared" si="2"/>
        <v>0.1865454545</v>
      </c>
      <c r="G40" s="38">
        <v>0.3010909090909091</v>
      </c>
    </row>
    <row r="41">
      <c r="B41" s="23">
        <v>12.5</v>
      </c>
      <c r="C41" s="23">
        <v>7.0</v>
      </c>
      <c r="D41" s="23">
        <v>9.5</v>
      </c>
      <c r="E41" s="25">
        <f t="shared" si="1"/>
        <v>831.25</v>
      </c>
      <c r="F41" s="25">
        <f t="shared" si="2"/>
        <v>0.1727272727</v>
      </c>
      <c r="G41" s="38">
        <v>0.3054545454545455</v>
      </c>
    </row>
    <row r="42">
      <c r="B42" s="23">
        <v>19.5</v>
      </c>
      <c r="C42" s="23">
        <v>7.0</v>
      </c>
      <c r="D42" s="23">
        <v>9.0</v>
      </c>
      <c r="E42" s="25">
        <f t="shared" si="1"/>
        <v>1228.5</v>
      </c>
      <c r="F42" s="25">
        <f t="shared" si="2"/>
        <v>0.2552727273</v>
      </c>
      <c r="G42" s="38">
        <v>0.31387012987012985</v>
      </c>
    </row>
    <row r="43">
      <c r="B43" s="23">
        <v>28.0</v>
      </c>
      <c r="C43" s="23">
        <v>7.0</v>
      </c>
      <c r="D43" s="23">
        <v>9.5</v>
      </c>
      <c r="E43" s="25">
        <f t="shared" si="1"/>
        <v>1862</v>
      </c>
      <c r="F43" s="25">
        <f t="shared" si="2"/>
        <v>0.3869090909</v>
      </c>
      <c r="G43" s="38">
        <v>0.3141818181818182</v>
      </c>
    </row>
    <row r="44">
      <c r="B44" s="23">
        <v>14.0</v>
      </c>
      <c r="C44" s="23">
        <v>7.0</v>
      </c>
      <c r="D44" s="23">
        <v>9.5</v>
      </c>
      <c r="E44" s="25">
        <f t="shared" si="1"/>
        <v>931</v>
      </c>
      <c r="F44" s="25">
        <f t="shared" si="2"/>
        <v>0.1934545455</v>
      </c>
      <c r="G44" s="38">
        <v>0.3141818181818182</v>
      </c>
    </row>
    <row r="45">
      <c r="B45" s="23">
        <v>17.0</v>
      </c>
      <c r="C45" s="23">
        <v>7.0</v>
      </c>
      <c r="D45" s="23">
        <v>10.5</v>
      </c>
      <c r="E45" s="25">
        <f t="shared" si="1"/>
        <v>1249.5</v>
      </c>
      <c r="F45" s="25">
        <f t="shared" si="2"/>
        <v>0.2596363636</v>
      </c>
      <c r="G45" s="38">
        <v>0.32145454545454544</v>
      </c>
    </row>
    <row r="46">
      <c r="B46" s="23">
        <v>17.0</v>
      </c>
      <c r="C46" s="23">
        <v>7.0</v>
      </c>
      <c r="D46" s="23">
        <v>10.0</v>
      </c>
      <c r="E46" s="25">
        <f t="shared" si="1"/>
        <v>1190</v>
      </c>
      <c r="F46" s="25">
        <f t="shared" si="2"/>
        <v>0.2472727273</v>
      </c>
      <c r="G46" s="38">
        <v>0.35345454545454547</v>
      </c>
    </row>
    <row r="47">
      <c r="B47" s="23">
        <v>18.0</v>
      </c>
      <c r="C47" s="23">
        <v>7.0</v>
      </c>
      <c r="D47" s="23">
        <v>9.5</v>
      </c>
      <c r="E47" s="25">
        <f t="shared" si="1"/>
        <v>1197</v>
      </c>
      <c r="F47" s="25">
        <f t="shared" si="2"/>
        <v>0.2487272727</v>
      </c>
      <c r="G47" s="38">
        <v>0.36</v>
      </c>
    </row>
    <row r="48">
      <c r="B48" s="23">
        <v>21.0</v>
      </c>
      <c r="C48" s="23">
        <v>7.0</v>
      </c>
      <c r="D48" s="23">
        <v>9.0</v>
      </c>
      <c r="E48" s="25">
        <f t="shared" si="1"/>
        <v>1323</v>
      </c>
      <c r="F48" s="25">
        <f t="shared" si="2"/>
        <v>0.2749090909</v>
      </c>
      <c r="G48" s="38">
        <v>0.3657142857142857</v>
      </c>
    </row>
    <row r="49">
      <c r="B49" s="23">
        <v>26.0</v>
      </c>
      <c r="C49" s="23">
        <v>7.0</v>
      </c>
      <c r="D49" s="23">
        <v>8.5</v>
      </c>
      <c r="E49" s="25">
        <f t="shared" si="1"/>
        <v>1547</v>
      </c>
      <c r="F49" s="25">
        <f t="shared" si="2"/>
        <v>0.3214545455</v>
      </c>
      <c r="G49" s="38">
        <v>0.3657142857142857</v>
      </c>
    </row>
    <row r="50">
      <c r="B50" s="23">
        <v>31.5</v>
      </c>
      <c r="C50" s="23">
        <v>6.0</v>
      </c>
      <c r="D50" s="23">
        <v>11.0</v>
      </c>
      <c r="E50" s="25">
        <f t="shared" si="1"/>
        <v>2079</v>
      </c>
      <c r="F50" s="25">
        <f t="shared" si="2"/>
        <v>0.432</v>
      </c>
      <c r="G50" s="38">
        <v>0.36654545454545456</v>
      </c>
    </row>
    <row r="51">
      <c r="B51" s="23">
        <v>27.0</v>
      </c>
      <c r="C51" s="23">
        <v>7.0</v>
      </c>
      <c r="D51" s="23">
        <v>9.0</v>
      </c>
      <c r="E51" s="25">
        <f t="shared" si="1"/>
        <v>1701</v>
      </c>
      <c r="F51" s="25">
        <f t="shared" si="2"/>
        <v>0.3534545455</v>
      </c>
      <c r="G51" s="38">
        <v>0.3730909090909091</v>
      </c>
    </row>
    <row r="52">
      <c r="B52" s="23">
        <v>19.0</v>
      </c>
      <c r="C52" s="23">
        <v>7.0</v>
      </c>
      <c r="D52" s="23">
        <v>10.0</v>
      </c>
      <c r="E52" s="25">
        <f t="shared" si="1"/>
        <v>1330</v>
      </c>
      <c r="F52" s="25">
        <f t="shared" si="2"/>
        <v>0.2763636364</v>
      </c>
      <c r="G52" s="38">
        <v>0.3869090909090909</v>
      </c>
    </row>
    <row r="53">
      <c r="B53" s="23">
        <v>17.0</v>
      </c>
      <c r="C53" s="23">
        <v>7.0</v>
      </c>
      <c r="D53" s="23">
        <v>9.5</v>
      </c>
      <c r="E53" s="25">
        <f t="shared" si="1"/>
        <v>1130.5</v>
      </c>
      <c r="F53" s="25">
        <f t="shared" si="2"/>
        <v>0.2349090909</v>
      </c>
      <c r="G53" s="38">
        <v>0.3869090909090909</v>
      </c>
    </row>
    <row r="54">
      <c r="B54" s="23">
        <v>15.0</v>
      </c>
      <c r="C54" s="23">
        <v>7.0</v>
      </c>
      <c r="D54" s="23">
        <v>9.5</v>
      </c>
      <c r="E54" s="25">
        <f t="shared" si="1"/>
        <v>997.5</v>
      </c>
      <c r="F54" s="25">
        <f t="shared" si="2"/>
        <v>0.2072727273</v>
      </c>
      <c r="G54" s="38">
        <v>0.3927272727272727</v>
      </c>
    </row>
    <row r="55">
      <c r="B55" s="23">
        <v>22.5</v>
      </c>
      <c r="C55" s="23">
        <v>7.0</v>
      </c>
      <c r="D55" s="23">
        <v>11.0</v>
      </c>
      <c r="E55" s="25">
        <f t="shared" si="1"/>
        <v>1732.5</v>
      </c>
      <c r="F55" s="25">
        <f t="shared" si="2"/>
        <v>0.36</v>
      </c>
      <c r="G55" s="38">
        <v>0.4072727272727273</v>
      </c>
    </row>
    <row r="56">
      <c r="B56" s="23">
        <v>31.5</v>
      </c>
      <c r="C56" s="23">
        <v>7.0</v>
      </c>
      <c r="D56" s="23">
        <v>9.5</v>
      </c>
      <c r="E56" s="25">
        <f t="shared" si="1"/>
        <v>2094.75</v>
      </c>
      <c r="F56" s="25">
        <f t="shared" si="2"/>
        <v>0.4352727273</v>
      </c>
      <c r="G56" s="38">
        <v>0.432</v>
      </c>
    </row>
    <row r="57">
      <c r="B57" s="23">
        <v>30.5</v>
      </c>
      <c r="C57" s="23">
        <v>7.0</v>
      </c>
      <c r="D57" s="23">
        <v>11.0</v>
      </c>
      <c r="E57" s="25">
        <f t="shared" si="1"/>
        <v>2348.5</v>
      </c>
      <c r="F57" s="25">
        <f t="shared" si="2"/>
        <v>0.488</v>
      </c>
      <c r="G57" s="38">
        <v>0.43527272727272726</v>
      </c>
    </row>
    <row r="58">
      <c r="B58" s="23">
        <v>28.0</v>
      </c>
      <c r="C58" s="23">
        <v>7.0</v>
      </c>
      <c r="D58" s="23">
        <v>10.0</v>
      </c>
      <c r="E58" s="25">
        <f t="shared" si="1"/>
        <v>1960</v>
      </c>
      <c r="F58" s="25">
        <f t="shared" si="2"/>
        <v>0.4072727273</v>
      </c>
      <c r="G58" s="38">
        <v>0.464</v>
      </c>
    </row>
    <row r="59">
      <c r="B59" s="23">
        <v>28.0</v>
      </c>
      <c r="C59" s="23">
        <v>7.0</v>
      </c>
      <c r="D59" s="23">
        <v>9.5</v>
      </c>
      <c r="E59" s="25">
        <f t="shared" si="1"/>
        <v>1862</v>
      </c>
      <c r="F59" s="25">
        <f t="shared" si="2"/>
        <v>0.3869090909</v>
      </c>
      <c r="G59" s="38">
        <v>0.46545454545454545</v>
      </c>
    </row>
    <row r="60">
      <c r="B60" s="23">
        <v>27.0</v>
      </c>
      <c r="C60" s="23">
        <v>7.0</v>
      </c>
      <c r="D60" s="23">
        <v>9.5</v>
      </c>
      <c r="E60" s="25">
        <f t="shared" si="1"/>
        <v>1795.5</v>
      </c>
      <c r="F60" s="25">
        <f t="shared" si="2"/>
        <v>0.3730909091</v>
      </c>
      <c r="G60" s="38">
        <v>0.488</v>
      </c>
    </row>
    <row r="61">
      <c r="A61" s="23" t="s">
        <v>207</v>
      </c>
      <c r="B61" s="25">
        <f t="shared" ref="B61:D61" si="3">AVERAGE(B7:B60)</f>
        <v>18.83333333</v>
      </c>
      <c r="C61" s="25">
        <f t="shared" si="3"/>
        <v>6.555555556</v>
      </c>
      <c r="D61" s="25">
        <f t="shared" si="3"/>
        <v>8.916666667</v>
      </c>
      <c r="E61" s="25">
        <f t="shared" si="1"/>
        <v>1100.878086</v>
      </c>
      <c r="F61" s="25">
        <f t="shared" si="2"/>
        <v>0.2287538881</v>
      </c>
    </row>
    <row r="62">
      <c r="A62" s="23" t="s">
        <v>208</v>
      </c>
      <c r="B62" s="25">
        <f t="shared" ref="B62:D62" si="4">AVERAGE(B11:B60)</f>
        <v>20.34</v>
      </c>
      <c r="C62" s="25">
        <f t="shared" si="4"/>
        <v>7.08</v>
      </c>
      <c r="D62" s="25">
        <f t="shared" si="4"/>
        <v>9.63</v>
      </c>
      <c r="E62" s="25">
        <f t="shared" si="1"/>
        <v>1386.789336</v>
      </c>
      <c r="F62" s="25">
        <f t="shared" si="2"/>
        <v>0.2881640179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209</v>
      </c>
      <c r="C1" s="23" t="s">
        <v>210</v>
      </c>
    </row>
    <row r="2">
      <c r="A2" s="39" t="s">
        <v>211</v>
      </c>
      <c r="B2" s="39" t="s">
        <v>212</v>
      </c>
    </row>
    <row r="3">
      <c r="A3" s="40">
        <v>2.2</v>
      </c>
      <c r="B3" s="40">
        <v>35.2</v>
      </c>
    </row>
    <row r="4">
      <c r="A4" s="40">
        <v>2.2</v>
      </c>
      <c r="B4" s="40">
        <v>35.2</v>
      </c>
    </row>
    <row r="5">
      <c r="A5" s="40">
        <v>3.0</v>
      </c>
      <c r="B5" s="40">
        <v>48.0</v>
      </c>
    </row>
    <row r="6">
      <c r="A6" s="40">
        <v>2.8</v>
      </c>
      <c r="B6" s="40">
        <v>44.8</v>
      </c>
    </row>
    <row r="7">
      <c r="A7" s="40">
        <v>2.8</v>
      </c>
      <c r="B7" s="40">
        <v>44.8</v>
      </c>
    </row>
    <row r="8">
      <c r="A8" s="40">
        <v>2.0</v>
      </c>
      <c r="B8" s="40">
        <v>32.0</v>
      </c>
    </row>
    <row r="9">
      <c r="A9" s="40">
        <v>2.0</v>
      </c>
      <c r="B9" s="40">
        <v>32.0</v>
      </c>
    </row>
    <row r="10">
      <c r="A10" s="40">
        <v>0.8</v>
      </c>
      <c r="B10" s="40">
        <v>12.8</v>
      </c>
    </row>
    <row r="11">
      <c r="A11" s="40">
        <v>2.2</v>
      </c>
      <c r="B11" s="40">
        <v>35.2</v>
      </c>
    </row>
    <row r="12">
      <c r="A12" s="40">
        <v>4.2</v>
      </c>
      <c r="B12" s="40">
        <v>67.2</v>
      </c>
    </row>
    <row r="13">
      <c r="A13" s="40">
        <v>2.0</v>
      </c>
      <c r="B13" s="40">
        <v>32.0</v>
      </c>
    </row>
    <row r="14">
      <c r="A14" s="40">
        <v>2.0</v>
      </c>
      <c r="B14" s="40">
        <v>32.0</v>
      </c>
    </row>
    <row r="15">
      <c r="A15" s="40">
        <v>2.4</v>
      </c>
      <c r="B15" s="40">
        <v>38.4</v>
      </c>
    </row>
    <row r="16">
      <c r="A16" s="40">
        <v>2.8</v>
      </c>
      <c r="B16" s="40">
        <v>44.8</v>
      </c>
    </row>
    <row r="17">
      <c r="A17" s="40">
        <v>1.2</v>
      </c>
      <c r="B17" s="40">
        <v>19.2</v>
      </c>
    </row>
    <row r="18">
      <c r="A18" s="40">
        <v>2.4</v>
      </c>
      <c r="B18" s="40">
        <v>38.4</v>
      </c>
    </row>
    <row r="19">
      <c r="A19" s="40">
        <v>1.6</v>
      </c>
      <c r="B19" s="40">
        <v>25.6</v>
      </c>
    </row>
    <row r="20">
      <c r="A20" s="40">
        <v>1.8</v>
      </c>
      <c r="B20" s="40">
        <v>28.8</v>
      </c>
    </row>
    <row r="21">
      <c r="A21" s="40">
        <v>2.8</v>
      </c>
      <c r="B21" s="40">
        <v>44.8</v>
      </c>
    </row>
    <row r="22">
      <c r="A22" s="40">
        <v>2.8</v>
      </c>
      <c r="B22" s="40">
        <v>44.8</v>
      </c>
    </row>
    <row r="23">
      <c r="A23" s="40">
        <v>1.8</v>
      </c>
      <c r="B23" s="40">
        <v>28.8</v>
      </c>
    </row>
    <row r="24">
      <c r="A24" s="40">
        <v>1.2</v>
      </c>
      <c r="B24" s="40">
        <v>19.2</v>
      </c>
    </row>
    <row r="25">
      <c r="A25" s="40">
        <v>4.4</v>
      </c>
      <c r="B25" s="40">
        <v>70.4</v>
      </c>
    </row>
    <row r="26">
      <c r="A26" s="40">
        <v>1.2</v>
      </c>
      <c r="B26" s="40">
        <v>19.2</v>
      </c>
    </row>
    <row r="27">
      <c r="A27" s="40">
        <v>2.2</v>
      </c>
      <c r="B27" s="40">
        <v>35.2</v>
      </c>
    </row>
    <row r="28">
      <c r="A28" s="40">
        <v>1.2</v>
      </c>
      <c r="B28" s="40">
        <v>19.2</v>
      </c>
    </row>
    <row r="29">
      <c r="A29" s="40">
        <v>1.8</v>
      </c>
      <c r="B29" s="40">
        <v>28.8</v>
      </c>
    </row>
    <row r="30">
      <c r="A30" s="40">
        <v>2.0</v>
      </c>
      <c r="B30" s="40">
        <v>32.0</v>
      </c>
    </row>
    <row r="31">
      <c r="A31" s="40">
        <v>2.0</v>
      </c>
      <c r="B31" s="40">
        <v>32.0</v>
      </c>
    </row>
    <row r="32">
      <c r="A32" s="25">
        <f t="shared" ref="A32:B32" si="1">AVERAGE(A2:A31)</f>
        <v>2.2</v>
      </c>
      <c r="B32" s="25">
        <f t="shared" si="1"/>
        <v>35.2</v>
      </c>
    </row>
  </sheetData>
  <drawing r:id="rId1"/>
</worksheet>
</file>