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20" yWindow="90" windowWidth="9675" windowHeight="10755" activeTab="1"/>
  </bookViews>
  <sheets>
    <sheet name="Successes" sheetId="11" r:id="rId1"/>
    <sheet name="Found Deals" sheetId="10" r:id="rId2"/>
    <sheet name="Islands" sheetId="8" r:id="rId3"/>
    <sheet name="Sugar Cane" sheetId="9" r:id="rId4"/>
    <sheet name="Deals2" sheetId="7" r:id="rId5"/>
    <sheet name="Profits2" sheetId="6" r:id="rId6"/>
  </sheets>
  <definedNames>
    <definedName name="_xlnm._FilterDatabase" localSheetId="3" hidden="1">'Sugar Cane'!$A$1:$J$7</definedName>
  </definedNames>
  <calcPr calcId="124519"/>
</workbook>
</file>

<file path=xl/calcChain.xml><?xml version="1.0" encoding="utf-8"?>
<calcChain xmlns="http://schemas.openxmlformats.org/spreadsheetml/2006/main">
  <c r="G3" i="11"/>
  <c r="H3" s="1"/>
  <c r="G2"/>
  <c r="F3"/>
  <c r="F2"/>
  <c r="B3"/>
  <c r="B2"/>
  <c r="A3"/>
  <c r="A2"/>
  <c r="L5" i="10"/>
  <c r="J5"/>
  <c r="K5"/>
  <c r="H5"/>
  <c r="N2"/>
  <c r="M2"/>
  <c r="K2"/>
  <c r="M5"/>
  <c r="M4"/>
  <c r="M3"/>
  <c r="K3"/>
  <c r="K4"/>
  <c r="N4" i="9"/>
  <c r="M4" s="1"/>
  <c r="L4"/>
  <c r="K4" s="1"/>
  <c r="N6"/>
  <c r="M6" s="1"/>
  <c r="L6"/>
  <c r="K6" s="1"/>
  <c r="N5"/>
  <c r="M5" s="1"/>
  <c r="L5"/>
  <c r="K5" s="1"/>
  <c r="N3"/>
  <c r="M3" s="1"/>
  <c r="L3"/>
  <c r="K3" s="1"/>
  <c r="N7"/>
  <c r="M7" s="1"/>
  <c r="L7"/>
  <c r="K7" s="1"/>
  <c r="M2"/>
  <c r="N2"/>
  <c r="K2"/>
  <c r="L2"/>
  <c r="H2" i="11" l="1"/>
  <c r="I118" i="7"/>
  <c r="I117"/>
  <c r="I116"/>
  <c r="I115"/>
  <c r="I114"/>
  <c r="I113"/>
  <c r="I112"/>
  <c r="I111"/>
  <c r="I110"/>
  <c r="I109"/>
  <c r="I108"/>
  <c r="I107"/>
  <c r="I106"/>
  <c r="I105"/>
  <c r="I104"/>
  <c r="I103"/>
  <c r="I102"/>
  <c r="I10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I3"/>
  <c r="I2"/>
  <c r="C7" i="8" l="1"/>
  <c r="G82" i="7"/>
  <c r="H82" s="1"/>
  <c r="G81"/>
  <c r="H81" s="1"/>
  <c r="G80"/>
  <c r="H80" s="1"/>
  <c r="G79"/>
  <c r="H79" s="1"/>
  <c r="G78"/>
  <c r="H78" s="1"/>
  <c r="G77"/>
  <c r="H77" s="1"/>
  <c r="G76"/>
  <c r="H76" s="1"/>
  <c r="G75"/>
  <c r="H75" s="1"/>
  <c r="G74"/>
  <c r="H74" s="1"/>
  <c r="G73"/>
  <c r="H73" s="1"/>
  <c r="G72"/>
  <c r="H72" s="1"/>
  <c r="G71"/>
  <c r="H71" s="1"/>
  <c r="G70"/>
  <c r="H70" s="1"/>
  <c r="G69"/>
  <c r="H69" s="1"/>
  <c r="G68"/>
  <c r="H68" s="1"/>
  <c r="G67"/>
  <c r="H67" s="1"/>
  <c r="G66"/>
  <c r="H66" s="1"/>
  <c r="G65"/>
  <c r="H65" s="1"/>
  <c r="G64"/>
  <c r="H64" s="1"/>
  <c r="G63"/>
  <c r="H63" s="1"/>
  <c r="G62"/>
  <c r="H62" s="1"/>
  <c r="G61"/>
  <c r="H61" s="1"/>
  <c r="G60"/>
  <c r="H60" s="1"/>
  <c r="G59"/>
  <c r="H59" s="1"/>
  <c r="G58"/>
  <c r="H58" s="1"/>
  <c r="G57"/>
  <c r="H57" s="1"/>
  <c r="G56"/>
  <c r="H56" s="1"/>
  <c r="G55"/>
  <c r="H55" s="1"/>
  <c r="G54"/>
  <c r="H54" s="1"/>
  <c r="G53"/>
  <c r="H53" s="1"/>
  <c r="G52"/>
  <c r="H52" s="1"/>
  <c r="G51"/>
  <c r="H51" s="1"/>
  <c r="G50"/>
  <c r="H50" s="1"/>
  <c r="G49"/>
  <c r="H49" s="1"/>
  <c r="G48"/>
  <c r="H48" s="1"/>
  <c r="G47"/>
  <c r="H47" s="1"/>
  <c r="J47" s="1"/>
  <c r="G46"/>
  <c r="H46" s="1"/>
  <c r="G45"/>
  <c r="H45" s="1"/>
  <c r="G44"/>
  <c r="H44" s="1"/>
  <c r="G43"/>
  <c r="H43" s="1"/>
  <c r="G42"/>
  <c r="H42" s="1"/>
  <c r="G41"/>
  <c r="H41" s="1"/>
  <c r="G40"/>
  <c r="H40" s="1"/>
  <c r="G39"/>
  <c r="H39" s="1"/>
  <c r="G38"/>
  <c r="H38" s="1"/>
  <c r="G37"/>
  <c r="H37" s="1"/>
  <c r="G36"/>
  <c r="H36" s="1"/>
  <c r="G35"/>
  <c r="H35" s="1"/>
  <c r="G34"/>
  <c r="H34" s="1"/>
  <c r="G33"/>
  <c r="H33" s="1"/>
  <c r="G32"/>
  <c r="H32" s="1"/>
  <c r="G31"/>
  <c r="H31" s="1"/>
  <c r="G30"/>
  <c r="H30" s="1"/>
  <c r="G29"/>
  <c r="H29" s="1"/>
  <c r="G28"/>
  <c r="H28" s="1"/>
  <c r="G27"/>
  <c r="H27" s="1"/>
  <c r="J27" s="1"/>
  <c r="G26"/>
  <c r="H26" s="1"/>
  <c r="G25"/>
  <c r="H25" s="1"/>
  <c r="G24"/>
  <c r="H24" s="1"/>
  <c r="G23"/>
  <c r="H23" s="1"/>
  <c r="G22"/>
  <c r="H22" s="1"/>
  <c r="G21"/>
  <c r="H21" s="1"/>
  <c r="G20"/>
  <c r="H20" s="1"/>
  <c r="G19"/>
  <c r="H19" s="1"/>
  <c r="G18"/>
  <c r="H18" s="1"/>
  <c r="G17"/>
  <c r="H17" s="1"/>
  <c r="G16"/>
  <c r="H16" s="1"/>
  <c r="G15"/>
  <c r="H15" s="1"/>
  <c r="G14"/>
  <c r="H14" s="1"/>
  <c r="G13"/>
  <c r="H13" s="1"/>
  <c r="G12"/>
  <c r="H12" s="1"/>
  <c r="G11"/>
  <c r="H11" s="1"/>
  <c r="G10"/>
  <c r="H10" s="1"/>
  <c r="G9"/>
  <c r="H9" s="1"/>
  <c r="G8"/>
  <c r="H8" s="1"/>
  <c r="G7"/>
  <c r="H7" s="1"/>
  <c r="G6"/>
  <c r="H6" s="1"/>
  <c r="G5"/>
  <c r="H5" s="1"/>
  <c r="G3"/>
  <c r="H3" s="1"/>
  <c r="G4"/>
  <c r="H4" s="1"/>
  <c r="G2"/>
  <c r="H2" s="1"/>
  <c r="L13" i="8"/>
  <c r="K13"/>
  <c r="K12"/>
  <c r="J13"/>
  <c r="J12"/>
  <c r="J11"/>
  <c r="I13"/>
  <c r="I12"/>
  <c r="I11"/>
  <c r="I10"/>
  <c r="H13"/>
  <c r="H12"/>
  <c r="H11"/>
  <c r="H10"/>
  <c r="H9"/>
  <c r="G13"/>
  <c r="G12"/>
  <c r="G11"/>
  <c r="G10"/>
  <c r="G9"/>
  <c r="G8"/>
  <c r="F13"/>
  <c r="F12"/>
  <c r="F11"/>
  <c r="F10"/>
  <c r="F9"/>
  <c r="F8"/>
  <c r="F7"/>
  <c r="E13"/>
  <c r="E12"/>
  <c r="E11"/>
  <c r="E10"/>
  <c r="E9"/>
  <c r="E8"/>
  <c r="E7"/>
  <c r="E6"/>
  <c r="D13"/>
  <c r="D12"/>
  <c r="D11"/>
  <c r="D10"/>
  <c r="D9"/>
  <c r="D8"/>
  <c r="D7"/>
  <c r="D6"/>
  <c r="C13"/>
  <c r="C12"/>
  <c r="C11"/>
  <c r="C10"/>
  <c r="C9"/>
  <c r="C8"/>
  <c r="C6"/>
  <c r="D5"/>
  <c r="C5"/>
  <c r="M14"/>
  <c r="L14"/>
  <c r="G99" i="7" s="1"/>
  <c r="H99" s="1"/>
  <c r="K14" i="8"/>
  <c r="G107" i="7" s="1"/>
  <c r="H107" s="1"/>
  <c r="J14" i="8"/>
  <c r="G115" i="7" s="1"/>
  <c r="H115" s="1"/>
  <c r="I14" i="8"/>
  <c r="G87" i="7" s="1"/>
  <c r="H87" s="1"/>
  <c r="H14" i="8"/>
  <c r="G95" i="7" s="1"/>
  <c r="H95" s="1"/>
  <c r="G14" i="8"/>
  <c r="F14"/>
  <c r="G111" i="7" s="1"/>
  <c r="H111" s="1"/>
  <c r="E14" i="8"/>
  <c r="G83" i="7" s="1"/>
  <c r="H83" s="1"/>
  <c r="D14" i="8"/>
  <c r="C14"/>
  <c r="C4"/>
  <c r="B14"/>
  <c r="B13"/>
  <c r="B12"/>
  <c r="B11"/>
  <c r="B10"/>
  <c r="B9"/>
  <c r="B8"/>
  <c r="B7"/>
  <c r="B6"/>
  <c r="B5"/>
  <c r="B4"/>
  <c r="B3"/>
  <c r="N1"/>
  <c r="M1"/>
  <c r="L1"/>
  <c r="K1"/>
  <c r="J1"/>
  <c r="I1"/>
  <c r="H1"/>
  <c r="G1"/>
  <c r="F1"/>
  <c r="E1"/>
  <c r="D1"/>
  <c r="B1"/>
  <c r="C1"/>
  <c r="A13" i="6"/>
  <c r="B14"/>
  <c r="B13"/>
  <c r="B12"/>
  <c r="B11"/>
  <c r="B10"/>
  <c r="B9"/>
  <c r="B8"/>
  <c r="B7"/>
  <c r="B6"/>
  <c r="B5"/>
  <c r="B4"/>
  <c r="B3"/>
  <c r="B2"/>
  <c r="A14"/>
  <c r="A12"/>
  <c r="A11"/>
  <c r="A10"/>
  <c r="A9"/>
  <c r="A8"/>
  <c r="A7"/>
  <c r="A6"/>
  <c r="A5"/>
  <c r="A4"/>
  <c r="A3"/>
  <c r="A2"/>
  <c r="J62" i="7"/>
  <c r="K62" s="1"/>
  <c r="J57"/>
  <c r="K57" s="1"/>
  <c r="J81"/>
  <c r="K81" s="1"/>
  <c r="J76"/>
  <c r="K76" s="1"/>
  <c r="J73"/>
  <c r="K73" s="1"/>
  <c r="J68"/>
  <c r="J53"/>
  <c r="J41"/>
  <c r="F6" i="6" s="1"/>
  <c r="J35" i="7"/>
  <c r="J17"/>
  <c r="J8"/>
  <c r="J5"/>
  <c r="J2"/>
  <c r="G103" l="1"/>
  <c r="H103" s="1"/>
  <c r="J103" s="1"/>
  <c r="H4" i="10"/>
  <c r="G91" i="7"/>
  <c r="H91" s="1"/>
  <c r="J91" s="1"/>
  <c r="H3" i="10"/>
  <c r="H2"/>
  <c r="J49" i="7"/>
  <c r="K49" s="1"/>
  <c r="J95"/>
  <c r="J10" i="6"/>
  <c r="J34" i="7"/>
  <c r="K34" s="1"/>
  <c r="J36"/>
  <c r="J38"/>
  <c r="K38" s="1"/>
  <c r="K5"/>
  <c r="K17"/>
  <c r="K41"/>
  <c r="K53"/>
  <c r="J10"/>
  <c r="J15"/>
  <c r="J19"/>
  <c r="J21"/>
  <c r="K21" s="1"/>
  <c r="J25"/>
  <c r="K8"/>
  <c r="K27"/>
  <c r="K35"/>
  <c r="K47"/>
  <c r="J9"/>
  <c r="J16"/>
  <c r="J18"/>
  <c r="J22"/>
  <c r="J24"/>
  <c r="J28"/>
  <c r="J33"/>
  <c r="J37"/>
  <c r="K2"/>
  <c r="J71"/>
  <c r="K68"/>
  <c r="J70"/>
  <c r="J72"/>
  <c r="J115"/>
  <c r="J78"/>
  <c r="I8" i="6" s="1"/>
  <c r="J80" i="7"/>
  <c r="J59"/>
  <c r="C7" i="6" s="1"/>
  <c r="J61" i="7"/>
  <c r="K9" i="6" s="1"/>
  <c r="G86" i="7"/>
  <c r="G90"/>
  <c r="H90" s="1"/>
  <c r="G94"/>
  <c r="H94" s="1"/>
  <c r="J94" s="1"/>
  <c r="G98"/>
  <c r="G102"/>
  <c r="G106"/>
  <c r="G110"/>
  <c r="H110" s="1"/>
  <c r="J110" s="1"/>
  <c r="K110" s="1"/>
  <c r="G114"/>
  <c r="G118"/>
  <c r="H118" s="1"/>
  <c r="J43"/>
  <c r="J51"/>
  <c r="J55"/>
  <c r="G85"/>
  <c r="G89"/>
  <c r="G93"/>
  <c r="G97"/>
  <c r="G101"/>
  <c r="G105"/>
  <c r="G109"/>
  <c r="G113"/>
  <c r="G117"/>
  <c r="J107"/>
  <c r="J79"/>
  <c r="J60"/>
  <c r="G84"/>
  <c r="G88"/>
  <c r="G92"/>
  <c r="G96"/>
  <c r="G100"/>
  <c r="G104"/>
  <c r="G108"/>
  <c r="G112"/>
  <c r="G116"/>
  <c r="J42"/>
  <c r="J44"/>
  <c r="J50"/>
  <c r="J54"/>
  <c r="J83"/>
  <c r="J4"/>
  <c r="K4" s="1"/>
  <c r="J6"/>
  <c r="J20"/>
  <c r="K20" s="1"/>
  <c r="J32"/>
  <c r="J40"/>
  <c r="J45"/>
  <c r="J52"/>
  <c r="J90"/>
  <c r="J66"/>
  <c r="K66" s="1"/>
  <c r="J75"/>
  <c r="K75" s="1"/>
  <c r="J77"/>
  <c r="E7" i="6" s="1"/>
  <c r="J82" i="7"/>
  <c r="J64"/>
  <c r="J3"/>
  <c r="K3" s="1"/>
  <c r="J7"/>
  <c r="J14"/>
  <c r="J23"/>
  <c r="J26"/>
  <c r="J39"/>
  <c r="J46"/>
  <c r="J48"/>
  <c r="J87"/>
  <c r="J99"/>
  <c r="J65"/>
  <c r="J67"/>
  <c r="K67" s="1"/>
  <c r="J69"/>
  <c r="J74"/>
  <c r="J56"/>
  <c r="I2" i="6" s="1"/>
  <c r="J58" i="7"/>
  <c r="K58" s="1"/>
  <c r="J63"/>
  <c r="J111"/>
  <c r="J12"/>
  <c r="K12" s="1"/>
  <c r="J31"/>
  <c r="K31" s="1"/>
  <c r="J13"/>
  <c r="K13" s="1"/>
  <c r="J29"/>
  <c r="F2" i="6" s="1"/>
  <c r="J30" i="7"/>
  <c r="K30" s="1"/>
  <c r="J11"/>
  <c r="K11" s="1"/>
  <c r="J4" i="10" l="1"/>
  <c r="L4" s="1"/>
  <c r="J3"/>
  <c r="J2"/>
  <c r="C2" i="6"/>
  <c r="F9"/>
  <c r="J5"/>
  <c r="H116" i="7"/>
  <c r="J116" s="1"/>
  <c r="H100"/>
  <c r="J100" s="1"/>
  <c r="H14" i="6" s="1"/>
  <c r="H84" i="7"/>
  <c r="J84" s="1"/>
  <c r="I3" i="6" s="1"/>
  <c r="H117" i="7"/>
  <c r="J117" s="1"/>
  <c r="H101"/>
  <c r="J101" s="1"/>
  <c r="K101" s="1"/>
  <c r="H85"/>
  <c r="J85" s="1"/>
  <c r="D5" i="6" s="1"/>
  <c r="H102" i="7"/>
  <c r="J102" s="1"/>
  <c r="H86"/>
  <c r="J86" s="1"/>
  <c r="H104"/>
  <c r="J104" s="1"/>
  <c r="H7" i="6" s="1"/>
  <c r="H88" i="7"/>
  <c r="J88" s="1"/>
  <c r="G9" i="6" s="1"/>
  <c r="H105" i="7"/>
  <c r="J105" s="1"/>
  <c r="C9" i="6" s="1"/>
  <c r="H89" i="7"/>
  <c r="J89" s="1"/>
  <c r="H106"/>
  <c r="J106" s="1"/>
  <c r="G10" i="6" s="1"/>
  <c r="H108" i="7"/>
  <c r="J108" s="1"/>
  <c r="H92"/>
  <c r="J92" s="1"/>
  <c r="K92" s="1"/>
  <c r="H109"/>
  <c r="J109" s="1"/>
  <c r="H93"/>
  <c r="J93" s="1"/>
  <c r="G4" i="6" s="1"/>
  <c r="H112" i="7"/>
  <c r="J112" s="1"/>
  <c r="E6" i="6" s="1"/>
  <c r="H96" i="7"/>
  <c r="J96" s="1"/>
  <c r="J8" i="6" s="1"/>
  <c r="H113" i="7"/>
  <c r="J113" s="1"/>
  <c r="H97"/>
  <c r="J97" s="1"/>
  <c r="E10" i="6" s="1"/>
  <c r="H114" i="7"/>
  <c r="J114" s="1"/>
  <c r="D9" i="6" s="1"/>
  <c r="H98" i="7"/>
  <c r="J98" s="1"/>
  <c r="J118"/>
  <c r="K111"/>
  <c r="K99"/>
  <c r="K90"/>
  <c r="K83"/>
  <c r="K87"/>
  <c r="K115"/>
  <c r="K91"/>
  <c r="K103"/>
  <c r="K94"/>
  <c r="K107"/>
  <c r="F12" i="6"/>
  <c r="K95" i="7"/>
  <c r="H5" i="6"/>
  <c r="I5"/>
  <c r="K36" i="7"/>
  <c r="C6" i="6"/>
  <c r="K11"/>
  <c r="J4"/>
  <c r="I7"/>
  <c r="E8"/>
  <c r="D6"/>
  <c r="K39" i="7"/>
  <c r="K52"/>
  <c r="J7" i="6"/>
  <c r="K54" i="7"/>
  <c r="D7" i="6"/>
  <c r="K48" i="7"/>
  <c r="F4" i="6"/>
  <c r="K23" i="7"/>
  <c r="K40"/>
  <c r="I6" i="6"/>
  <c r="K44" i="7"/>
  <c r="G7" i="6"/>
  <c r="K51" i="7"/>
  <c r="K24"/>
  <c r="J2" i="6"/>
  <c r="K9" i="7"/>
  <c r="C5" i="6"/>
  <c r="K29" i="7"/>
  <c r="I4" i="6"/>
  <c r="K26" i="7"/>
  <c r="J6" i="6"/>
  <c r="K45" i="7"/>
  <c r="G2" i="6"/>
  <c r="K6" i="7"/>
  <c r="F7" i="6"/>
  <c r="K50" i="7"/>
  <c r="K7" i="6"/>
  <c r="K55" i="7"/>
  <c r="K4" i="6"/>
  <c r="K28" i="7"/>
  <c r="H3" i="6"/>
  <c r="K16" i="7"/>
  <c r="H4" i="6"/>
  <c r="K25" i="7"/>
  <c r="K2" i="6"/>
  <c r="K10" i="7"/>
  <c r="G5" i="6"/>
  <c r="K33" i="7"/>
  <c r="J3" i="6"/>
  <c r="K18" i="7"/>
  <c r="G3" i="6"/>
  <c r="K15" i="7"/>
  <c r="H2" i="6"/>
  <c r="K7" i="7"/>
  <c r="K6" i="6"/>
  <c r="K46" i="7"/>
  <c r="F3" i="6"/>
  <c r="K14" i="7"/>
  <c r="F5" i="6"/>
  <c r="K32" i="7"/>
  <c r="G6" i="6"/>
  <c r="K42" i="7"/>
  <c r="H6" i="6"/>
  <c r="K43" i="7"/>
  <c r="K5" i="6"/>
  <c r="K37" i="7"/>
  <c r="E4" i="6"/>
  <c r="K22" i="7"/>
  <c r="K3" i="6"/>
  <c r="K19" i="7"/>
  <c r="K10" i="6"/>
  <c r="K82" i="7"/>
  <c r="I10" i="6"/>
  <c r="K80" i="7"/>
  <c r="K71"/>
  <c r="I9" i="6"/>
  <c r="K69" i="7"/>
  <c r="C8" i="6"/>
  <c r="K8"/>
  <c r="K64" i="7"/>
  <c r="H10" i="6"/>
  <c r="K79" i="7"/>
  <c r="F8" i="6"/>
  <c r="K59" i="7"/>
  <c r="F10" i="6"/>
  <c r="K77" i="7"/>
  <c r="G8" i="6"/>
  <c r="K60" i="7"/>
  <c r="H8" i="6"/>
  <c r="K61" i="7"/>
  <c r="H9" i="6"/>
  <c r="K70" i="7"/>
  <c r="K63"/>
  <c r="K78"/>
  <c r="J9" i="6"/>
  <c r="K72" i="7"/>
  <c r="G11" i="6"/>
  <c r="I13"/>
  <c r="J11"/>
  <c r="D14"/>
  <c r="E13"/>
  <c r="C11"/>
  <c r="J12"/>
  <c r="D8"/>
  <c r="C10"/>
  <c r="E9"/>
  <c r="E12"/>
  <c r="D2"/>
  <c r="E2"/>
  <c r="D4"/>
  <c r="E5"/>
  <c r="E3"/>
  <c r="D3"/>
  <c r="D10"/>
  <c r="C4"/>
  <c r="L3" i="10" l="1"/>
  <c r="C3" i="11"/>
  <c r="L2" i="10"/>
  <c r="D2" i="11" s="1"/>
  <c r="I2" s="1"/>
  <c r="C2"/>
  <c r="C3" i="6"/>
  <c r="H12"/>
  <c r="K97" i="7"/>
  <c r="K93"/>
  <c r="D12" i="6"/>
  <c r="K106" i="7"/>
  <c r="H13" i="6"/>
  <c r="F13"/>
  <c r="K104" i="7"/>
  <c r="K116"/>
  <c r="I14" i="6"/>
  <c r="G14"/>
  <c r="K114" i="7"/>
  <c r="E14" i="6"/>
  <c r="K112" i="7"/>
  <c r="J13" i="6"/>
  <c r="K108" i="7"/>
  <c r="K88"/>
  <c r="H11" i="6"/>
  <c r="K85" i="7"/>
  <c r="E11" i="6"/>
  <c r="K12"/>
  <c r="K100" i="7"/>
  <c r="K98"/>
  <c r="I12" i="6"/>
  <c r="K96" i="7"/>
  <c r="G12" i="6"/>
  <c r="K105" i="7"/>
  <c r="G13" i="6"/>
  <c r="D13"/>
  <c r="K102" i="7"/>
  <c r="K84"/>
  <c r="D11" i="6"/>
  <c r="K113" i="7"/>
  <c r="F14" i="6"/>
  <c r="K109" i="7"/>
  <c r="K13" i="6"/>
  <c r="K89" i="7"/>
  <c r="I11" i="6"/>
  <c r="K86" i="7"/>
  <c r="F11" i="6"/>
  <c r="K117" i="7"/>
  <c r="J14" i="6"/>
  <c r="L8"/>
  <c r="C15"/>
  <c r="K118" i="7"/>
  <c r="K14" i="6"/>
  <c r="L6"/>
  <c r="L7"/>
  <c r="L9"/>
  <c r="L4"/>
  <c r="L2"/>
  <c r="L5"/>
  <c r="L3"/>
  <c r="L10"/>
  <c r="E2" i="11" l="1"/>
  <c r="D3"/>
  <c r="J15" i="6"/>
  <c r="I15"/>
  <c r="L13"/>
  <c r="E15"/>
  <c r="F15"/>
  <c r="G15"/>
  <c r="K15"/>
  <c r="B16"/>
  <c r="L12"/>
  <c r="L11"/>
  <c r="H15"/>
  <c r="D15"/>
  <c r="L14"/>
  <c r="E3" i="11" l="1"/>
  <c r="I3"/>
  <c r="L15" i="6"/>
</calcChain>
</file>

<file path=xl/sharedStrings.xml><?xml version="1.0" encoding="utf-8"?>
<sst xmlns="http://schemas.openxmlformats.org/spreadsheetml/2006/main" count="449" uniqueCount="75">
  <si>
    <t>COMMODITY</t>
  </si>
  <si>
    <t>HEMP</t>
  </si>
  <si>
    <t>VOLUME</t>
  </si>
  <si>
    <t>Buy Price</t>
  </si>
  <si>
    <t>TERRA</t>
  </si>
  <si>
    <t>IRON</t>
  </si>
  <si>
    <t>WOOD</t>
  </si>
  <si>
    <t>SAKEJIMA</t>
  </si>
  <si>
    <t>VIRIDIS</t>
  </si>
  <si>
    <t>LIMA</t>
  </si>
  <si>
    <t>HARMATTAN</t>
  </si>
  <si>
    <t>MADDER</t>
  </si>
  <si>
    <t>ELDERBERRIES</t>
  </si>
  <si>
    <t>BROOM FLOWER</t>
  </si>
  <si>
    <t>SINCOSITE</t>
  </si>
  <si>
    <t>YARROW</t>
  </si>
  <si>
    <t>LEUSHITE</t>
  </si>
  <si>
    <t>bIsland</t>
  </si>
  <si>
    <t>sIsland</t>
  </si>
  <si>
    <t>CORONA REEF</t>
  </si>
  <si>
    <t>TYPHOON</t>
  </si>
  <si>
    <t>highBid</t>
  </si>
  <si>
    <t>Distance</t>
  </si>
  <si>
    <t>Net Profit</t>
  </si>
  <si>
    <t>Cost</t>
  </si>
  <si>
    <t>Revenue</t>
  </si>
  <si>
    <t>DENDRITE</t>
  </si>
  <si>
    <t>Commodity</t>
  </si>
  <si>
    <t>KIRIN</t>
  </si>
  <si>
    <t>CONGLIN</t>
  </si>
  <si>
    <t>CORONO REEF</t>
  </si>
  <si>
    <t>DRAGON</t>
  </si>
  <si>
    <t>OLIVE</t>
  </si>
  <si>
    <t>PROLIX PURLIEU</t>
  </si>
  <si>
    <t>SWAMPFEN</t>
  </si>
  <si>
    <t>STONE</t>
  </si>
  <si>
    <t>HIGHEST</t>
  </si>
  <si>
    <t>BEST DEAL</t>
  </si>
  <si>
    <t>BUTTERFLY WEED</t>
  </si>
  <si>
    <t>keyIsland/Destination</t>
  </si>
  <si>
    <t>DRAGON'S NEST</t>
  </si>
  <si>
    <t>Profit/League</t>
  </si>
  <si>
    <t>Profit Per League:</t>
  </si>
  <si>
    <t>BID</t>
  </si>
  <si>
    <t>sVol2</t>
  </si>
  <si>
    <t>Sell2</t>
  </si>
  <si>
    <t>sVol1</t>
  </si>
  <si>
    <t>Sell1</t>
  </si>
  <si>
    <t>bVol2</t>
  </si>
  <si>
    <t>Buy2</t>
  </si>
  <si>
    <t>bVol1</t>
  </si>
  <si>
    <t>Buy1</t>
  </si>
  <si>
    <t>Island</t>
  </si>
  <si>
    <t>TotalCost</t>
  </si>
  <si>
    <t>GreedyCost</t>
  </si>
  <si>
    <t>Total Profit</t>
  </si>
  <si>
    <t>Greedy Profit</t>
  </si>
  <si>
    <t>On hand bought for 6 a unit, amounting to 1014. Subtract this from total profit.</t>
  </si>
  <si>
    <t>NOTES:</t>
  </si>
  <si>
    <t>eProfit</t>
  </si>
  <si>
    <t>On Hand</t>
  </si>
  <si>
    <t>Volume</t>
  </si>
  <si>
    <t>Bid Volume</t>
  </si>
  <si>
    <t>High Bid</t>
  </si>
  <si>
    <t>Placed</t>
  </si>
  <si>
    <t>DealID</t>
  </si>
  <si>
    <t>Begun</t>
  </si>
  <si>
    <t>Bedone</t>
  </si>
  <si>
    <t>TurnAround</t>
  </si>
  <si>
    <t>Absolute Profit</t>
  </si>
  <si>
    <t>Relative Profit</t>
  </si>
  <si>
    <t>Investment</t>
  </si>
  <si>
    <t>Ambient Value</t>
  </si>
  <si>
    <t>Filled</t>
  </si>
  <si>
    <t>First ever! Jobbing was main expense.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</si>
</sst>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42729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Fill="1"/>
    <xf numFmtId="0" fontId="2" fillId="3" borderId="0" xfId="0" applyFont="1" applyFill="1"/>
    <xf numFmtId="0" fontId="0" fillId="0" borderId="0" xfId="0" applyAlignment="1">
      <alignment horizontal="right"/>
    </xf>
    <xf numFmtId="0" fontId="0" fillId="4" borderId="0" xfId="0" applyFill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Font="1"/>
    <xf numFmtId="1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H2" sqref="H2"/>
    </sheetView>
  </sheetViews>
  <sheetFormatPr defaultRowHeight="15"/>
  <cols>
    <col min="2" max="2" width="12" customWidth="1"/>
    <col min="3" max="3" width="11.85546875" customWidth="1"/>
    <col min="4" max="4" width="14" customWidth="1"/>
    <col min="5" max="5" width="13.5703125" customWidth="1"/>
    <col min="6" max="6" width="6.85546875" customWidth="1"/>
    <col min="7" max="7" width="9.42578125" customWidth="1"/>
  </cols>
  <sheetData>
    <row r="1" spans="1:9">
      <c r="A1" t="s">
        <v>65</v>
      </c>
      <c r="B1" t="s">
        <v>27</v>
      </c>
      <c r="C1" t="s">
        <v>71</v>
      </c>
      <c r="D1" t="s">
        <v>69</v>
      </c>
      <c r="E1" t="s">
        <v>70</v>
      </c>
      <c r="F1" t="s">
        <v>66</v>
      </c>
      <c r="G1" t="s">
        <v>67</v>
      </c>
      <c r="H1" t="s">
        <v>68</v>
      </c>
      <c r="I1" t="s">
        <v>72</v>
      </c>
    </row>
    <row r="2" spans="1:9">
      <c r="A2">
        <f>ROW($A2)</f>
        <v>2</v>
      </c>
      <c r="B2" t="str">
        <f>INDEX('Found Deals'!$B:$B,$A2)</f>
        <v>WOOD</v>
      </c>
      <c r="C2">
        <f ca="1">INDEX('Found Deals'!$J:$J,$A2)</f>
        <v>2888</v>
      </c>
      <c r="D2">
        <f ca="1">INDEX('Found Deals'!$L:$L,$A2)</f>
        <v>472</v>
      </c>
      <c r="E2">
        <f ca="1">INT(100 * ($D2 / $C2)) %</f>
        <v>0.16</v>
      </c>
      <c r="F2" s="11">
        <f>'Found Deals'!M2</f>
        <v>42830</v>
      </c>
      <c r="G2" s="11">
        <f>'Found Deals'!N2</f>
        <v>42830</v>
      </c>
      <c r="H2">
        <f>1 +($G2-$F2)</f>
        <v>1</v>
      </c>
      <c r="I2">
        <f ca="1">IF(G2,$D2/$H2,0)</f>
        <v>472</v>
      </c>
    </row>
    <row r="3" spans="1:9">
      <c r="A3">
        <f>ROW($A3)</f>
        <v>3</v>
      </c>
      <c r="B3" t="str">
        <f>INDEX('Found Deals'!$B:$B,$A3)</f>
        <v>ELDERBERRIES</v>
      </c>
      <c r="C3">
        <f ca="1">INDEX('Found Deals'!$J:$J,$A3)</f>
        <v>16200</v>
      </c>
      <c r="D3">
        <f ca="1">INDEX('Found Deals'!$L:$L,$A3)</f>
        <v>27611</v>
      </c>
      <c r="E3">
        <f ca="1">INT(100 * ($D3 / $C3)) %</f>
        <v>1.7</v>
      </c>
      <c r="F3" s="11">
        <f>'Found Deals'!M3</f>
        <v>42830</v>
      </c>
      <c r="G3" s="11" t="b">
        <f>'Found Deals'!N3</f>
        <v>0</v>
      </c>
      <c r="H3">
        <f>IF(G3,1 +($G3-$F3),0)</f>
        <v>0</v>
      </c>
      <c r="I3">
        <f>IF(G3,$D3/$H3,0)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>
      <selection activeCell="N3" sqref="N3"/>
    </sheetView>
  </sheetViews>
  <sheetFormatPr defaultRowHeight="15"/>
  <cols>
    <col min="1" max="1" width="16.140625" style="15" customWidth="1"/>
    <col min="2" max="2" width="14" style="15" customWidth="1"/>
    <col min="3" max="3" width="9.7109375" style="13" customWidth="1"/>
    <col min="4" max="4" width="11.28515625" style="15" customWidth="1"/>
    <col min="5" max="5" width="9.140625" style="15"/>
    <col min="6" max="6" width="9.140625" style="14"/>
    <col min="7" max="7" width="10.140625" style="15" customWidth="1"/>
    <col min="8" max="8" width="9.140625" style="15" customWidth="1"/>
    <col min="9" max="9" width="9.140625" style="13"/>
    <col min="10" max="12" width="9.140625" style="14"/>
    <col min="13" max="13" width="8.85546875" style="15" customWidth="1"/>
    <col min="14" max="14" width="14.140625" style="15" customWidth="1"/>
    <col min="15" max="15" width="36.85546875" style="12" customWidth="1"/>
  </cols>
  <sheetData>
    <row r="1" spans="1:15">
      <c r="A1" s="15" t="s">
        <v>17</v>
      </c>
      <c r="B1" s="15" t="s">
        <v>27</v>
      </c>
      <c r="C1" s="14" t="s">
        <v>63</v>
      </c>
      <c r="D1" s="15" t="s">
        <v>62</v>
      </c>
      <c r="E1" s="15" t="s">
        <v>18</v>
      </c>
      <c r="F1" s="14" t="s">
        <v>3</v>
      </c>
      <c r="G1" s="15" t="s">
        <v>61</v>
      </c>
      <c r="H1" s="15" t="s">
        <v>22</v>
      </c>
      <c r="I1" s="13" t="s">
        <v>60</v>
      </c>
      <c r="J1" s="14" t="s">
        <v>24</v>
      </c>
      <c r="K1" s="14" t="s">
        <v>25</v>
      </c>
      <c r="L1" s="14" t="s">
        <v>59</v>
      </c>
      <c r="M1" s="15" t="s">
        <v>64</v>
      </c>
      <c r="N1" s="15" t="s">
        <v>73</v>
      </c>
      <c r="O1" s="12" t="s">
        <v>58</v>
      </c>
    </row>
    <row r="2" spans="1:15">
      <c r="A2" s="15" t="s">
        <v>9</v>
      </c>
      <c r="B2" s="15" t="s">
        <v>6</v>
      </c>
      <c r="C2" s="13">
        <v>24</v>
      </c>
      <c r="D2" s="15">
        <v>112</v>
      </c>
      <c r="E2" s="15" t="s">
        <v>28</v>
      </c>
      <c r="F2" s="14">
        <v>30</v>
      </c>
      <c r="G2" s="15">
        <v>112</v>
      </c>
      <c r="H2">
        <f ca="1">INDEX(Islands!$A$1:$N$14,MATCH($A2, Islands!$A:$A),MATCH($E2, Islands!$A:$A))</f>
        <v>2</v>
      </c>
      <c r="I2" s="13">
        <v>0</v>
      </c>
      <c r="J2" s="14">
        <f ca="1">$C2*$D2+$H2*100</f>
        <v>2888</v>
      </c>
      <c r="K2" s="14">
        <f>$F2*$G2</f>
        <v>3360</v>
      </c>
      <c r="L2" s="14">
        <f ca="1">$K2-$J2</f>
        <v>472</v>
      </c>
      <c r="M2" s="17">
        <f>DATE(2017,4,5)</f>
        <v>42830</v>
      </c>
      <c r="N2" s="17">
        <f>DATE(2017,4,5)</f>
        <v>42830</v>
      </c>
      <c r="O2" s="12" t="s">
        <v>74</v>
      </c>
    </row>
    <row r="3" spans="1:15">
      <c r="A3" s="15" t="s">
        <v>20</v>
      </c>
      <c r="B3" s="16" t="s">
        <v>12</v>
      </c>
      <c r="C3" s="13">
        <v>160</v>
      </c>
      <c r="D3" s="15">
        <v>100</v>
      </c>
      <c r="E3" s="15" t="s">
        <v>4</v>
      </c>
      <c r="F3" s="14">
        <v>227</v>
      </c>
      <c r="G3" s="15">
        <v>193</v>
      </c>
      <c r="H3">
        <f ca="1">INDEX(Islands!$A$1:$N$14,MATCH($A3, Islands!$A:$A),MATCH($E3, Islands!$A:$A))</f>
        <v>2</v>
      </c>
      <c r="I3" s="13">
        <v>0</v>
      </c>
      <c r="J3" s="14">
        <f ca="1">$C3*$D3+$H3*100</f>
        <v>16200</v>
      </c>
      <c r="K3" s="14">
        <f>$F3*$G3</f>
        <v>43811</v>
      </c>
      <c r="L3" s="14">
        <f ca="1">$K3-$J3</f>
        <v>27611</v>
      </c>
      <c r="M3" s="17">
        <f>DATE(2017,4,5)</f>
        <v>42830</v>
      </c>
      <c r="N3" s="18" t="b">
        <v>0</v>
      </c>
    </row>
    <row r="4" spans="1:15">
      <c r="A4" s="15" t="s">
        <v>8</v>
      </c>
      <c r="B4" s="15" t="s">
        <v>6</v>
      </c>
      <c r="C4" s="13">
        <v>21</v>
      </c>
      <c r="D4" s="15">
        <v>125</v>
      </c>
      <c r="E4" s="15" t="s">
        <v>28</v>
      </c>
      <c r="F4" s="14">
        <v>30</v>
      </c>
      <c r="G4" s="15">
        <v>1700</v>
      </c>
      <c r="H4">
        <f ca="1">INDEX(Islands!$A$1:$N$14,MATCH($A4, Islands!$A:$A),MATCH($E4, Islands!$A:$A))</f>
        <v>3</v>
      </c>
      <c r="I4" s="13">
        <v>0</v>
      </c>
      <c r="J4" s="14">
        <f ca="1">$C4*$D4+$H4*100</f>
        <v>2925</v>
      </c>
      <c r="K4" s="14">
        <f>$F4*$G4</f>
        <v>51000</v>
      </c>
      <c r="L4" s="14">
        <f ca="1">$K4-$J4</f>
        <v>48075</v>
      </c>
      <c r="M4" s="17">
        <f>DATE(2017,4,5)</f>
        <v>42830</v>
      </c>
      <c r="N4" s="18" t="b">
        <v>0</v>
      </c>
    </row>
    <row r="5" spans="1:15" ht="30">
      <c r="A5" s="15" t="s">
        <v>19</v>
      </c>
      <c r="B5" s="15" t="s">
        <v>1</v>
      </c>
      <c r="C5" s="13">
        <v>5</v>
      </c>
      <c r="D5" s="15">
        <v>89</v>
      </c>
      <c r="E5" s="15" t="s">
        <v>4</v>
      </c>
      <c r="F5" s="14">
        <v>12</v>
      </c>
      <c r="G5" s="15">
        <v>250</v>
      </c>
      <c r="H5">
        <f>INDEX(Islands!$A$1:$N$14,MATCH($A5, Islands!$A:$A),MATCH($E5, Islands!$A:$A))</f>
        <v>3</v>
      </c>
      <c r="I5" s="13">
        <v>169</v>
      </c>
      <c r="J5" s="14">
        <f>$C5*$D5+$H5*100</f>
        <v>745</v>
      </c>
      <c r="K5" s="14">
        <f>$F5*$G5</f>
        <v>3000</v>
      </c>
      <c r="L5" s="14">
        <f>$K5-$J5</f>
        <v>2255</v>
      </c>
      <c r="M5" s="17">
        <f>DATE(2017,4,6)</f>
        <v>42831</v>
      </c>
      <c r="N5" s="18" t="b">
        <v>0</v>
      </c>
      <c r="O5" s="12" t="s">
        <v>57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"/>
  <sheetViews>
    <sheetView workbookViewId="0">
      <selection activeCell="F26" sqref="F26"/>
    </sheetView>
  </sheetViews>
  <sheetFormatPr defaultRowHeight="15"/>
  <cols>
    <col min="1" max="1" width="15.28515625" customWidth="1"/>
    <col min="2" max="2" width="13.42578125" customWidth="1"/>
    <col min="3" max="3" width="13.7109375" customWidth="1"/>
    <col min="4" max="4" width="9.7109375" customWidth="1"/>
    <col min="5" max="5" width="13.7109375" customWidth="1"/>
    <col min="6" max="6" width="12" customWidth="1"/>
    <col min="10" max="10" width="14.42578125" customWidth="1"/>
    <col min="11" max="11" width="10.28515625" customWidth="1"/>
    <col min="12" max="12" width="12.5703125" customWidth="1"/>
  </cols>
  <sheetData>
    <row r="1" spans="1:14">
      <c r="A1" t="s">
        <v>39</v>
      </c>
      <c r="B1" s="8" t="str">
        <f>INDEX(Islands!$A:$A, COLUMN(B$1))</f>
        <v>CONGLIN</v>
      </c>
      <c r="C1" s="8" t="str">
        <f>INDEX(Islands!$A:$A, COLUMN(C$1))</f>
        <v>CORONA REEF</v>
      </c>
      <c r="D1" s="8" t="str">
        <f>INDEX(Islands!$A:$A, COLUMN(D$1))</f>
        <v>DENDRITE</v>
      </c>
      <c r="E1" s="8" t="str">
        <f>INDEX(Islands!$A:$A, COLUMN(E$1))</f>
        <v>DRAGON'S NEST</v>
      </c>
      <c r="F1" s="8" t="str">
        <f>INDEX(Islands!$A:$A, COLUMN(F$1))</f>
        <v>HARMATTAN</v>
      </c>
      <c r="G1" s="8" t="str">
        <f>INDEX(Islands!$A:$A, COLUMN(G$1))</f>
        <v>KIRIN</v>
      </c>
      <c r="H1" s="8" t="str">
        <f>INDEX(Islands!$A:$A, COLUMN(H$1))</f>
        <v>LIMA</v>
      </c>
      <c r="I1" s="8" t="str">
        <f>INDEX(Islands!$A:$A, COLUMN(I$1))</f>
        <v>OLIVE</v>
      </c>
      <c r="J1" s="8" t="str">
        <f>INDEX(Islands!$A:$A, COLUMN(J$1))</f>
        <v>PROLIX PURLIEU</v>
      </c>
      <c r="K1" s="8" t="str">
        <f>INDEX(Islands!$A:$A, COLUMN(K$1))</f>
        <v>SAKEJIMA</v>
      </c>
      <c r="L1" s="8" t="str">
        <f>INDEX(Islands!$A:$A, COLUMN(L$1))</f>
        <v>SWAMPFEN</v>
      </c>
      <c r="M1" s="8" t="str">
        <f>INDEX(Islands!$A:$A, COLUMN(M$1))</f>
        <v>TERRA</v>
      </c>
      <c r="N1" s="8" t="str">
        <f>INDEX(Islands!$A:$A, COLUMN(N$1))</f>
        <v>TYPHOON</v>
      </c>
    </row>
    <row r="2" spans="1:14">
      <c r="A2" t="s">
        <v>29</v>
      </c>
      <c r="B2" s="7">
        <v>0</v>
      </c>
      <c r="C2" s="8">
        <v>4</v>
      </c>
      <c r="D2">
        <v>2</v>
      </c>
      <c r="E2">
        <v>4</v>
      </c>
      <c r="F2">
        <v>1</v>
      </c>
      <c r="G2">
        <v>2</v>
      </c>
      <c r="H2">
        <v>3</v>
      </c>
      <c r="I2">
        <v>3</v>
      </c>
      <c r="J2">
        <v>2</v>
      </c>
      <c r="K2">
        <v>4</v>
      </c>
      <c r="L2">
        <v>3</v>
      </c>
      <c r="M2">
        <v>3</v>
      </c>
      <c r="N2">
        <v>1</v>
      </c>
    </row>
    <row r="3" spans="1:14">
      <c r="A3" t="s">
        <v>19</v>
      </c>
      <c r="B3" s="9">
        <f ca="1">OFFSET($B$2,COLUMN()-COLUMN($B$2),ROW()-ROW($B$2))</f>
        <v>4</v>
      </c>
      <c r="C3" s="7">
        <v>0</v>
      </c>
      <c r="D3">
        <v>5</v>
      </c>
      <c r="E3">
        <v>7</v>
      </c>
      <c r="F3">
        <v>1</v>
      </c>
      <c r="G3">
        <v>1</v>
      </c>
      <c r="H3">
        <v>3</v>
      </c>
      <c r="I3">
        <v>6</v>
      </c>
      <c r="J3">
        <v>2</v>
      </c>
      <c r="K3">
        <v>4</v>
      </c>
      <c r="L3">
        <v>6</v>
      </c>
      <c r="M3">
        <v>3</v>
      </c>
      <c r="N3">
        <v>1</v>
      </c>
    </row>
    <row r="4" spans="1:14">
      <c r="A4" t="s">
        <v>26</v>
      </c>
      <c r="B4" s="9">
        <f ca="1">OFFSET($B$2,COLUMN()-COLUMN($B$2),ROW()-ROW($B$2))</f>
        <v>2</v>
      </c>
      <c r="C4" s="9">
        <f ca="1">OFFSET($B$2,COLUMN()-COLUMN($B$2),ROW()-ROW($B$2))</f>
        <v>5</v>
      </c>
      <c r="D4" s="7">
        <v>0</v>
      </c>
      <c r="E4">
        <v>2</v>
      </c>
      <c r="F4">
        <v>3</v>
      </c>
      <c r="G4">
        <v>4</v>
      </c>
      <c r="H4">
        <v>3</v>
      </c>
      <c r="I4">
        <v>1</v>
      </c>
      <c r="J4">
        <v>2</v>
      </c>
      <c r="K4">
        <v>4</v>
      </c>
      <c r="L4">
        <v>1</v>
      </c>
      <c r="M4">
        <v>3</v>
      </c>
      <c r="N4">
        <v>1</v>
      </c>
    </row>
    <row r="5" spans="1:14">
      <c r="A5" s="3" t="s">
        <v>40</v>
      </c>
      <c r="B5" s="9">
        <f t="shared" ref="B5:M14" ca="1" si="0">OFFSET($B$2,COLUMN()-COLUMN($B$2),ROW()-ROW($B$2))</f>
        <v>4</v>
      </c>
      <c r="C5" s="9">
        <f t="shared" ca="1" si="0"/>
        <v>7</v>
      </c>
      <c r="D5" s="9">
        <f t="shared" ca="1" si="0"/>
        <v>2</v>
      </c>
      <c r="E5" s="7">
        <v>0</v>
      </c>
      <c r="F5">
        <v>5</v>
      </c>
      <c r="G5">
        <v>6</v>
      </c>
      <c r="H5">
        <v>5</v>
      </c>
      <c r="I5">
        <v>2</v>
      </c>
      <c r="J5">
        <v>4</v>
      </c>
      <c r="K5">
        <v>6</v>
      </c>
      <c r="L5">
        <v>1</v>
      </c>
      <c r="M5">
        <v>5</v>
      </c>
      <c r="N5">
        <v>3</v>
      </c>
    </row>
    <row r="6" spans="1:14">
      <c r="A6" t="s">
        <v>10</v>
      </c>
      <c r="B6" s="9">
        <f t="shared" ca="1" si="0"/>
        <v>1</v>
      </c>
      <c r="C6" s="9">
        <f t="shared" ca="1" si="0"/>
        <v>1</v>
      </c>
      <c r="D6" s="9">
        <f t="shared" ca="1" si="0"/>
        <v>3</v>
      </c>
      <c r="E6" s="9">
        <f t="shared" ca="1" si="0"/>
        <v>5</v>
      </c>
      <c r="F6" s="7">
        <v>0</v>
      </c>
      <c r="G6">
        <v>1</v>
      </c>
      <c r="H6">
        <v>3</v>
      </c>
      <c r="I6">
        <v>4</v>
      </c>
      <c r="J6">
        <v>3</v>
      </c>
      <c r="K6">
        <v>5</v>
      </c>
      <c r="L6">
        <v>4</v>
      </c>
      <c r="M6">
        <v>4</v>
      </c>
      <c r="N6">
        <v>2</v>
      </c>
    </row>
    <row r="7" spans="1:14">
      <c r="A7" t="s">
        <v>28</v>
      </c>
      <c r="B7" s="9">
        <f t="shared" ca="1" si="0"/>
        <v>2</v>
      </c>
      <c r="C7" s="9">
        <f t="shared" ca="1" si="0"/>
        <v>1</v>
      </c>
      <c r="D7" s="9">
        <f t="shared" ca="1" si="0"/>
        <v>4</v>
      </c>
      <c r="E7" s="9">
        <f t="shared" ca="1" si="0"/>
        <v>6</v>
      </c>
      <c r="F7" s="9">
        <f t="shared" ca="1" si="0"/>
        <v>1</v>
      </c>
      <c r="G7" s="7">
        <v>0</v>
      </c>
      <c r="H7">
        <v>2</v>
      </c>
      <c r="I7">
        <v>5</v>
      </c>
      <c r="J7">
        <v>2</v>
      </c>
      <c r="K7">
        <v>4</v>
      </c>
      <c r="L7">
        <v>5</v>
      </c>
      <c r="M7">
        <v>3</v>
      </c>
      <c r="N7">
        <v>3</v>
      </c>
    </row>
    <row r="8" spans="1:14">
      <c r="A8" t="s">
        <v>9</v>
      </c>
      <c r="B8" s="9">
        <f t="shared" ca="1" si="0"/>
        <v>3</v>
      </c>
      <c r="C8" s="9">
        <f t="shared" ca="1" si="0"/>
        <v>3</v>
      </c>
      <c r="D8" s="9">
        <f t="shared" ca="1" si="0"/>
        <v>3</v>
      </c>
      <c r="E8" s="9">
        <f t="shared" ca="1" si="0"/>
        <v>5</v>
      </c>
      <c r="F8" s="9">
        <f t="shared" ca="1" si="0"/>
        <v>3</v>
      </c>
      <c r="G8" s="9">
        <f t="shared" ca="1" si="0"/>
        <v>2</v>
      </c>
      <c r="H8" s="7">
        <v>0</v>
      </c>
      <c r="I8">
        <v>4</v>
      </c>
      <c r="J8">
        <v>1</v>
      </c>
      <c r="K8">
        <v>3</v>
      </c>
      <c r="L8">
        <v>4</v>
      </c>
      <c r="M8">
        <v>2</v>
      </c>
      <c r="N8">
        <v>2</v>
      </c>
    </row>
    <row r="9" spans="1:14">
      <c r="A9" t="s">
        <v>32</v>
      </c>
      <c r="B9" s="9">
        <f t="shared" ca="1" si="0"/>
        <v>3</v>
      </c>
      <c r="C9" s="9">
        <f t="shared" ca="1" si="0"/>
        <v>6</v>
      </c>
      <c r="D9" s="9">
        <f t="shared" ca="1" si="0"/>
        <v>1</v>
      </c>
      <c r="E9" s="9">
        <f t="shared" ca="1" si="0"/>
        <v>2</v>
      </c>
      <c r="F9" s="9">
        <f t="shared" ca="1" si="0"/>
        <v>4</v>
      </c>
      <c r="G9" s="9">
        <f t="shared" ca="1" si="0"/>
        <v>5</v>
      </c>
      <c r="H9" s="9">
        <f t="shared" ca="1" si="0"/>
        <v>4</v>
      </c>
      <c r="I9" s="7">
        <v>0</v>
      </c>
      <c r="J9">
        <v>3</v>
      </c>
      <c r="K9">
        <v>5</v>
      </c>
      <c r="L9">
        <v>2</v>
      </c>
      <c r="M9">
        <v>4</v>
      </c>
      <c r="N9">
        <v>2</v>
      </c>
    </row>
    <row r="10" spans="1:14">
      <c r="A10" t="s">
        <v>33</v>
      </c>
      <c r="B10" s="9">
        <f t="shared" ca="1" si="0"/>
        <v>2</v>
      </c>
      <c r="C10" s="9">
        <f t="shared" ca="1" si="0"/>
        <v>2</v>
      </c>
      <c r="D10" s="9">
        <f t="shared" ca="1" si="0"/>
        <v>2</v>
      </c>
      <c r="E10" s="9">
        <f t="shared" ca="1" si="0"/>
        <v>4</v>
      </c>
      <c r="F10" s="9">
        <f t="shared" ca="1" si="0"/>
        <v>3</v>
      </c>
      <c r="G10" s="9">
        <f t="shared" ca="1" si="0"/>
        <v>2</v>
      </c>
      <c r="H10" s="9">
        <f t="shared" ca="1" si="0"/>
        <v>1</v>
      </c>
      <c r="I10" s="9">
        <f t="shared" ca="1" si="0"/>
        <v>3</v>
      </c>
      <c r="J10" s="7">
        <v>0</v>
      </c>
      <c r="K10">
        <v>2</v>
      </c>
      <c r="L10">
        <v>3</v>
      </c>
      <c r="M10">
        <v>1</v>
      </c>
      <c r="N10">
        <v>1</v>
      </c>
    </row>
    <row r="11" spans="1:14">
      <c r="A11" t="s">
        <v>7</v>
      </c>
      <c r="B11" s="9">
        <f t="shared" ca="1" si="0"/>
        <v>4</v>
      </c>
      <c r="C11" s="9">
        <f t="shared" ca="1" si="0"/>
        <v>4</v>
      </c>
      <c r="D11" s="9">
        <f t="shared" ca="1" si="0"/>
        <v>4</v>
      </c>
      <c r="E11" s="9">
        <f t="shared" ca="1" si="0"/>
        <v>6</v>
      </c>
      <c r="F11" s="9">
        <f t="shared" ca="1" si="0"/>
        <v>5</v>
      </c>
      <c r="G11" s="9">
        <f t="shared" ca="1" si="0"/>
        <v>4</v>
      </c>
      <c r="H11" s="9">
        <f t="shared" ca="1" si="0"/>
        <v>3</v>
      </c>
      <c r="I11" s="9">
        <f t="shared" ca="1" si="0"/>
        <v>5</v>
      </c>
      <c r="J11" s="9">
        <f t="shared" ca="1" si="0"/>
        <v>2</v>
      </c>
      <c r="K11" s="7">
        <v>0</v>
      </c>
      <c r="L11">
        <v>5</v>
      </c>
      <c r="M11">
        <v>1</v>
      </c>
      <c r="N11">
        <v>3</v>
      </c>
    </row>
    <row r="12" spans="1:14">
      <c r="A12" t="s">
        <v>34</v>
      </c>
      <c r="B12" s="9">
        <f t="shared" ca="1" si="0"/>
        <v>3</v>
      </c>
      <c r="C12" s="9">
        <f t="shared" ca="1" si="0"/>
        <v>6</v>
      </c>
      <c r="D12" s="9">
        <f t="shared" ca="1" si="0"/>
        <v>1</v>
      </c>
      <c r="E12" s="9">
        <f t="shared" ca="1" si="0"/>
        <v>1</v>
      </c>
      <c r="F12" s="9">
        <f t="shared" ca="1" si="0"/>
        <v>4</v>
      </c>
      <c r="G12" s="9">
        <f t="shared" ca="1" si="0"/>
        <v>5</v>
      </c>
      <c r="H12" s="9">
        <f t="shared" ca="1" si="0"/>
        <v>4</v>
      </c>
      <c r="I12" s="9">
        <f t="shared" ca="1" si="0"/>
        <v>2</v>
      </c>
      <c r="J12" s="9">
        <f t="shared" ca="1" si="0"/>
        <v>3</v>
      </c>
      <c r="K12" s="9">
        <f ca="1">OFFSET($B$2,COLUMN()-COLUMN($B$2),ROW()-ROW($B$2))</f>
        <v>5</v>
      </c>
      <c r="L12" s="7">
        <v>0</v>
      </c>
      <c r="M12">
        <v>4</v>
      </c>
      <c r="N12">
        <v>2</v>
      </c>
    </row>
    <row r="13" spans="1:14">
      <c r="A13" t="s">
        <v>4</v>
      </c>
      <c r="B13" s="9">
        <f t="shared" ca="1" si="0"/>
        <v>3</v>
      </c>
      <c r="C13" s="9">
        <f t="shared" ca="1" si="0"/>
        <v>3</v>
      </c>
      <c r="D13" s="9">
        <f t="shared" ca="1" si="0"/>
        <v>3</v>
      </c>
      <c r="E13" s="9">
        <f t="shared" ca="1" si="0"/>
        <v>5</v>
      </c>
      <c r="F13" s="9">
        <f t="shared" ca="1" si="0"/>
        <v>4</v>
      </c>
      <c r="G13" s="9">
        <f t="shared" ca="1" si="0"/>
        <v>3</v>
      </c>
      <c r="H13" s="9">
        <f t="shared" ca="1" si="0"/>
        <v>2</v>
      </c>
      <c r="I13" s="9">
        <f t="shared" ca="1" si="0"/>
        <v>4</v>
      </c>
      <c r="J13" s="9">
        <f t="shared" ca="1" si="0"/>
        <v>1</v>
      </c>
      <c r="K13" s="9">
        <f ca="1">OFFSET($B$2,COLUMN()-COLUMN($B$2),ROW()-ROW($B$2))</f>
        <v>1</v>
      </c>
      <c r="L13" s="9">
        <f ca="1">OFFSET($B$2,COLUMN()-COLUMN($B$2),ROW()-ROW($B$2))</f>
        <v>4</v>
      </c>
      <c r="M13" s="7">
        <v>0</v>
      </c>
      <c r="N13">
        <v>2</v>
      </c>
    </row>
    <row r="14" spans="1:14">
      <c r="A14" s="3" t="s">
        <v>20</v>
      </c>
      <c r="B14" s="9">
        <f t="shared" ca="1" si="0"/>
        <v>1</v>
      </c>
      <c r="C14" s="9">
        <f t="shared" ca="1" si="0"/>
        <v>1</v>
      </c>
      <c r="D14" s="9">
        <f t="shared" ca="1" si="0"/>
        <v>1</v>
      </c>
      <c r="E14" s="9">
        <f t="shared" ca="1" si="0"/>
        <v>3</v>
      </c>
      <c r="F14" s="9">
        <f t="shared" ca="1" si="0"/>
        <v>2</v>
      </c>
      <c r="G14" s="9">
        <f t="shared" ca="1" si="0"/>
        <v>3</v>
      </c>
      <c r="H14" s="9">
        <f t="shared" ca="1" si="0"/>
        <v>2</v>
      </c>
      <c r="I14" s="9">
        <f t="shared" ca="1" si="0"/>
        <v>2</v>
      </c>
      <c r="J14" s="9">
        <f t="shared" ca="1" si="0"/>
        <v>1</v>
      </c>
      <c r="K14" s="9">
        <f t="shared" ca="1" si="0"/>
        <v>3</v>
      </c>
      <c r="L14" s="9">
        <f t="shared" ca="1" si="0"/>
        <v>2</v>
      </c>
      <c r="M14" s="9">
        <f t="shared" ca="1" si="0"/>
        <v>2</v>
      </c>
      <c r="N14" s="7">
        <v>0</v>
      </c>
    </row>
    <row r="17" spans="3:3">
      <c r="C17" s="3"/>
    </row>
  </sheetData>
  <sortState ref="A2:A15">
    <sortCondition ref="A2:A1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>
      <selection activeCell="K8" sqref="K8"/>
    </sheetView>
  </sheetViews>
  <sheetFormatPr defaultRowHeight="15"/>
  <cols>
    <col min="1" max="1" width="15.42578125" customWidth="1"/>
    <col min="11" max="11" width="10.140625" customWidth="1"/>
    <col min="12" max="12" width="13.140625" customWidth="1"/>
    <col min="14" max="14" width="12.7109375" customWidth="1"/>
  </cols>
  <sheetData>
    <row r="1" spans="1:14">
      <c r="A1" t="s">
        <v>52</v>
      </c>
      <c r="B1" t="s">
        <v>51</v>
      </c>
      <c r="C1" t="s">
        <v>50</v>
      </c>
      <c r="D1" t="s">
        <v>49</v>
      </c>
      <c r="E1" t="s">
        <v>48</v>
      </c>
      <c r="F1" t="s">
        <v>47</v>
      </c>
      <c r="G1" t="s">
        <v>46</v>
      </c>
      <c r="H1" t="s">
        <v>45</v>
      </c>
      <c r="I1" t="s">
        <v>44</v>
      </c>
      <c r="J1" t="s">
        <v>43</v>
      </c>
      <c r="K1" t="s">
        <v>53</v>
      </c>
      <c r="L1" t="s">
        <v>54</v>
      </c>
      <c r="M1" t="s">
        <v>55</v>
      </c>
      <c r="N1" t="s">
        <v>56</v>
      </c>
    </row>
    <row r="2" spans="1:14">
      <c r="A2" t="s">
        <v>9</v>
      </c>
      <c r="B2">
        <v>9</v>
      </c>
      <c r="C2">
        <v>5200</v>
      </c>
      <c r="D2">
        <v>7</v>
      </c>
      <c r="E2">
        <v>1400</v>
      </c>
      <c r="F2">
        <v>12</v>
      </c>
      <c r="G2">
        <v>313</v>
      </c>
      <c r="H2">
        <v>15</v>
      </c>
      <c r="I2">
        <v>810</v>
      </c>
      <c r="J2" t="b">
        <v>0</v>
      </c>
      <c r="K2">
        <f t="shared" ref="K2:K7" si="0">$H2*$I2 + $L2</f>
        <v>15906</v>
      </c>
      <c r="L2">
        <f t="shared" ref="L2:L7" si="1">$F2*$G2</f>
        <v>3756</v>
      </c>
      <c r="M2">
        <f t="shared" ref="M2:M7" si="2">$D2*$E2 + $N2</f>
        <v>56600</v>
      </c>
      <c r="N2">
        <f t="shared" ref="N2:N7" si="3">$B2*$C2</f>
        <v>46800</v>
      </c>
    </row>
    <row r="3" spans="1:14">
      <c r="A3" t="s">
        <v>7</v>
      </c>
      <c r="B3">
        <v>9</v>
      </c>
      <c r="C3">
        <v>575</v>
      </c>
      <c r="D3">
        <v>8</v>
      </c>
      <c r="E3">
        <v>2250</v>
      </c>
      <c r="F3">
        <v>16</v>
      </c>
      <c r="G3">
        <v>12</v>
      </c>
      <c r="H3">
        <v>0</v>
      </c>
      <c r="I3">
        <v>0</v>
      </c>
      <c r="J3">
        <v>7</v>
      </c>
      <c r="K3">
        <f t="shared" si="0"/>
        <v>192</v>
      </c>
      <c r="L3">
        <f t="shared" si="1"/>
        <v>192</v>
      </c>
      <c r="M3">
        <f t="shared" si="2"/>
        <v>23175</v>
      </c>
      <c r="N3">
        <f t="shared" si="3"/>
        <v>5175</v>
      </c>
    </row>
    <row r="4" spans="1:14">
      <c r="A4" t="s">
        <v>28</v>
      </c>
      <c r="B4">
        <v>8</v>
      </c>
      <c r="C4">
        <v>1000</v>
      </c>
      <c r="D4">
        <v>7</v>
      </c>
      <c r="E4">
        <v>1250</v>
      </c>
      <c r="F4">
        <v>9</v>
      </c>
      <c r="G4">
        <v>129</v>
      </c>
      <c r="H4">
        <v>10</v>
      </c>
      <c r="I4">
        <v>73</v>
      </c>
      <c r="J4">
        <v>7</v>
      </c>
      <c r="K4">
        <f t="shared" si="0"/>
        <v>1891</v>
      </c>
      <c r="L4">
        <f t="shared" si="1"/>
        <v>1161</v>
      </c>
      <c r="M4">
        <f t="shared" si="2"/>
        <v>16750</v>
      </c>
      <c r="N4">
        <f t="shared" si="3"/>
        <v>8000</v>
      </c>
    </row>
    <row r="5" spans="1:14">
      <c r="A5" t="s">
        <v>9</v>
      </c>
      <c r="B5">
        <v>11</v>
      </c>
      <c r="C5">
        <v>139</v>
      </c>
      <c r="D5">
        <v>10</v>
      </c>
      <c r="E5">
        <v>1325</v>
      </c>
      <c r="F5">
        <v>35</v>
      </c>
      <c r="G5">
        <v>257</v>
      </c>
      <c r="H5">
        <v>50</v>
      </c>
      <c r="I5">
        <v>145</v>
      </c>
      <c r="J5" t="b">
        <v>0</v>
      </c>
      <c r="K5">
        <f t="shared" si="0"/>
        <v>16245</v>
      </c>
      <c r="L5">
        <f t="shared" si="1"/>
        <v>8995</v>
      </c>
      <c r="M5">
        <f t="shared" si="2"/>
        <v>14779</v>
      </c>
      <c r="N5">
        <f t="shared" si="3"/>
        <v>1529</v>
      </c>
    </row>
    <row r="6" spans="1:14">
      <c r="A6" t="s">
        <v>33</v>
      </c>
      <c r="B6">
        <v>2</v>
      </c>
      <c r="C6">
        <v>986</v>
      </c>
      <c r="D6">
        <v>0</v>
      </c>
      <c r="E6">
        <v>0</v>
      </c>
      <c r="F6">
        <v>6</v>
      </c>
      <c r="G6">
        <v>14</v>
      </c>
      <c r="H6">
        <v>0</v>
      </c>
      <c r="I6">
        <v>0</v>
      </c>
      <c r="J6" t="b">
        <v>0</v>
      </c>
      <c r="K6">
        <f t="shared" si="0"/>
        <v>84</v>
      </c>
      <c r="L6">
        <f t="shared" si="1"/>
        <v>84</v>
      </c>
      <c r="M6">
        <f t="shared" si="2"/>
        <v>1972</v>
      </c>
      <c r="N6">
        <f t="shared" si="3"/>
        <v>1972</v>
      </c>
    </row>
    <row r="7" spans="1:14">
      <c r="A7" t="s">
        <v>8</v>
      </c>
      <c r="B7">
        <v>1</v>
      </c>
      <c r="C7">
        <v>1000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b">
        <v>0</v>
      </c>
      <c r="K7">
        <f t="shared" si="0"/>
        <v>0</v>
      </c>
      <c r="L7">
        <f t="shared" si="1"/>
        <v>0</v>
      </c>
      <c r="M7">
        <f t="shared" si="2"/>
        <v>1000</v>
      </c>
      <c r="N7">
        <f t="shared" si="3"/>
        <v>1000</v>
      </c>
    </row>
  </sheetData>
  <sortState ref="A2:N7">
    <sortCondition descending="1" ref="M2:M7"/>
    <sortCondition descending="1" ref="N2:N7"/>
    <sortCondition ref="K2:K7"/>
    <sortCondition ref="L2:L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8"/>
  <sheetViews>
    <sheetView workbookViewId="0">
      <selection activeCell="G2" sqref="G2"/>
    </sheetView>
  </sheetViews>
  <sheetFormatPr defaultRowHeight="15"/>
  <cols>
    <col min="1" max="1" width="15.5703125" customWidth="1"/>
    <col min="2" max="2" width="17.5703125" customWidth="1"/>
    <col min="4" max="4" width="15.85546875" customWidth="1"/>
    <col min="11" max="11" width="9.140625" customWidth="1"/>
  </cols>
  <sheetData>
    <row r="1" spans="1:11">
      <c r="A1" s="1" t="s">
        <v>17</v>
      </c>
      <c r="B1" s="1" t="s">
        <v>0</v>
      </c>
      <c r="C1" s="1" t="s">
        <v>21</v>
      </c>
      <c r="D1" s="1" t="s">
        <v>18</v>
      </c>
      <c r="E1" s="1" t="s">
        <v>3</v>
      </c>
      <c r="F1" s="1" t="s">
        <v>2</v>
      </c>
      <c r="G1" s="1" t="s">
        <v>22</v>
      </c>
      <c r="H1" s="1" t="s">
        <v>24</v>
      </c>
      <c r="I1" s="1" t="s">
        <v>25</v>
      </c>
      <c r="J1" s="1" t="s">
        <v>23</v>
      </c>
      <c r="K1" s="1" t="s">
        <v>41</v>
      </c>
    </row>
    <row r="2" spans="1:11">
      <c r="A2" t="s">
        <v>29</v>
      </c>
      <c r="B2" t="s">
        <v>1</v>
      </c>
      <c r="C2">
        <v>8</v>
      </c>
      <c r="D2" t="s">
        <v>40</v>
      </c>
      <c r="E2">
        <v>7</v>
      </c>
      <c r="F2">
        <v>365</v>
      </c>
      <c r="G2">
        <f>INDEX(Islands!$A1:$N14,MATCH($A2, Islands!$A:$A),MATCH($D2, Islands!$A:$A))</f>
        <v>4</v>
      </c>
      <c r="H2">
        <f t="shared" ref="H2:H33" si="0">SUM($C2*$F2*1.12,$G2 *1.5*65)</f>
        <v>3660.4</v>
      </c>
      <c r="I2">
        <f t="shared" ref="I2:I33" si="1">$E2*$F2</f>
        <v>2555</v>
      </c>
      <c r="J2">
        <f t="shared" ref="J2:J33" si="2">$I2-H2</f>
        <v>-1105.4000000000001</v>
      </c>
      <c r="K2">
        <f t="shared" ref="K2:K33" si="3">$J2/$G2</f>
        <v>-276.35000000000002</v>
      </c>
    </row>
    <row r="3" spans="1:11">
      <c r="A3" t="s">
        <v>29</v>
      </c>
      <c r="B3" t="s">
        <v>1</v>
      </c>
      <c r="C3">
        <v>8</v>
      </c>
      <c r="D3" t="s">
        <v>10</v>
      </c>
      <c r="E3">
        <v>5</v>
      </c>
      <c r="F3">
        <v>850</v>
      </c>
      <c r="G3">
        <f>INDEX(Islands!$A$1:$N$14,MATCH($A3, Islands!$A:$A),MATCH($D3, Islands!$A:$A))</f>
        <v>1</v>
      </c>
      <c r="H3">
        <f t="shared" si="0"/>
        <v>7713.5000000000009</v>
      </c>
      <c r="I3">
        <f t="shared" si="1"/>
        <v>4250</v>
      </c>
      <c r="J3">
        <f t="shared" si="2"/>
        <v>-3463.5000000000009</v>
      </c>
      <c r="K3">
        <f t="shared" si="3"/>
        <v>-3463.5000000000009</v>
      </c>
    </row>
    <row r="4" spans="1:11">
      <c r="A4" t="s">
        <v>29</v>
      </c>
      <c r="B4" t="s">
        <v>1</v>
      </c>
      <c r="C4">
        <v>8</v>
      </c>
      <c r="D4" t="s">
        <v>28</v>
      </c>
      <c r="E4">
        <v>9</v>
      </c>
      <c r="F4">
        <v>3000</v>
      </c>
      <c r="G4">
        <f>INDEX(Islands!$A$1:$N$14,MATCH($A4, Islands!$A:$A),MATCH($D4, Islands!$A:$A))</f>
        <v>2</v>
      </c>
      <c r="H4">
        <f t="shared" si="0"/>
        <v>27075.000000000004</v>
      </c>
      <c r="I4">
        <f t="shared" si="1"/>
        <v>27000</v>
      </c>
      <c r="J4">
        <f t="shared" si="2"/>
        <v>-75.000000000003638</v>
      </c>
      <c r="K4">
        <f t="shared" si="3"/>
        <v>-37.500000000001819</v>
      </c>
    </row>
    <row r="5" spans="1:11">
      <c r="A5" t="s">
        <v>29</v>
      </c>
      <c r="B5" t="s">
        <v>1</v>
      </c>
      <c r="C5">
        <v>8</v>
      </c>
      <c r="D5" t="s">
        <v>9</v>
      </c>
      <c r="E5">
        <v>10</v>
      </c>
      <c r="F5">
        <v>600</v>
      </c>
      <c r="G5">
        <f>INDEX(Islands!$A$1:$N$14,MATCH($A5, Islands!$A:$A),MATCH($D5, Islands!$A:$A))</f>
        <v>3</v>
      </c>
      <c r="H5">
        <f t="shared" si="0"/>
        <v>5668.5000000000009</v>
      </c>
      <c r="I5">
        <f t="shared" si="1"/>
        <v>6000</v>
      </c>
      <c r="J5">
        <f t="shared" si="2"/>
        <v>331.49999999999909</v>
      </c>
      <c r="K5">
        <f t="shared" si="3"/>
        <v>110.4999999999997</v>
      </c>
    </row>
    <row r="6" spans="1:11">
      <c r="A6" t="s">
        <v>29</v>
      </c>
      <c r="B6" t="s">
        <v>1</v>
      </c>
      <c r="C6">
        <v>8</v>
      </c>
      <c r="D6" t="s">
        <v>32</v>
      </c>
      <c r="E6">
        <v>0</v>
      </c>
      <c r="F6">
        <v>0</v>
      </c>
      <c r="G6">
        <f>INDEX(Islands!$A$1:$N$14,MATCH($A6, Islands!$A:$A),MATCH($D6, Islands!$A:$A))</f>
        <v>3</v>
      </c>
      <c r="H6">
        <f t="shared" si="0"/>
        <v>292.5</v>
      </c>
      <c r="I6">
        <f t="shared" si="1"/>
        <v>0</v>
      </c>
      <c r="J6">
        <f t="shared" si="2"/>
        <v>-292.5</v>
      </c>
      <c r="K6">
        <f t="shared" si="3"/>
        <v>-97.5</v>
      </c>
    </row>
    <row r="7" spans="1:11">
      <c r="A7" t="s">
        <v>29</v>
      </c>
      <c r="B7" t="s">
        <v>1</v>
      </c>
      <c r="C7">
        <v>8</v>
      </c>
      <c r="D7" t="s">
        <v>33</v>
      </c>
      <c r="E7">
        <v>9</v>
      </c>
      <c r="F7">
        <v>197</v>
      </c>
      <c r="G7">
        <f>INDEX(Islands!$A$1:$N$14,MATCH($A7, Islands!$A:$A),MATCH($D7, Islands!$A:$A))</f>
        <v>2</v>
      </c>
      <c r="H7">
        <f t="shared" si="0"/>
        <v>1960.1200000000001</v>
      </c>
      <c r="I7">
        <f t="shared" si="1"/>
        <v>1773</v>
      </c>
      <c r="J7">
        <f t="shared" si="2"/>
        <v>-187.12000000000012</v>
      </c>
      <c r="K7">
        <f t="shared" si="3"/>
        <v>-93.560000000000059</v>
      </c>
    </row>
    <row r="8" spans="1:11">
      <c r="A8" t="s">
        <v>29</v>
      </c>
      <c r="B8" t="s">
        <v>1</v>
      </c>
      <c r="C8">
        <v>8</v>
      </c>
      <c r="D8" t="s">
        <v>7</v>
      </c>
      <c r="E8">
        <v>9</v>
      </c>
      <c r="F8">
        <v>1001</v>
      </c>
      <c r="G8">
        <f>INDEX(Islands!$A$1:$N$14,MATCH($A8, Islands!$A:$A),MATCH($D8, Islands!$A:$A))</f>
        <v>4</v>
      </c>
      <c r="H8">
        <f t="shared" si="0"/>
        <v>9358.9600000000009</v>
      </c>
      <c r="I8">
        <f t="shared" si="1"/>
        <v>9009</v>
      </c>
      <c r="J8">
        <f t="shared" si="2"/>
        <v>-349.96000000000095</v>
      </c>
      <c r="K8">
        <f t="shared" si="3"/>
        <v>-87.490000000000236</v>
      </c>
    </row>
    <row r="9" spans="1:11">
      <c r="A9" t="s">
        <v>29</v>
      </c>
      <c r="B9" t="s">
        <v>1</v>
      </c>
      <c r="C9">
        <v>8</v>
      </c>
      <c r="D9" t="s">
        <v>34</v>
      </c>
      <c r="E9">
        <v>3</v>
      </c>
      <c r="F9">
        <v>88</v>
      </c>
      <c r="G9">
        <f>INDEX(Islands!$A$1:$N$14,MATCH($A9, Islands!$A:$A),MATCH($D9, Islands!$A:$A))</f>
        <v>3</v>
      </c>
      <c r="H9">
        <f t="shared" si="0"/>
        <v>1080.98</v>
      </c>
      <c r="I9">
        <f t="shared" si="1"/>
        <v>264</v>
      </c>
      <c r="J9">
        <f t="shared" si="2"/>
        <v>-816.98</v>
      </c>
      <c r="K9">
        <f t="shared" si="3"/>
        <v>-272.32666666666665</v>
      </c>
    </row>
    <row r="10" spans="1:11">
      <c r="A10" t="s">
        <v>29</v>
      </c>
      <c r="B10" t="s">
        <v>1</v>
      </c>
      <c r="C10">
        <v>8</v>
      </c>
      <c r="D10" t="s">
        <v>4</v>
      </c>
      <c r="E10">
        <v>12</v>
      </c>
      <c r="F10">
        <v>2500</v>
      </c>
      <c r="G10">
        <f>INDEX(Islands!$A$1:$N$14,MATCH($A10, Islands!$A:$A),MATCH($D10, Islands!$A:$A))</f>
        <v>3</v>
      </c>
      <c r="H10">
        <f t="shared" si="0"/>
        <v>22692.500000000004</v>
      </c>
      <c r="I10">
        <f t="shared" si="1"/>
        <v>30000</v>
      </c>
      <c r="J10">
        <f t="shared" si="2"/>
        <v>7307.4999999999964</v>
      </c>
      <c r="K10">
        <f t="shared" si="3"/>
        <v>2435.8333333333321</v>
      </c>
    </row>
    <row r="11" spans="1:11">
      <c r="A11" t="s">
        <v>29</v>
      </c>
      <c r="B11" t="s">
        <v>16</v>
      </c>
      <c r="C11">
        <v>1313</v>
      </c>
      <c r="D11" t="s">
        <v>40</v>
      </c>
      <c r="E11">
        <v>1352</v>
      </c>
      <c r="F11">
        <v>109</v>
      </c>
      <c r="G11">
        <f>INDEX(Islands!$A$1:$N$14,MATCH($A11, Islands!$A:$A),MATCH($D11, Islands!$A:$A))</f>
        <v>4</v>
      </c>
      <c r="H11">
        <f t="shared" si="0"/>
        <v>160681.04</v>
      </c>
      <c r="I11">
        <f t="shared" si="1"/>
        <v>147368</v>
      </c>
      <c r="J11">
        <f t="shared" si="2"/>
        <v>-13313.040000000008</v>
      </c>
      <c r="K11">
        <f t="shared" si="3"/>
        <v>-3328.260000000002</v>
      </c>
    </row>
    <row r="12" spans="1:11">
      <c r="A12" t="s">
        <v>29</v>
      </c>
      <c r="B12" t="s">
        <v>16</v>
      </c>
      <c r="C12">
        <v>1313</v>
      </c>
      <c r="D12" t="s">
        <v>10</v>
      </c>
      <c r="E12">
        <v>1410</v>
      </c>
      <c r="F12">
        <v>15</v>
      </c>
      <c r="G12">
        <f>INDEX(Islands!$A$1:$N$14,MATCH($A12, Islands!$A:$A),MATCH($D12, Islands!$A:$A))</f>
        <v>1</v>
      </c>
      <c r="H12">
        <f t="shared" si="0"/>
        <v>22155.9</v>
      </c>
      <c r="I12">
        <f t="shared" si="1"/>
        <v>21150</v>
      </c>
      <c r="J12">
        <f t="shared" si="2"/>
        <v>-1005.9000000000015</v>
      </c>
      <c r="K12">
        <f t="shared" si="3"/>
        <v>-1005.9000000000015</v>
      </c>
    </row>
    <row r="13" spans="1:11">
      <c r="A13" t="s">
        <v>29</v>
      </c>
      <c r="B13" t="s">
        <v>16</v>
      </c>
      <c r="C13">
        <v>1313</v>
      </c>
      <c r="D13" t="s">
        <v>28</v>
      </c>
      <c r="E13">
        <v>1529</v>
      </c>
      <c r="F13">
        <v>1405</v>
      </c>
      <c r="G13">
        <f>INDEX(Islands!$A$1:$N$14,MATCH($A13, Islands!$A:$A),MATCH($D13, Islands!$A:$A))</f>
        <v>2</v>
      </c>
      <c r="H13">
        <f t="shared" si="0"/>
        <v>2066331.8000000003</v>
      </c>
      <c r="I13">
        <f t="shared" si="1"/>
        <v>2148245</v>
      </c>
      <c r="J13">
        <f t="shared" si="2"/>
        <v>81913.199999999721</v>
      </c>
      <c r="K13">
        <f t="shared" si="3"/>
        <v>40956.59999999986</v>
      </c>
    </row>
    <row r="14" spans="1:11">
      <c r="A14" t="s">
        <v>29</v>
      </c>
      <c r="B14" t="s">
        <v>16</v>
      </c>
      <c r="C14">
        <v>1313</v>
      </c>
      <c r="D14" t="s">
        <v>9</v>
      </c>
      <c r="E14">
        <v>1601</v>
      </c>
      <c r="F14">
        <v>360</v>
      </c>
      <c r="G14">
        <f>INDEX(Islands!$A$1:$N$14,MATCH($A14, Islands!$A:$A),MATCH($D14, Islands!$A:$A))</f>
        <v>3</v>
      </c>
      <c r="H14">
        <f t="shared" si="0"/>
        <v>529694.10000000009</v>
      </c>
      <c r="I14">
        <f t="shared" si="1"/>
        <v>576360</v>
      </c>
      <c r="J14">
        <f t="shared" si="2"/>
        <v>46665.899999999907</v>
      </c>
      <c r="K14">
        <f t="shared" si="3"/>
        <v>15555.299999999968</v>
      </c>
    </row>
    <row r="15" spans="1:11">
      <c r="A15" t="s">
        <v>29</v>
      </c>
      <c r="B15" t="s">
        <v>16</v>
      </c>
      <c r="C15">
        <v>1313</v>
      </c>
      <c r="D15" t="s">
        <v>32</v>
      </c>
      <c r="E15">
        <v>300</v>
      </c>
      <c r="F15">
        <v>18</v>
      </c>
      <c r="G15">
        <f>INDEX(Islands!$A$1:$N$14,MATCH($A15, Islands!$A:$A),MATCH($D15, Islands!$A:$A))</f>
        <v>3</v>
      </c>
      <c r="H15">
        <f t="shared" si="0"/>
        <v>26762.58</v>
      </c>
      <c r="I15">
        <f t="shared" si="1"/>
        <v>5400</v>
      </c>
      <c r="J15">
        <f t="shared" si="2"/>
        <v>-21362.58</v>
      </c>
      <c r="K15">
        <f t="shared" si="3"/>
        <v>-7120.8600000000006</v>
      </c>
    </row>
    <row r="16" spans="1:11">
      <c r="A16" t="s">
        <v>29</v>
      </c>
      <c r="B16" t="s">
        <v>16</v>
      </c>
      <c r="C16">
        <v>1313</v>
      </c>
      <c r="D16" t="s">
        <v>33</v>
      </c>
      <c r="E16">
        <v>1650</v>
      </c>
      <c r="F16">
        <v>8</v>
      </c>
      <c r="G16">
        <f>INDEX(Islands!$A$1:$N$14,MATCH($A16, Islands!$A:$A),MATCH($D16, Islands!$A:$A))</f>
        <v>2</v>
      </c>
      <c r="H16">
        <f t="shared" si="0"/>
        <v>11959.480000000001</v>
      </c>
      <c r="I16">
        <f t="shared" si="1"/>
        <v>13200</v>
      </c>
      <c r="J16">
        <f t="shared" si="2"/>
        <v>1240.5199999999986</v>
      </c>
      <c r="K16">
        <f t="shared" si="3"/>
        <v>620.25999999999931</v>
      </c>
    </row>
    <row r="17" spans="1:11">
      <c r="A17" t="s">
        <v>29</v>
      </c>
      <c r="B17" t="s">
        <v>16</v>
      </c>
      <c r="C17">
        <v>1313</v>
      </c>
      <c r="D17" t="s">
        <v>7</v>
      </c>
      <c r="E17">
        <v>1171</v>
      </c>
      <c r="F17">
        <v>1001</v>
      </c>
      <c r="G17">
        <f>INDEX(Islands!$A$1:$N$14,MATCH($A17, Islands!$A:$A),MATCH($D17, Islands!$A:$A))</f>
        <v>4</v>
      </c>
      <c r="H17">
        <f t="shared" si="0"/>
        <v>1472420.56</v>
      </c>
      <c r="I17">
        <f t="shared" si="1"/>
        <v>1172171</v>
      </c>
      <c r="J17">
        <f t="shared" si="2"/>
        <v>-300249.56000000006</v>
      </c>
      <c r="K17">
        <f t="shared" si="3"/>
        <v>-75062.390000000014</v>
      </c>
    </row>
    <row r="18" spans="1:11">
      <c r="A18" t="s">
        <v>29</v>
      </c>
      <c r="B18" t="s">
        <v>16</v>
      </c>
      <c r="C18">
        <v>1313</v>
      </c>
      <c r="D18" t="s">
        <v>34</v>
      </c>
      <c r="E18">
        <v>1100</v>
      </c>
      <c r="F18">
        <v>100</v>
      </c>
      <c r="G18">
        <f>INDEX(Islands!$A$1:$N$14,MATCH($A18, Islands!$A:$A),MATCH($D18, Islands!$A:$A))</f>
        <v>3</v>
      </c>
      <c r="H18">
        <f t="shared" si="0"/>
        <v>147348.5</v>
      </c>
      <c r="I18">
        <f t="shared" si="1"/>
        <v>110000</v>
      </c>
      <c r="J18">
        <f t="shared" si="2"/>
        <v>-37348.5</v>
      </c>
      <c r="K18">
        <f t="shared" si="3"/>
        <v>-12449.5</v>
      </c>
    </row>
    <row r="19" spans="1:11">
      <c r="A19" t="s">
        <v>29</v>
      </c>
      <c r="B19" t="s">
        <v>16</v>
      </c>
      <c r="C19">
        <v>1313</v>
      </c>
      <c r="D19" t="s">
        <v>4</v>
      </c>
      <c r="E19">
        <v>1562</v>
      </c>
      <c r="F19">
        <v>25</v>
      </c>
      <c r="G19">
        <f>INDEX(Islands!$A$1:$N$14,MATCH($A19, Islands!$A:$A),MATCH($D19, Islands!$A:$A))</f>
        <v>3</v>
      </c>
      <c r="H19">
        <f t="shared" si="0"/>
        <v>37056.5</v>
      </c>
      <c r="I19">
        <f t="shared" si="1"/>
        <v>39050</v>
      </c>
      <c r="J19">
        <f t="shared" si="2"/>
        <v>1993.5</v>
      </c>
      <c r="K19">
        <f t="shared" si="3"/>
        <v>664.5</v>
      </c>
    </row>
    <row r="20" spans="1:11">
      <c r="A20" t="s">
        <v>19</v>
      </c>
      <c r="B20" t="s">
        <v>1</v>
      </c>
      <c r="C20">
        <v>5</v>
      </c>
      <c r="D20" t="s">
        <v>40</v>
      </c>
      <c r="E20">
        <v>7</v>
      </c>
      <c r="F20">
        <v>365</v>
      </c>
      <c r="G20">
        <f>INDEX(Islands!$A$1:$N$14,MATCH($A20, Islands!$A:$A),MATCH($D20, Islands!$A:$A))</f>
        <v>7</v>
      </c>
      <c r="H20">
        <f t="shared" si="0"/>
        <v>2726.5</v>
      </c>
      <c r="I20">
        <f t="shared" si="1"/>
        <v>2555</v>
      </c>
      <c r="J20">
        <f t="shared" si="2"/>
        <v>-171.5</v>
      </c>
      <c r="K20">
        <f t="shared" si="3"/>
        <v>-24.5</v>
      </c>
    </row>
    <row r="21" spans="1:11">
      <c r="A21" t="s">
        <v>19</v>
      </c>
      <c r="B21" t="s">
        <v>1</v>
      </c>
      <c r="C21">
        <v>5</v>
      </c>
      <c r="D21" t="s">
        <v>10</v>
      </c>
      <c r="E21">
        <v>5</v>
      </c>
      <c r="F21">
        <v>850</v>
      </c>
      <c r="G21">
        <f>INDEX(Islands!$A$1:$N$14,MATCH($A21, Islands!$A:$A),MATCH($D21, Islands!$A:$A))</f>
        <v>1</v>
      </c>
      <c r="H21">
        <f t="shared" si="0"/>
        <v>4857.5</v>
      </c>
      <c r="I21">
        <f t="shared" si="1"/>
        <v>4250</v>
      </c>
      <c r="J21">
        <f t="shared" si="2"/>
        <v>-607.5</v>
      </c>
      <c r="K21">
        <f t="shared" si="3"/>
        <v>-607.5</v>
      </c>
    </row>
    <row r="22" spans="1:11">
      <c r="A22" t="s">
        <v>19</v>
      </c>
      <c r="B22" t="s">
        <v>1</v>
      </c>
      <c r="C22">
        <v>5</v>
      </c>
      <c r="D22" t="s">
        <v>28</v>
      </c>
      <c r="E22">
        <v>9</v>
      </c>
      <c r="F22">
        <v>3000</v>
      </c>
      <c r="G22">
        <f>INDEX(Islands!$A$1:$N$14,MATCH($A22, Islands!$A:$A),MATCH($D22, Islands!$A:$A))</f>
        <v>1</v>
      </c>
      <c r="H22">
        <f t="shared" si="0"/>
        <v>16897.5</v>
      </c>
      <c r="I22">
        <f t="shared" si="1"/>
        <v>27000</v>
      </c>
      <c r="J22">
        <f t="shared" si="2"/>
        <v>10102.5</v>
      </c>
      <c r="K22">
        <f t="shared" si="3"/>
        <v>10102.5</v>
      </c>
    </row>
    <row r="23" spans="1:11">
      <c r="A23" t="s">
        <v>19</v>
      </c>
      <c r="B23" t="s">
        <v>1</v>
      </c>
      <c r="C23">
        <v>5</v>
      </c>
      <c r="D23" t="s">
        <v>9</v>
      </c>
      <c r="E23">
        <v>10</v>
      </c>
      <c r="F23">
        <v>600</v>
      </c>
      <c r="G23">
        <f>INDEX(Islands!$A$1:$N$14,MATCH($A23, Islands!$A:$A),MATCH($D23, Islands!$A:$A))</f>
        <v>3</v>
      </c>
      <c r="H23">
        <f t="shared" si="0"/>
        <v>3652.5000000000005</v>
      </c>
      <c r="I23">
        <f t="shared" si="1"/>
        <v>6000</v>
      </c>
      <c r="J23">
        <f t="shared" si="2"/>
        <v>2347.4999999999995</v>
      </c>
      <c r="K23">
        <f t="shared" si="3"/>
        <v>782.49999999999989</v>
      </c>
    </row>
    <row r="24" spans="1:11">
      <c r="A24" t="s">
        <v>19</v>
      </c>
      <c r="B24" t="s">
        <v>1</v>
      </c>
      <c r="C24">
        <v>5</v>
      </c>
      <c r="D24" t="s">
        <v>32</v>
      </c>
      <c r="E24">
        <v>0</v>
      </c>
      <c r="F24">
        <v>0</v>
      </c>
      <c r="G24">
        <f>INDEX(Islands!$A$1:$N$14,MATCH($A24, Islands!$A:$A),MATCH($D24, Islands!$A:$A))</f>
        <v>6</v>
      </c>
      <c r="H24">
        <f t="shared" si="0"/>
        <v>585</v>
      </c>
      <c r="I24">
        <f t="shared" si="1"/>
        <v>0</v>
      </c>
      <c r="J24">
        <f t="shared" si="2"/>
        <v>-585</v>
      </c>
      <c r="K24">
        <f t="shared" si="3"/>
        <v>-97.5</v>
      </c>
    </row>
    <row r="25" spans="1:11">
      <c r="A25" t="s">
        <v>19</v>
      </c>
      <c r="B25" t="s">
        <v>1</v>
      </c>
      <c r="C25">
        <v>5</v>
      </c>
      <c r="D25" t="s">
        <v>33</v>
      </c>
      <c r="E25">
        <v>9</v>
      </c>
      <c r="F25">
        <v>197</v>
      </c>
      <c r="G25">
        <f>INDEX(Islands!$A$1:$N$14,MATCH($A25, Islands!$A:$A),MATCH($D25, Islands!$A:$A))</f>
        <v>2</v>
      </c>
      <c r="H25">
        <f t="shared" si="0"/>
        <v>1298.2</v>
      </c>
      <c r="I25">
        <f t="shared" si="1"/>
        <v>1773</v>
      </c>
      <c r="J25">
        <f t="shared" si="2"/>
        <v>474.79999999999995</v>
      </c>
      <c r="K25">
        <f t="shared" si="3"/>
        <v>237.39999999999998</v>
      </c>
    </row>
    <row r="26" spans="1:11">
      <c r="A26" t="s">
        <v>19</v>
      </c>
      <c r="B26" t="s">
        <v>1</v>
      </c>
      <c r="C26">
        <v>5</v>
      </c>
      <c r="D26" t="s">
        <v>7</v>
      </c>
      <c r="E26">
        <v>9</v>
      </c>
      <c r="F26">
        <v>1001</v>
      </c>
      <c r="G26">
        <f>INDEX(Islands!$A$1:$N$14,MATCH($A26, Islands!$A:$A),MATCH($D26, Islands!$A:$A))</f>
        <v>4</v>
      </c>
      <c r="H26">
        <f t="shared" si="0"/>
        <v>5995.6</v>
      </c>
      <c r="I26">
        <f t="shared" si="1"/>
        <v>9009</v>
      </c>
      <c r="J26">
        <f t="shared" si="2"/>
        <v>3013.3999999999996</v>
      </c>
      <c r="K26">
        <f t="shared" si="3"/>
        <v>753.34999999999991</v>
      </c>
    </row>
    <row r="27" spans="1:11">
      <c r="A27" t="s">
        <v>19</v>
      </c>
      <c r="B27" t="s">
        <v>1</v>
      </c>
      <c r="C27">
        <v>5</v>
      </c>
      <c r="D27" t="s">
        <v>34</v>
      </c>
      <c r="E27">
        <v>3</v>
      </c>
      <c r="F27" s="5">
        <v>88</v>
      </c>
      <c r="G27">
        <f>INDEX(Islands!$A$1:$N$14,MATCH($A27, Islands!$A:$A),MATCH($D27, Islands!$A:$A))</f>
        <v>6</v>
      </c>
      <c r="H27">
        <f t="shared" si="0"/>
        <v>1077.8000000000002</v>
      </c>
      <c r="I27">
        <f t="shared" si="1"/>
        <v>264</v>
      </c>
      <c r="J27">
        <f t="shared" si="2"/>
        <v>-813.80000000000018</v>
      </c>
      <c r="K27">
        <f t="shared" si="3"/>
        <v>-135.63333333333335</v>
      </c>
    </row>
    <row r="28" spans="1:11">
      <c r="A28" t="s">
        <v>19</v>
      </c>
      <c r="B28" t="s">
        <v>1</v>
      </c>
      <c r="C28">
        <v>5</v>
      </c>
      <c r="D28" t="s">
        <v>4</v>
      </c>
      <c r="E28">
        <v>12</v>
      </c>
      <c r="F28">
        <v>2500</v>
      </c>
      <c r="G28">
        <f>INDEX(Islands!$A$1:$N$14,MATCH($A28, Islands!$A:$A),MATCH($D28, Islands!$A:$A))</f>
        <v>3</v>
      </c>
      <c r="H28">
        <f t="shared" si="0"/>
        <v>14292.500000000002</v>
      </c>
      <c r="I28">
        <f t="shared" si="1"/>
        <v>30000</v>
      </c>
      <c r="J28">
        <f t="shared" si="2"/>
        <v>15707.499999999998</v>
      </c>
      <c r="K28">
        <f t="shared" si="3"/>
        <v>5235.833333333333</v>
      </c>
    </row>
    <row r="29" spans="1:11">
      <c r="A29" t="s">
        <v>30</v>
      </c>
      <c r="B29" t="s">
        <v>11</v>
      </c>
      <c r="C29">
        <v>241</v>
      </c>
      <c r="D29" t="s">
        <v>40</v>
      </c>
      <c r="E29">
        <v>331</v>
      </c>
      <c r="F29">
        <v>13</v>
      </c>
      <c r="G29">
        <f>INDEX(Islands!$A$1:$N$14,MATCH($A29, Islands!$A:$A),MATCH($D29, Islands!$A:$A))</f>
        <v>7</v>
      </c>
      <c r="H29">
        <f t="shared" si="0"/>
        <v>4191.4600000000009</v>
      </c>
      <c r="I29">
        <f t="shared" si="1"/>
        <v>4303</v>
      </c>
      <c r="J29">
        <f t="shared" si="2"/>
        <v>111.53999999999905</v>
      </c>
      <c r="K29">
        <f t="shared" si="3"/>
        <v>15.934285714285579</v>
      </c>
    </row>
    <row r="30" spans="1:11">
      <c r="A30" t="s">
        <v>30</v>
      </c>
      <c r="B30" t="s">
        <v>11</v>
      </c>
      <c r="C30">
        <v>241</v>
      </c>
      <c r="D30" t="s">
        <v>10</v>
      </c>
      <c r="E30">
        <v>0</v>
      </c>
      <c r="F30">
        <v>0</v>
      </c>
      <c r="G30">
        <f>INDEX(Islands!$A$1:$N$14,MATCH($A30, Islands!$A:$A),MATCH($D30, Islands!$A:$A))</f>
        <v>1</v>
      </c>
      <c r="H30">
        <f t="shared" si="0"/>
        <v>97.5</v>
      </c>
      <c r="I30">
        <f t="shared" si="1"/>
        <v>0</v>
      </c>
      <c r="J30">
        <f t="shared" si="2"/>
        <v>-97.5</v>
      </c>
      <c r="K30">
        <f t="shared" si="3"/>
        <v>-97.5</v>
      </c>
    </row>
    <row r="31" spans="1:11">
      <c r="A31" t="s">
        <v>30</v>
      </c>
      <c r="B31" t="s">
        <v>11</v>
      </c>
      <c r="C31">
        <v>241</v>
      </c>
      <c r="D31" t="s">
        <v>28</v>
      </c>
      <c r="E31">
        <v>270</v>
      </c>
      <c r="F31">
        <v>196</v>
      </c>
      <c r="G31">
        <f>INDEX(Islands!$A$1:$N$14,MATCH($A31, Islands!$A:$A),MATCH($D31, Islands!$A:$A))</f>
        <v>1</v>
      </c>
      <c r="H31">
        <f t="shared" si="0"/>
        <v>53001.820000000007</v>
      </c>
      <c r="I31">
        <f t="shared" si="1"/>
        <v>52920</v>
      </c>
      <c r="J31">
        <f t="shared" si="2"/>
        <v>-81.820000000006985</v>
      </c>
      <c r="K31">
        <f t="shared" si="3"/>
        <v>-81.820000000006985</v>
      </c>
    </row>
    <row r="32" spans="1:11">
      <c r="A32" t="s">
        <v>30</v>
      </c>
      <c r="B32" t="s">
        <v>11</v>
      </c>
      <c r="C32">
        <v>241</v>
      </c>
      <c r="D32" t="s">
        <v>9</v>
      </c>
      <c r="E32">
        <v>335</v>
      </c>
      <c r="F32">
        <v>93</v>
      </c>
      <c r="G32">
        <f>INDEX(Islands!$A$1:$N$14,MATCH($A32, Islands!$A:$A),MATCH($D32, Islands!$A:$A))</f>
        <v>3</v>
      </c>
      <c r="H32">
        <f t="shared" si="0"/>
        <v>25395.06</v>
      </c>
      <c r="I32">
        <f t="shared" si="1"/>
        <v>31155</v>
      </c>
      <c r="J32">
        <f t="shared" si="2"/>
        <v>5759.9399999999987</v>
      </c>
      <c r="K32">
        <f t="shared" si="3"/>
        <v>1919.9799999999996</v>
      </c>
    </row>
    <row r="33" spans="1:11">
      <c r="A33" t="s">
        <v>30</v>
      </c>
      <c r="B33" t="s">
        <v>11</v>
      </c>
      <c r="C33">
        <v>241</v>
      </c>
      <c r="D33" t="s">
        <v>32</v>
      </c>
      <c r="E33">
        <v>0</v>
      </c>
      <c r="F33">
        <v>0</v>
      </c>
      <c r="G33">
        <f>INDEX(Islands!$A$1:$N$14,MATCH($A33, Islands!$A:$A),MATCH($D33, Islands!$A:$A))</f>
        <v>6</v>
      </c>
      <c r="H33">
        <f t="shared" si="0"/>
        <v>585</v>
      </c>
      <c r="I33">
        <f t="shared" si="1"/>
        <v>0</v>
      </c>
      <c r="J33">
        <f t="shared" si="2"/>
        <v>-585</v>
      </c>
      <c r="K33">
        <f t="shared" si="3"/>
        <v>-97.5</v>
      </c>
    </row>
    <row r="34" spans="1:11">
      <c r="A34" t="s">
        <v>30</v>
      </c>
      <c r="B34" t="s">
        <v>11</v>
      </c>
      <c r="C34">
        <v>241</v>
      </c>
      <c r="D34" t="s">
        <v>33</v>
      </c>
      <c r="E34">
        <v>100</v>
      </c>
      <c r="F34">
        <v>1001</v>
      </c>
      <c r="G34">
        <f>INDEX(Islands!$A$1:$N$14,MATCH($A34, Islands!$A:$A),MATCH($D34, Islands!$A:$A))</f>
        <v>2</v>
      </c>
      <c r="H34">
        <f t="shared" ref="H34:H65" si="4">SUM($C34*$F34*1.12,$G34 *1.5*65)</f>
        <v>270384.92000000004</v>
      </c>
      <c r="I34">
        <f t="shared" ref="I34:I65" si="5">$E34*$F34</f>
        <v>100100</v>
      </c>
      <c r="J34">
        <f t="shared" ref="J34:J65" si="6">$I34-H34</f>
        <v>-170284.92000000004</v>
      </c>
      <c r="K34">
        <f t="shared" ref="K34:K55" si="7">$J34/$G34</f>
        <v>-85142.460000000021</v>
      </c>
    </row>
    <row r="35" spans="1:11">
      <c r="A35" t="s">
        <v>30</v>
      </c>
      <c r="B35" t="s">
        <v>11</v>
      </c>
      <c r="C35">
        <v>241</v>
      </c>
      <c r="D35" t="s">
        <v>7</v>
      </c>
      <c r="E35">
        <v>291</v>
      </c>
      <c r="F35">
        <v>340</v>
      </c>
      <c r="G35">
        <f>INDEX(Islands!$A$1:$N$14,MATCH($A35, Islands!$A:$A),MATCH($D35, Islands!$A:$A))</f>
        <v>4</v>
      </c>
      <c r="H35">
        <f t="shared" si="4"/>
        <v>92162.8</v>
      </c>
      <c r="I35">
        <f t="shared" si="5"/>
        <v>98940</v>
      </c>
      <c r="J35">
        <f t="shared" si="6"/>
        <v>6777.1999999999971</v>
      </c>
      <c r="K35">
        <f t="shared" si="7"/>
        <v>1694.2999999999993</v>
      </c>
    </row>
    <row r="36" spans="1:11">
      <c r="A36" t="s">
        <v>30</v>
      </c>
      <c r="B36" t="s">
        <v>11</v>
      </c>
      <c r="C36">
        <v>241</v>
      </c>
      <c r="D36" t="s">
        <v>34</v>
      </c>
      <c r="E36">
        <v>202</v>
      </c>
      <c r="F36">
        <v>99</v>
      </c>
      <c r="G36">
        <f>INDEX(Islands!$A$1:$N$14,MATCH($A36, Islands!$A:$A),MATCH($D36, Islands!$A:$A))</f>
        <v>6</v>
      </c>
      <c r="H36">
        <f t="shared" si="4"/>
        <v>27307.08</v>
      </c>
      <c r="I36">
        <f t="shared" si="5"/>
        <v>19998</v>
      </c>
      <c r="J36">
        <f t="shared" si="6"/>
        <v>-7309.0800000000017</v>
      </c>
      <c r="K36">
        <f t="shared" si="7"/>
        <v>-1218.1800000000003</v>
      </c>
    </row>
    <row r="37" spans="1:11">
      <c r="A37" t="s">
        <v>30</v>
      </c>
      <c r="B37" t="s">
        <v>11</v>
      </c>
      <c r="C37">
        <v>241</v>
      </c>
      <c r="D37" t="s">
        <v>4</v>
      </c>
      <c r="E37">
        <v>289</v>
      </c>
      <c r="F37">
        <v>295</v>
      </c>
      <c r="G37">
        <f>INDEX(Islands!$A$1:$N$14,MATCH($A37, Islands!$A:$A),MATCH($D37, Islands!$A:$A))</f>
        <v>3</v>
      </c>
      <c r="H37">
        <f t="shared" si="4"/>
        <v>79918.900000000009</v>
      </c>
      <c r="I37">
        <f t="shared" si="5"/>
        <v>85255</v>
      </c>
      <c r="J37">
        <f t="shared" si="6"/>
        <v>5336.0999999999913</v>
      </c>
      <c r="K37">
        <f t="shared" si="7"/>
        <v>1778.6999999999971</v>
      </c>
    </row>
    <row r="38" spans="1:11">
      <c r="A38" t="s">
        <v>26</v>
      </c>
      <c r="B38" t="s">
        <v>13</v>
      </c>
      <c r="C38">
        <v>1256</v>
      </c>
      <c r="D38" t="s">
        <v>40</v>
      </c>
      <c r="E38">
        <v>1430</v>
      </c>
      <c r="F38">
        <v>26</v>
      </c>
      <c r="G38">
        <f>INDEX(Islands!$A$1:$N$14,MATCH($A38, Islands!$A:$A),MATCH($D38, Islands!$A:$A))</f>
        <v>2</v>
      </c>
      <c r="H38">
        <f t="shared" si="4"/>
        <v>36769.72</v>
      </c>
      <c r="I38">
        <f t="shared" si="5"/>
        <v>37180</v>
      </c>
      <c r="J38">
        <f t="shared" si="6"/>
        <v>410.27999999999884</v>
      </c>
      <c r="K38">
        <f t="shared" si="7"/>
        <v>205.13999999999942</v>
      </c>
    </row>
    <row r="39" spans="1:11">
      <c r="A39" t="s">
        <v>26</v>
      </c>
      <c r="B39" t="s">
        <v>13</v>
      </c>
      <c r="C39">
        <v>1256</v>
      </c>
      <c r="D39" t="s">
        <v>10</v>
      </c>
      <c r="E39">
        <v>905</v>
      </c>
      <c r="F39">
        <v>25</v>
      </c>
      <c r="G39">
        <f>INDEX(Islands!$A$1:$N$14,MATCH($A39, Islands!$A:$A),MATCH($D39, Islands!$A:$A))</f>
        <v>3</v>
      </c>
      <c r="H39">
        <f t="shared" si="4"/>
        <v>35460.5</v>
      </c>
      <c r="I39">
        <f t="shared" si="5"/>
        <v>22625</v>
      </c>
      <c r="J39">
        <f t="shared" si="6"/>
        <v>-12835.5</v>
      </c>
      <c r="K39">
        <f t="shared" si="7"/>
        <v>-4278.5</v>
      </c>
    </row>
    <row r="40" spans="1:11">
      <c r="A40" t="s">
        <v>26</v>
      </c>
      <c r="B40" t="s">
        <v>13</v>
      </c>
      <c r="C40">
        <v>1256</v>
      </c>
      <c r="D40" t="s">
        <v>28</v>
      </c>
      <c r="E40">
        <v>1411</v>
      </c>
      <c r="F40">
        <v>6</v>
      </c>
      <c r="G40">
        <f>INDEX(Islands!$A$1:$N$14,MATCH($A40, Islands!$A:$A),MATCH($D40, Islands!$A:$A))</f>
        <v>4</v>
      </c>
      <c r="H40">
        <f t="shared" si="4"/>
        <v>8830.3200000000015</v>
      </c>
      <c r="I40">
        <f t="shared" si="5"/>
        <v>8466</v>
      </c>
      <c r="J40">
        <f t="shared" si="6"/>
        <v>-364.32000000000153</v>
      </c>
      <c r="K40">
        <f t="shared" si="7"/>
        <v>-91.080000000000382</v>
      </c>
    </row>
    <row r="41" spans="1:11">
      <c r="A41" t="s">
        <v>26</v>
      </c>
      <c r="B41" t="s">
        <v>13</v>
      </c>
      <c r="C41">
        <v>1256</v>
      </c>
      <c r="D41" t="s">
        <v>9</v>
      </c>
      <c r="E41">
        <v>1402</v>
      </c>
      <c r="F41">
        <v>142</v>
      </c>
      <c r="G41">
        <f>INDEX(Islands!$A$1:$N$14,MATCH($A41, Islands!$A:$A),MATCH($D41, Islands!$A:$A))</f>
        <v>3</v>
      </c>
      <c r="H41">
        <f t="shared" si="4"/>
        <v>200046.74000000002</v>
      </c>
      <c r="I41">
        <f t="shared" si="5"/>
        <v>199084</v>
      </c>
      <c r="J41">
        <f t="shared" si="6"/>
        <v>-962.74000000001979</v>
      </c>
      <c r="K41">
        <f t="shared" si="7"/>
        <v>-320.91333333333995</v>
      </c>
    </row>
    <row r="42" spans="1:11">
      <c r="A42" t="s">
        <v>26</v>
      </c>
      <c r="B42" t="s">
        <v>13</v>
      </c>
      <c r="C42">
        <v>1256</v>
      </c>
      <c r="D42" t="s">
        <v>32</v>
      </c>
      <c r="E42">
        <v>0</v>
      </c>
      <c r="F42">
        <v>0</v>
      </c>
      <c r="G42">
        <f>INDEX(Islands!$A$1:$N$14,MATCH($A42, Islands!$A:$A),MATCH($D42, Islands!$A:$A))</f>
        <v>1</v>
      </c>
      <c r="H42">
        <f t="shared" si="4"/>
        <v>97.5</v>
      </c>
      <c r="I42">
        <f t="shared" si="5"/>
        <v>0</v>
      </c>
      <c r="J42">
        <f t="shared" si="6"/>
        <v>-97.5</v>
      </c>
      <c r="K42">
        <f t="shared" si="7"/>
        <v>-97.5</v>
      </c>
    </row>
    <row r="43" spans="1:11">
      <c r="A43" t="s">
        <v>26</v>
      </c>
      <c r="B43" t="s">
        <v>13</v>
      </c>
      <c r="C43">
        <v>1256</v>
      </c>
      <c r="D43" t="s">
        <v>33</v>
      </c>
      <c r="E43">
        <v>112</v>
      </c>
      <c r="F43">
        <v>1001</v>
      </c>
      <c r="G43">
        <f>INDEX(Islands!$A$1:$N$14,MATCH($A43, Islands!$A:$A),MATCH($D43, Islands!$A:$A))</f>
        <v>2</v>
      </c>
      <c r="H43">
        <f t="shared" si="4"/>
        <v>1408321.7200000002</v>
      </c>
      <c r="I43">
        <f t="shared" si="5"/>
        <v>112112</v>
      </c>
      <c r="J43">
        <f t="shared" si="6"/>
        <v>-1296209.7200000002</v>
      </c>
      <c r="K43">
        <f t="shared" si="7"/>
        <v>-648104.8600000001</v>
      </c>
    </row>
    <row r="44" spans="1:11">
      <c r="A44" t="s">
        <v>26</v>
      </c>
      <c r="B44" t="s">
        <v>13</v>
      </c>
      <c r="C44">
        <v>1256</v>
      </c>
      <c r="D44" t="s">
        <v>7</v>
      </c>
      <c r="E44">
        <v>1460</v>
      </c>
      <c r="F44">
        <v>22</v>
      </c>
      <c r="G44">
        <f>INDEX(Islands!$A$1:$N$14,MATCH($A44, Islands!$A:$A),MATCH($D44, Islands!$A:$A))</f>
        <v>4</v>
      </c>
      <c r="H44">
        <f t="shared" si="4"/>
        <v>31337.840000000004</v>
      </c>
      <c r="I44">
        <f t="shared" si="5"/>
        <v>32120</v>
      </c>
      <c r="J44">
        <f t="shared" si="6"/>
        <v>782.15999999999622</v>
      </c>
      <c r="K44">
        <f t="shared" si="7"/>
        <v>195.53999999999905</v>
      </c>
    </row>
    <row r="45" spans="1:11">
      <c r="A45" t="s">
        <v>26</v>
      </c>
      <c r="B45" t="s">
        <v>13</v>
      </c>
      <c r="C45">
        <v>1256</v>
      </c>
      <c r="D45" t="s">
        <v>34</v>
      </c>
      <c r="E45">
        <v>900</v>
      </c>
      <c r="F45">
        <v>60</v>
      </c>
      <c r="G45">
        <f>INDEX(Islands!$A$1:$N$14,MATCH($A45, Islands!$A:$A),MATCH($D45, Islands!$A:$A))</f>
        <v>1</v>
      </c>
      <c r="H45">
        <f t="shared" si="4"/>
        <v>84500.700000000012</v>
      </c>
      <c r="I45">
        <f t="shared" si="5"/>
        <v>54000</v>
      </c>
      <c r="J45">
        <f t="shared" si="6"/>
        <v>-30500.700000000012</v>
      </c>
      <c r="K45">
        <f t="shared" si="7"/>
        <v>-30500.700000000012</v>
      </c>
    </row>
    <row r="46" spans="1:11">
      <c r="A46" t="s">
        <v>26</v>
      </c>
      <c r="B46" t="s">
        <v>13</v>
      </c>
      <c r="C46">
        <v>1256</v>
      </c>
      <c r="D46" t="s">
        <v>4</v>
      </c>
      <c r="E46">
        <v>1390</v>
      </c>
      <c r="F46">
        <v>231</v>
      </c>
      <c r="G46">
        <f>INDEX(Islands!$A$1:$N$14,MATCH($A46, Islands!$A:$A),MATCH($D46, Islands!$A:$A))</f>
        <v>3</v>
      </c>
      <c r="H46">
        <f t="shared" si="4"/>
        <v>325244.82</v>
      </c>
      <c r="I46">
        <f t="shared" si="5"/>
        <v>321090</v>
      </c>
      <c r="J46">
        <f t="shared" si="6"/>
        <v>-4154.820000000007</v>
      </c>
      <c r="K46">
        <f t="shared" si="7"/>
        <v>-1384.9400000000023</v>
      </c>
    </row>
    <row r="47" spans="1:11">
      <c r="A47" t="s">
        <v>26</v>
      </c>
      <c r="B47" t="s">
        <v>5</v>
      </c>
      <c r="C47">
        <v>12</v>
      </c>
      <c r="D47" t="s">
        <v>40</v>
      </c>
      <c r="E47">
        <v>13</v>
      </c>
      <c r="F47">
        <v>1350</v>
      </c>
      <c r="G47">
        <f>INDEX(Islands!$A$1:$N$14,MATCH($A47, Islands!$A:$A),MATCH($D47, Islands!$A:$A))</f>
        <v>2</v>
      </c>
      <c r="H47">
        <f t="shared" si="4"/>
        <v>18339</v>
      </c>
      <c r="I47">
        <f t="shared" si="5"/>
        <v>17550</v>
      </c>
      <c r="J47">
        <f t="shared" si="6"/>
        <v>-789</v>
      </c>
      <c r="K47">
        <f t="shared" si="7"/>
        <v>-394.5</v>
      </c>
    </row>
    <row r="48" spans="1:11">
      <c r="A48" t="s">
        <v>26</v>
      </c>
      <c r="B48" t="s">
        <v>5</v>
      </c>
      <c r="C48">
        <v>12</v>
      </c>
      <c r="D48" t="s">
        <v>10</v>
      </c>
      <c r="E48">
        <v>9</v>
      </c>
      <c r="F48">
        <v>1001</v>
      </c>
      <c r="G48">
        <f>INDEX(Islands!$A$1:$N$14,MATCH($A48, Islands!$A:$A),MATCH($D48, Islands!$A:$A))</f>
        <v>3</v>
      </c>
      <c r="H48">
        <f t="shared" si="4"/>
        <v>13745.94</v>
      </c>
      <c r="I48">
        <f t="shared" si="5"/>
        <v>9009</v>
      </c>
      <c r="J48">
        <f t="shared" si="6"/>
        <v>-4736.9400000000005</v>
      </c>
      <c r="K48">
        <f t="shared" si="7"/>
        <v>-1578.9800000000002</v>
      </c>
    </row>
    <row r="49" spans="1:11">
      <c r="A49" t="s">
        <v>26</v>
      </c>
      <c r="B49" t="s">
        <v>5</v>
      </c>
      <c r="C49">
        <v>12</v>
      </c>
      <c r="D49" t="s">
        <v>28</v>
      </c>
      <c r="E49">
        <v>14</v>
      </c>
      <c r="F49">
        <v>4000</v>
      </c>
      <c r="G49">
        <f>INDEX(Islands!$A$1:$N$14,MATCH($A49, Islands!$A:$A),MATCH($D49, Islands!$A:$A))</f>
        <v>4</v>
      </c>
      <c r="H49">
        <f t="shared" si="4"/>
        <v>54150.000000000007</v>
      </c>
      <c r="I49">
        <f t="shared" si="5"/>
        <v>56000</v>
      </c>
      <c r="J49">
        <f t="shared" si="6"/>
        <v>1849.9999999999927</v>
      </c>
      <c r="K49">
        <f t="shared" si="7"/>
        <v>462.49999999999818</v>
      </c>
    </row>
    <row r="50" spans="1:11">
      <c r="A50" t="s">
        <v>26</v>
      </c>
      <c r="B50" t="s">
        <v>5</v>
      </c>
      <c r="C50">
        <v>12</v>
      </c>
      <c r="D50" t="s">
        <v>9</v>
      </c>
      <c r="E50">
        <v>16</v>
      </c>
      <c r="F50">
        <v>40</v>
      </c>
      <c r="G50">
        <f>INDEX(Islands!$A$1:$N$14,MATCH($A50, Islands!$A:$A),MATCH($D50, Islands!$A:$A))</f>
        <v>3</v>
      </c>
      <c r="H50">
        <f t="shared" si="4"/>
        <v>830.1</v>
      </c>
      <c r="I50">
        <f t="shared" si="5"/>
        <v>640</v>
      </c>
      <c r="J50">
        <f t="shared" si="6"/>
        <v>-190.10000000000002</v>
      </c>
      <c r="K50">
        <f t="shared" si="7"/>
        <v>-63.366666666666674</v>
      </c>
    </row>
    <row r="51" spans="1:11">
      <c r="A51" t="s">
        <v>26</v>
      </c>
      <c r="B51" t="s">
        <v>5</v>
      </c>
      <c r="C51">
        <v>12</v>
      </c>
      <c r="D51" t="s">
        <v>32</v>
      </c>
      <c r="E51">
        <v>11</v>
      </c>
      <c r="F51">
        <v>682</v>
      </c>
      <c r="G51">
        <f>INDEX(Islands!$A$1:$N$14,MATCH($A51, Islands!$A:$A),MATCH($D51, Islands!$A:$A))</f>
        <v>1</v>
      </c>
      <c r="H51">
        <f t="shared" si="4"/>
        <v>9263.5800000000017</v>
      </c>
      <c r="I51">
        <f t="shared" si="5"/>
        <v>7502</v>
      </c>
      <c r="J51">
        <f t="shared" si="6"/>
        <v>-1761.5800000000017</v>
      </c>
      <c r="K51">
        <f t="shared" si="7"/>
        <v>-1761.5800000000017</v>
      </c>
    </row>
    <row r="52" spans="1:11">
      <c r="A52" t="s">
        <v>26</v>
      </c>
      <c r="B52" t="s">
        <v>5</v>
      </c>
      <c r="C52">
        <v>12</v>
      </c>
      <c r="D52" t="s">
        <v>33</v>
      </c>
      <c r="E52">
        <v>11</v>
      </c>
      <c r="F52">
        <v>2500</v>
      </c>
      <c r="G52">
        <f>INDEX(Islands!$A$1:$N$14,MATCH($A52, Islands!$A:$A),MATCH($D52, Islands!$A:$A))</f>
        <v>2</v>
      </c>
      <c r="H52">
        <f t="shared" si="4"/>
        <v>33795</v>
      </c>
      <c r="I52">
        <f t="shared" si="5"/>
        <v>27500</v>
      </c>
      <c r="J52">
        <f t="shared" si="6"/>
        <v>-6295</v>
      </c>
      <c r="K52">
        <f t="shared" si="7"/>
        <v>-3147.5</v>
      </c>
    </row>
    <row r="53" spans="1:11">
      <c r="A53" t="s">
        <v>26</v>
      </c>
      <c r="B53" t="s">
        <v>5</v>
      </c>
      <c r="C53">
        <v>12</v>
      </c>
      <c r="D53" t="s">
        <v>7</v>
      </c>
      <c r="E53">
        <v>14</v>
      </c>
      <c r="F53">
        <v>100</v>
      </c>
      <c r="G53">
        <f>INDEX(Islands!$A$1:$N$14,MATCH($A53, Islands!$A:$A),MATCH($D53, Islands!$A:$A))</f>
        <v>4</v>
      </c>
      <c r="H53">
        <f t="shared" si="4"/>
        <v>1734.0000000000002</v>
      </c>
      <c r="I53">
        <f t="shared" si="5"/>
        <v>1400</v>
      </c>
      <c r="J53">
        <f t="shared" si="6"/>
        <v>-334.00000000000023</v>
      </c>
      <c r="K53">
        <f t="shared" si="7"/>
        <v>-83.500000000000057</v>
      </c>
    </row>
    <row r="54" spans="1:11">
      <c r="A54" t="s">
        <v>26</v>
      </c>
      <c r="B54" t="s">
        <v>5</v>
      </c>
      <c r="C54">
        <v>12</v>
      </c>
      <c r="D54" t="s">
        <v>34</v>
      </c>
      <c r="E54">
        <v>8</v>
      </c>
      <c r="F54">
        <v>2600</v>
      </c>
      <c r="G54">
        <f>INDEX(Islands!$A$1:$N$14,MATCH($A54, Islands!$A:$A),MATCH($D54, Islands!$A:$A))</f>
        <v>1</v>
      </c>
      <c r="H54">
        <f t="shared" si="4"/>
        <v>35041.5</v>
      </c>
      <c r="I54">
        <f t="shared" si="5"/>
        <v>20800</v>
      </c>
      <c r="J54">
        <f t="shared" si="6"/>
        <v>-14241.5</v>
      </c>
      <c r="K54">
        <f t="shared" si="7"/>
        <v>-14241.5</v>
      </c>
    </row>
    <row r="55" spans="1:11">
      <c r="A55" t="s">
        <v>26</v>
      </c>
      <c r="B55" t="s">
        <v>5</v>
      </c>
      <c r="C55">
        <v>12</v>
      </c>
      <c r="D55" t="s">
        <v>4</v>
      </c>
      <c r="E55">
        <v>15</v>
      </c>
      <c r="F55">
        <v>500</v>
      </c>
      <c r="G55">
        <f>INDEX(Islands!$A$1:$N$14,MATCH($A55, Islands!$A:$A),MATCH($D55, Islands!$A:$A))</f>
        <v>3</v>
      </c>
      <c r="H55">
        <f t="shared" si="4"/>
        <v>7012.5000000000009</v>
      </c>
      <c r="I55">
        <f t="shared" si="5"/>
        <v>7500</v>
      </c>
      <c r="J55">
        <f t="shared" si="6"/>
        <v>487.49999999999909</v>
      </c>
      <c r="K55">
        <f t="shared" si="7"/>
        <v>162.49999999999969</v>
      </c>
    </row>
    <row r="56" spans="1:11">
      <c r="A56" t="s">
        <v>40</v>
      </c>
      <c r="B56" t="s">
        <v>38</v>
      </c>
      <c r="C56">
        <v>515</v>
      </c>
      <c r="D56" t="s">
        <v>40</v>
      </c>
      <c r="E56">
        <v>514</v>
      </c>
      <c r="F56">
        <v>26</v>
      </c>
      <c r="G56">
        <f>INDEX(Islands!$A$1:$N$14,MATCH($A56, Islands!$A:$A),MATCH($D56, Islands!$A:$A))</f>
        <v>0</v>
      </c>
      <c r="H56">
        <f t="shared" si="4"/>
        <v>14996.800000000001</v>
      </c>
      <c r="I56">
        <f t="shared" si="5"/>
        <v>13364</v>
      </c>
      <c r="J56">
        <f t="shared" si="6"/>
        <v>-1632.8000000000011</v>
      </c>
      <c r="K56">
        <v>0</v>
      </c>
    </row>
    <row r="57" spans="1:11">
      <c r="A57" t="s">
        <v>40</v>
      </c>
      <c r="B57" t="s">
        <v>38</v>
      </c>
      <c r="C57">
        <v>515</v>
      </c>
      <c r="D57" t="s">
        <v>10</v>
      </c>
      <c r="E57">
        <v>0</v>
      </c>
      <c r="F57">
        <v>0</v>
      </c>
      <c r="G57">
        <f>INDEX(Islands!$A$1:$N$14,MATCH($A57, Islands!$A:$A),MATCH($D57, Islands!$A:$A))</f>
        <v>5</v>
      </c>
      <c r="H57">
        <f t="shared" si="4"/>
        <v>487.5</v>
      </c>
      <c r="I57">
        <f t="shared" si="5"/>
        <v>0</v>
      </c>
      <c r="J57">
        <f t="shared" si="6"/>
        <v>-487.5</v>
      </c>
      <c r="K57">
        <f t="shared" ref="K57:K64" si="8">$J57/$G57</f>
        <v>-97.5</v>
      </c>
    </row>
    <row r="58" spans="1:11">
      <c r="A58" t="s">
        <v>40</v>
      </c>
      <c r="B58" t="s">
        <v>38</v>
      </c>
      <c r="C58">
        <v>515</v>
      </c>
      <c r="D58" t="s">
        <v>28</v>
      </c>
      <c r="E58">
        <v>565</v>
      </c>
      <c r="F58">
        <v>177</v>
      </c>
      <c r="G58">
        <f>INDEX(Islands!$A$1:$N$14,MATCH($A58, Islands!$A:$A),MATCH($D58, Islands!$A:$A))</f>
        <v>6</v>
      </c>
      <c r="H58">
        <f t="shared" si="4"/>
        <v>102678.6</v>
      </c>
      <c r="I58">
        <f t="shared" si="5"/>
        <v>100005</v>
      </c>
      <c r="J58">
        <f t="shared" si="6"/>
        <v>-2673.6000000000058</v>
      </c>
      <c r="K58">
        <f t="shared" si="8"/>
        <v>-445.60000000000099</v>
      </c>
    </row>
    <row r="59" spans="1:11">
      <c r="A59" t="s">
        <v>40</v>
      </c>
      <c r="B59" t="s">
        <v>38</v>
      </c>
      <c r="C59">
        <v>515</v>
      </c>
      <c r="D59" t="s">
        <v>9</v>
      </c>
      <c r="E59">
        <v>681</v>
      </c>
      <c r="F59">
        <v>73</v>
      </c>
      <c r="G59">
        <f>INDEX(Islands!$A$1:$N$14,MATCH($A59, Islands!$A:$A),MATCH($D59, Islands!$A:$A))</f>
        <v>5</v>
      </c>
      <c r="H59">
        <f t="shared" si="4"/>
        <v>42593.9</v>
      </c>
      <c r="I59">
        <f t="shared" si="5"/>
        <v>49713</v>
      </c>
      <c r="J59">
        <f t="shared" si="6"/>
        <v>7119.0999999999985</v>
      </c>
      <c r="K59">
        <f t="shared" si="8"/>
        <v>1423.8199999999997</v>
      </c>
    </row>
    <row r="60" spans="1:11">
      <c r="A60" t="s">
        <v>40</v>
      </c>
      <c r="B60" t="s">
        <v>38</v>
      </c>
      <c r="C60">
        <v>515</v>
      </c>
      <c r="D60" t="s">
        <v>32</v>
      </c>
      <c r="E60">
        <v>0</v>
      </c>
      <c r="F60">
        <v>0</v>
      </c>
      <c r="G60">
        <f>INDEX(Islands!$A$1:$N$14,MATCH($A60, Islands!$A:$A),MATCH($D60, Islands!$A:$A))</f>
        <v>2</v>
      </c>
      <c r="H60">
        <f t="shared" si="4"/>
        <v>195</v>
      </c>
      <c r="I60">
        <f t="shared" si="5"/>
        <v>0</v>
      </c>
      <c r="J60">
        <f t="shared" si="6"/>
        <v>-195</v>
      </c>
      <c r="K60">
        <f t="shared" si="8"/>
        <v>-97.5</v>
      </c>
    </row>
    <row r="61" spans="1:11">
      <c r="A61" t="s">
        <v>40</v>
      </c>
      <c r="B61" t="s">
        <v>38</v>
      </c>
      <c r="C61">
        <v>515</v>
      </c>
      <c r="D61" t="s">
        <v>33</v>
      </c>
      <c r="E61">
        <v>46</v>
      </c>
      <c r="F61">
        <v>1001</v>
      </c>
      <c r="G61">
        <f>INDEX(Islands!$A$1:$N$14,MATCH($A61, Islands!$A:$A),MATCH($D61, Islands!$A:$A))</f>
        <v>4</v>
      </c>
      <c r="H61">
        <f t="shared" si="4"/>
        <v>577766.80000000005</v>
      </c>
      <c r="I61">
        <f t="shared" si="5"/>
        <v>46046</v>
      </c>
      <c r="J61">
        <f t="shared" si="6"/>
        <v>-531720.80000000005</v>
      </c>
      <c r="K61">
        <f t="shared" si="8"/>
        <v>-132930.20000000001</v>
      </c>
    </row>
    <row r="62" spans="1:11">
      <c r="A62" t="s">
        <v>40</v>
      </c>
      <c r="B62" t="s">
        <v>38</v>
      </c>
      <c r="C62">
        <v>515</v>
      </c>
      <c r="D62" t="s">
        <v>7</v>
      </c>
      <c r="E62">
        <v>617</v>
      </c>
      <c r="F62">
        <v>100</v>
      </c>
      <c r="G62">
        <f>INDEX(Islands!$A$1:$N$14,MATCH($A62, Islands!$A:$A),MATCH($D62, Islands!$A:$A))</f>
        <v>6</v>
      </c>
      <c r="H62">
        <f t="shared" si="4"/>
        <v>58265.000000000007</v>
      </c>
      <c r="I62">
        <f t="shared" si="5"/>
        <v>61700</v>
      </c>
      <c r="J62">
        <f t="shared" si="6"/>
        <v>3434.9999999999927</v>
      </c>
      <c r="K62">
        <f t="shared" si="8"/>
        <v>572.49999999999875</v>
      </c>
    </row>
    <row r="63" spans="1:11">
      <c r="A63" t="s">
        <v>40</v>
      </c>
      <c r="B63" t="s">
        <v>38</v>
      </c>
      <c r="C63">
        <v>515</v>
      </c>
      <c r="D63" t="s">
        <v>34</v>
      </c>
      <c r="E63">
        <v>433</v>
      </c>
      <c r="F63">
        <v>99</v>
      </c>
      <c r="G63">
        <f>INDEX(Islands!$A$1:$N$14,MATCH($A63, Islands!$A:$A),MATCH($D63, Islands!$A:$A))</f>
        <v>1</v>
      </c>
      <c r="H63">
        <f t="shared" si="4"/>
        <v>57200.700000000004</v>
      </c>
      <c r="I63">
        <f t="shared" si="5"/>
        <v>42867</v>
      </c>
      <c r="J63">
        <f t="shared" si="6"/>
        <v>-14333.700000000004</v>
      </c>
      <c r="K63">
        <f t="shared" si="8"/>
        <v>-14333.700000000004</v>
      </c>
    </row>
    <row r="64" spans="1:11">
      <c r="A64" t="s">
        <v>40</v>
      </c>
      <c r="B64" t="s">
        <v>38</v>
      </c>
      <c r="C64">
        <v>515</v>
      </c>
      <c r="D64" t="s">
        <v>4</v>
      </c>
      <c r="E64">
        <v>604</v>
      </c>
      <c r="F64">
        <v>103</v>
      </c>
      <c r="G64">
        <f>INDEX(Islands!$A$1:$N$14,MATCH($A64, Islands!$A:$A),MATCH($D64, Islands!$A:$A))</f>
        <v>5</v>
      </c>
      <c r="H64">
        <f t="shared" si="4"/>
        <v>59897.900000000009</v>
      </c>
      <c r="I64">
        <f t="shared" si="5"/>
        <v>62212</v>
      </c>
      <c r="J64">
        <f t="shared" si="6"/>
        <v>2314.0999999999913</v>
      </c>
      <c r="K64">
        <f t="shared" si="8"/>
        <v>462.81999999999823</v>
      </c>
    </row>
    <row r="65" spans="1:11">
      <c r="A65" t="s">
        <v>40</v>
      </c>
      <c r="B65" t="s">
        <v>5</v>
      </c>
      <c r="C65">
        <v>10</v>
      </c>
      <c r="D65" t="s">
        <v>40</v>
      </c>
      <c r="E65">
        <v>13</v>
      </c>
      <c r="F65">
        <v>1350</v>
      </c>
      <c r="G65">
        <f>INDEX(Islands!$A$1:$N$14,MATCH($A65, Islands!$A:$A),MATCH($D65, Islands!$A:$A))</f>
        <v>0</v>
      </c>
      <c r="H65">
        <f t="shared" si="4"/>
        <v>15120.000000000002</v>
      </c>
      <c r="I65">
        <f t="shared" si="5"/>
        <v>17550</v>
      </c>
      <c r="J65">
        <f t="shared" si="6"/>
        <v>2429.9999999999982</v>
      </c>
      <c r="K65">
        <v>0</v>
      </c>
    </row>
    <row r="66" spans="1:11">
      <c r="A66" t="s">
        <v>40</v>
      </c>
      <c r="B66" t="s">
        <v>5</v>
      </c>
      <c r="C66">
        <v>10</v>
      </c>
      <c r="D66" t="s">
        <v>10</v>
      </c>
      <c r="E66">
        <v>9</v>
      </c>
      <c r="F66">
        <v>1001</v>
      </c>
      <c r="G66">
        <f>INDEX(Islands!$A$1:$N$14,MATCH($A66, Islands!$A:$A),MATCH($D66, Islands!$A:$A))</f>
        <v>5</v>
      </c>
      <c r="H66">
        <f t="shared" ref="H66:H97" si="9">SUM($C66*$F66*1.12,$G66 *1.5*65)</f>
        <v>11698.7</v>
      </c>
      <c r="I66">
        <f t="shared" ref="I66:I97" si="10">$E66*$F66</f>
        <v>9009</v>
      </c>
      <c r="J66">
        <f t="shared" ref="J66:J100" si="11">$I66-H66</f>
        <v>-2689.7000000000007</v>
      </c>
      <c r="K66">
        <f t="shared" ref="K66:K73" si="12">$J66/$G66</f>
        <v>-537.94000000000017</v>
      </c>
    </row>
    <row r="67" spans="1:11">
      <c r="A67" t="s">
        <v>40</v>
      </c>
      <c r="B67" t="s">
        <v>5</v>
      </c>
      <c r="C67">
        <v>10</v>
      </c>
      <c r="D67" t="s">
        <v>28</v>
      </c>
      <c r="E67">
        <v>14</v>
      </c>
      <c r="F67">
        <v>4000</v>
      </c>
      <c r="G67">
        <f>INDEX(Islands!$A$1:$N$14,MATCH($A67, Islands!$A:$A),MATCH($D67, Islands!$A:$A))</f>
        <v>6</v>
      </c>
      <c r="H67">
        <f t="shared" si="9"/>
        <v>45385.000000000007</v>
      </c>
      <c r="I67">
        <f t="shared" si="10"/>
        <v>56000</v>
      </c>
      <c r="J67">
        <f t="shared" si="11"/>
        <v>10614.999999999993</v>
      </c>
      <c r="K67">
        <f t="shared" si="12"/>
        <v>1769.1666666666654</v>
      </c>
    </row>
    <row r="68" spans="1:11">
      <c r="A68" t="s">
        <v>40</v>
      </c>
      <c r="B68" t="s">
        <v>5</v>
      </c>
      <c r="C68">
        <v>10</v>
      </c>
      <c r="D68" t="s">
        <v>9</v>
      </c>
      <c r="E68">
        <v>16</v>
      </c>
      <c r="F68">
        <v>40</v>
      </c>
      <c r="G68">
        <f>INDEX(Islands!$A$1:$N$14,MATCH($A68, Islands!$A:$A),MATCH($D68, Islands!$A:$A))</f>
        <v>5</v>
      </c>
      <c r="H68">
        <f t="shared" si="9"/>
        <v>935.5</v>
      </c>
      <c r="I68">
        <f t="shared" si="10"/>
        <v>640</v>
      </c>
      <c r="J68">
        <f t="shared" si="11"/>
        <v>-295.5</v>
      </c>
      <c r="K68">
        <f t="shared" si="12"/>
        <v>-59.1</v>
      </c>
    </row>
    <row r="69" spans="1:11">
      <c r="A69" t="s">
        <v>40</v>
      </c>
      <c r="B69" t="s">
        <v>5</v>
      </c>
      <c r="C69">
        <v>10</v>
      </c>
      <c r="D69" t="s">
        <v>32</v>
      </c>
      <c r="E69">
        <v>11</v>
      </c>
      <c r="F69">
        <v>682</v>
      </c>
      <c r="G69">
        <f>INDEX(Islands!$A$1:$N$14,MATCH($A69, Islands!$A:$A),MATCH($D69, Islands!$A:$A))</f>
        <v>2</v>
      </c>
      <c r="H69">
        <f t="shared" si="9"/>
        <v>7833.4000000000005</v>
      </c>
      <c r="I69">
        <f t="shared" si="10"/>
        <v>7502</v>
      </c>
      <c r="J69">
        <f t="shared" si="11"/>
        <v>-331.40000000000055</v>
      </c>
      <c r="K69">
        <f t="shared" si="12"/>
        <v>-165.70000000000027</v>
      </c>
    </row>
    <row r="70" spans="1:11">
      <c r="A70" t="s">
        <v>40</v>
      </c>
      <c r="B70" t="s">
        <v>5</v>
      </c>
      <c r="C70">
        <v>10</v>
      </c>
      <c r="D70" t="s">
        <v>33</v>
      </c>
      <c r="E70">
        <v>11</v>
      </c>
      <c r="F70">
        <v>2500</v>
      </c>
      <c r="G70">
        <f>INDEX(Islands!$A$1:$N$14,MATCH($A70, Islands!$A:$A),MATCH($D70, Islands!$A:$A))</f>
        <v>4</v>
      </c>
      <c r="H70">
        <f t="shared" si="9"/>
        <v>28390.000000000004</v>
      </c>
      <c r="I70">
        <f t="shared" si="10"/>
        <v>27500</v>
      </c>
      <c r="J70">
        <f t="shared" si="11"/>
        <v>-890.00000000000364</v>
      </c>
      <c r="K70">
        <f t="shared" si="12"/>
        <v>-222.50000000000091</v>
      </c>
    </row>
    <row r="71" spans="1:11">
      <c r="A71" t="s">
        <v>40</v>
      </c>
      <c r="B71" t="s">
        <v>5</v>
      </c>
      <c r="C71">
        <v>10</v>
      </c>
      <c r="D71" t="s">
        <v>7</v>
      </c>
      <c r="E71">
        <v>14</v>
      </c>
      <c r="F71">
        <v>100</v>
      </c>
      <c r="G71">
        <f>INDEX(Islands!$A$1:$N$14,MATCH($A71, Islands!$A:$A),MATCH($D71, Islands!$A:$A))</f>
        <v>6</v>
      </c>
      <c r="H71">
        <f t="shared" si="9"/>
        <v>1705</v>
      </c>
      <c r="I71">
        <f t="shared" si="10"/>
        <v>1400</v>
      </c>
      <c r="J71">
        <f t="shared" si="11"/>
        <v>-305</v>
      </c>
      <c r="K71">
        <f t="shared" si="12"/>
        <v>-50.833333333333336</v>
      </c>
    </row>
    <row r="72" spans="1:11">
      <c r="A72" t="s">
        <v>40</v>
      </c>
      <c r="B72" t="s">
        <v>5</v>
      </c>
      <c r="C72">
        <v>10</v>
      </c>
      <c r="D72" t="s">
        <v>34</v>
      </c>
      <c r="E72">
        <v>8</v>
      </c>
      <c r="F72">
        <v>2600</v>
      </c>
      <c r="G72">
        <f>INDEX(Islands!$A$1:$N$14,MATCH($A72, Islands!$A:$A),MATCH($D72, Islands!$A:$A))</f>
        <v>1</v>
      </c>
      <c r="H72">
        <f t="shared" si="9"/>
        <v>29217.500000000004</v>
      </c>
      <c r="I72">
        <f t="shared" si="10"/>
        <v>20800</v>
      </c>
      <c r="J72">
        <f t="shared" si="11"/>
        <v>-8417.5000000000036</v>
      </c>
      <c r="K72">
        <f t="shared" si="12"/>
        <v>-8417.5000000000036</v>
      </c>
    </row>
    <row r="73" spans="1:11">
      <c r="A73" t="s">
        <v>40</v>
      </c>
      <c r="B73" t="s">
        <v>5</v>
      </c>
      <c r="C73">
        <v>10</v>
      </c>
      <c r="D73" t="s">
        <v>4</v>
      </c>
      <c r="E73">
        <v>15</v>
      </c>
      <c r="F73">
        <v>500</v>
      </c>
      <c r="G73">
        <f>INDEX(Islands!$A$1:$N$14,MATCH($A73, Islands!$A:$A),MATCH($D73, Islands!$A:$A))</f>
        <v>5</v>
      </c>
      <c r="H73">
        <f t="shared" si="9"/>
        <v>6087.5000000000009</v>
      </c>
      <c r="I73">
        <f t="shared" si="10"/>
        <v>7500</v>
      </c>
      <c r="J73">
        <f t="shared" si="11"/>
        <v>1412.4999999999991</v>
      </c>
      <c r="K73">
        <f t="shared" si="12"/>
        <v>282.49999999999983</v>
      </c>
    </row>
    <row r="74" spans="1:11">
      <c r="A74" t="s">
        <v>40</v>
      </c>
      <c r="B74" t="s">
        <v>35</v>
      </c>
      <c r="C74">
        <v>1</v>
      </c>
      <c r="D74" t="s">
        <v>40</v>
      </c>
      <c r="E74">
        <v>0</v>
      </c>
      <c r="F74">
        <v>0</v>
      </c>
      <c r="G74">
        <f>INDEX(Islands!$A$1:$N$14,MATCH($A74, Islands!$A:$A),MATCH($D74, Islands!$A:$A))</f>
        <v>0</v>
      </c>
      <c r="H74">
        <f t="shared" si="9"/>
        <v>0</v>
      </c>
      <c r="I74">
        <f t="shared" si="10"/>
        <v>0</v>
      </c>
      <c r="J74">
        <f t="shared" si="11"/>
        <v>0</v>
      </c>
      <c r="K74">
        <v>0</v>
      </c>
    </row>
    <row r="75" spans="1:11">
      <c r="A75" t="s">
        <v>40</v>
      </c>
      <c r="B75" t="s">
        <v>35</v>
      </c>
      <c r="C75">
        <v>1</v>
      </c>
      <c r="D75" t="s">
        <v>10</v>
      </c>
      <c r="E75">
        <v>0</v>
      </c>
      <c r="F75">
        <v>0</v>
      </c>
      <c r="G75">
        <f>INDEX(Islands!$A$1:$N$14,MATCH($A75, Islands!$A:$A),MATCH($D75, Islands!$A:$A))</f>
        <v>5</v>
      </c>
      <c r="H75">
        <f t="shared" si="9"/>
        <v>487.5</v>
      </c>
      <c r="I75">
        <f t="shared" si="10"/>
        <v>0</v>
      </c>
      <c r="J75">
        <f t="shared" si="11"/>
        <v>-487.5</v>
      </c>
      <c r="K75">
        <f t="shared" ref="K75:K118" si="13">$J75/$G75</f>
        <v>-97.5</v>
      </c>
    </row>
    <row r="76" spans="1:11">
      <c r="A76" t="s">
        <v>40</v>
      </c>
      <c r="B76" t="s">
        <v>35</v>
      </c>
      <c r="C76">
        <v>1</v>
      </c>
      <c r="D76" t="s">
        <v>28</v>
      </c>
      <c r="E76">
        <v>2</v>
      </c>
      <c r="F76">
        <v>2500</v>
      </c>
      <c r="G76">
        <f>INDEX(Islands!$A$1:$N$14,MATCH($A76, Islands!$A:$A),MATCH($D76, Islands!$A:$A))</f>
        <v>6</v>
      </c>
      <c r="H76">
        <f t="shared" si="9"/>
        <v>3385.0000000000005</v>
      </c>
      <c r="I76">
        <f t="shared" si="10"/>
        <v>5000</v>
      </c>
      <c r="J76">
        <f t="shared" si="11"/>
        <v>1614.9999999999995</v>
      </c>
      <c r="K76">
        <f t="shared" si="13"/>
        <v>269.16666666666657</v>
      </c>
    </row>
    <row r="77" spans="1:11">
      <c r="A77" t="s">
        <v>40</v>
      </c>
      <c r="B77" t="s">
        <v>35</v>
      </c>
      <c r="C77">
        <v>1</v>
      </c>
      <c r="D77" t="s">
        <v>9</v>
      </c>
      <c r="E77">
        <v>2</v>
      </c>
      <c r="F77">
        <v>1400</v>
      </c>
      <c r="G77">
        <f>INDEX(Islands!$A$1:$N$14,MATCH($A77, Islands!$A:$A),MATCH($D77, Islands!$A:$A))</f>
        <v>5</v>
      </c>
      <c r="H77">
        <f t="shared" si="9"/>
        <v>2055.5</v>
      </c>
      <c r="I77">
        <f t="shared" si="10"/>
        <v>2800</v>
      </c>
      <c r="J77">
        <f t="shared" si="11"/>
        <v>744.5</v>
      </c>
      <c r="K77">
        <f t="shared" si="13"/>
        <v>148.9</v>
      </c>
    </row>
    <row r="78" spans="1:11">
      <c r="A78" t="s">
        <v>40</v>
      </c>
      <c r="B78" t="s">
        <v>35</v>
      </c>
      <c r="C78">
        <v>1</v>
      </c>
      <c r="D78" t="s">
        <v>32</v>
      </c>
      <c r="E78">
        <v>0</v>
      </c>
      <c r="F78">
        <v>0</v>
      </c>
      <c r="G78">
        <f>INDEX(Islands!$A$1:$N$14,MATCH($A78, Islands!$A:$A),MATCH($D78, Islands!$A:$A))</f>
        <v>2</v>
      </c>
      <c r="H78">
        <f t="shared" si="9"/>
        <v>195</v>
      </c>
      <c r="I78">
        <f t="shared" si="10"/>
        <v>0</v>
      </c>
      <c r="J78">
        <f t="shared" si="11"/>
        <v>-195</v>
      </c>
      <c r="K78">
        <f t="shared" si="13"/>
        <v>-97.5</v>
      </c>
    </row>
    <row r="79" spans="1:11">
      <c r="A79" t="s">
        <v>40</v>
      </c>
      <c r="B79" t="s">
        <v>35</v>
      </c>
      <c r="C79">
        <v>1</v>
      </c>
      <c r="D79" t="s">
        <v>33</v>
      </c>
      <c r="E79">
        <v>1</v>
      </c>
      <c r="F79">
        <v>95</v>
      </c>
      <c r="G79">
        <f>INDEX(Islands!$A$1:$N$14,MATCH($A79, Islands!$A:$A),MATCH($D79, Islands!$A:$A))</f>
        <v>4</v>
      </c>
      <c r="H79">
        <f t="shared" si="9"/>
        <v>496.4</v>
      </c>
      <c r="I79">
        <f t="shared" si="10"/>
        <v>95</v>
      </c>
      <c r="J79">
        <f t="shared" si="11"/>
        <v>-401.4</v>
      </c>
      <c r="K79">
        <f t="shared" si="13"/>
        <v>-100.35</v>
      </c>
    </row>
    <row r="80" spans="1:11">
      <c r="A80" t="s">
        <v>40</v>
      </c>
      <c r="B80" t="s">
        <v>35</v>
      </c>
      <c r="C80">
        <v>1</v>
      </c>
      <c r="D80" t="s">
        <v>7</v>
      </c>
      <c r="E80">
        <v>0</v>
      </c>
      <c r="F80">
        <v>0</v>
      </c>
      <c r="G80">
        <f>INDEX(Islands!$A$1:$N$14,MATCH($A80, Islands!$A:$A),MATCH($D80, Islands!$A:$A))</f>
        <v>6</v>
      </c>
      <c r="H80">
        <f t="shared" si="9"/>
        <v>585</v>
      </c>
      <c r="I80">
        <f t="shared" si="10"/>
        <v>0</v>
      </c>
      <c r="J80">
        <f t="shared" si="11"/>
        <v>-585</v>
      </c>
      <c r="K80">
        <f t="shared" si="13"/>
        <v>-97.5</v>
      </c>
    </row>
    <row r="81" spans="1:11">
      <c r="A81" t="s">
        <v>40</v>
      </c>
      <c r="B81" t="s">
        <v>35</v>
      </c>
      <c r="C81">
        <v>1</v>
      </c>
      <c r="D81" t="s">
        <v>34</v>
      </c>
      <c r="E81">
        <v>1</v>
      </c>
      <c r="F81">
        <v>83</v>
      </c>
      <c r="G81">
        <f>INDEX(Islands!$A$1:$N$14,MATCH($A81, Islands!$A:$A),MATCH($D81, Islands!$A:$A))</f>
        <v>1</v>
      </c>
      <c r="H81">
        <f t="shared" si="9"/>
        <v>190.46</v>
      </c>
      <c r="I81">
        <f t="shared" si="10"/>
        <v>83</v>
      </c>
      <c r="J81">
        <f t="shared" si="11"/>
        <v>-107.46000000000001</v>
      </c>
      <c r="K81">
        <f t="shared" si="13"/>
        <v>-107.46000000000001</v>
      </c>
    </row>
    <row r="82" spans="1:11">
      <c r="A82" t="s">
        <v>40</v>
      </c>
      <c r="B82" t="s">
        <v>35</v>
      </c>
      <c r="C82">
        <v>1</v>
      </c>
      <c r="D82" t="s">
        <v>4</v>
      </c>
      <c r="E82">
        <v>1</v>
      </c>
      <c r="F82">
        <v>1001</v>
      </c>
      <c r="G82">
        <f>INDEX(Islands!$A$1:$N$14,MATCH($A82, Islands!$A:$A),MATCH($D82, Islands!$A:$A))</f>
        <v>5</v>
      </c>
      <c r="H82">
        <f t="shared" si="9"/>
        <v>1608.6200000000001</v>
      </c>
      <c r="I82">
        <f t="shared" si="10"/>
        <v>1001</v>
      </c>
      <c r="J82">
        <f t="shared" si="11"/>
        <v>-607.62000000000012</v>
      </c>
      <c r="K82">
        <f t="shared" si="13"/>
        <v>-121.52400000000003</v>
      </c>
    </row>
    <row r="83" spans="1:11">
      <c r="A83" t="s">
        <v>20</v>
      </c>
      <c r="B83" t="s">
        <v>12</v>
      </c>
      <c r="C83">
        <v>159</v>
      </c>
      <c r="D83" t="s">
        <v>40</v>
      </c>
      <c r="E83">
        <v>235</v>
      </c>
      <c r="F83">
        <v>77</v>
      </c>
      <c r="G83">
        <f ca="1">INDEX(Islands!$A$1:$N$14,MATCH($A83, Islands!$A:$A),MATCH($D83, Islands!$A:$A))</f>
        <v>3</v>
      </c>
      <c r="H83">
        <f t="shared" ca="1" si="9"/>
        <v>14004.660000000002</v>
      </c>
      <c r="I83">
        <f t="shared" si="10"/>
        <v>18095</v>
      </c>
      <c r="J83">
        <f t="shared" ca="1" si="11"/>
        <v>4090.3399999999983</v>
      </c>
      <c r="K83">
        <f t="shared" ca="1" si="13"/>
        <v>1363.446666666666</v>
      </c>
    </row>
    <row r="84" spans="1:11">
      <c r="A84" t="s">
        <v>20</v>
      </c>
      <c r="B84" t="s">
        <v>12</v>
      </c>
      <c r="C84">
        <v>159</v>
      </c>
      <c r="D84" t="s">
        <v>10</v>
      </c>
      <c r="E84">
        <v>135</v>
      </c>
      <c r="F84">
        <v>83</v>
      </c>
      <c r="G84">
        <f ca="1">INDEX(Islands!$A$1:$N$14,MATCH($A84, Islands!$A:$A),MATCH($D84, Islands!$A:$A))</f>
        <v>2</v>
      </c>
      <c r="H84">
        <f t="shared" ca="1" si="9"/>
        <v>14975.640000000001</v>
      </c>
      <c r="I84">
        <f t="shared" si="10"/>
        <v>11205</v>
      </c>
      <c r="J84">
        <f t="shared" ca="1" si="11"/>
        <v>-3770.6400000000012</v>
      </c>
      <c r="K84">
        <f t="shared" ca="1" si="13"/>
        <v>-1885.3200000000006</v>
      </c>
    </row>
    <row r="85" spans="1:11">
      <c r="A85" t="s">
        <v>20</v>
      </c>
      <c r="B85" t="s">
        <v>12</v>
      </c>
      <c r="C85">
        <v>159</v>
      </c>
      <c r="D85" t="s">
        <v>28</v>
      </c>
      <c r="E85">
        <v>280</v>
      </c>
      <c r="F85">
        <v>184</v>
      </c>
      <c r="G85">
        <f ca="1">INDEX(Islands!$A$1:$N$14,MATCH($A85, Islands!$A:$A),MATCH($D85, Islands!$A:$A))</f>
        <v>3</v>
      </c>
      <c r="H85">
        <f t="shared" ca="1" si="9"/>
        <v>33059.22</v>
      </c>
      <c r="I85">
        <f t="shared" si="10"/>
        <v>51520</v>
      </c>
      <c r="J85">
        <f t="shared" ca="1" si="11"/>
        <v>18460.78</v>
      </c>
      <c r="K85">
        <f t="shared" ca="1" si="13"/>
        <v>6153.5933333333332</v>
      </c>
    </row>
    <row r="86" spans="1:11">
      <c r="A86" t="s">
        <v>20</v>
      </c>
      <c r="B86" t="s">
        <v>12</v>
      </c>
      <c r="C86">
        <v>159</v>
      </c>
      <c r="D86" t="s">
        <v>9</v>
      </c>
      <c r="E86">
        <v>241</v>
      </c>
      <c r="F86">
        <v>213</v>
      </c>
      <c r="G86">
        <f ca="1">INDEX(Islands!$A$1:$N$14,MATCH($A86, Islands!$A:$A),MATCH($D86, Islands!$A:$A))</f>
        <v>2</v>
      </c>
      <c r="H86">
        <f t="shared" ca="1" si="9"/>
        <v>38126.04</v>
      </c>
      <c r="I86">
        <f t="shared" si="10"/>
        <v>51333</v>
      </c>
      <c r="J86">
        <f t="shared" ca="1" si="11"/>
        <v>13206.96</v>
      </c>
      <c r="K86">
        <f t="shared" ca="1" si="13"/>
        <v>6603.48</v>
      </c>
    </row>
    <row r="87" spans="1:11">
      <c r="A87" t="s">
        <v>20</v>
      </c>
      <c r="B87" t="s">
        <v>12</v>
      </c>
      <c r="C87">
        <v>159</v>
      </c>
      <c r="D87" t="s">
        <v>32</v>
      </c>
      <c r="E87">
        <v>0</v>
      </c>
      <c r="F87">
        <v>0</v>
      </c>
      <c r="G87">
        <f ca="1">INDEX(Islands!$A$1:$N$14,MATCH($A87, Islands!$A:$A),MATCH($D87, Islands!$A:$A))</f>
        <v>2</v>
      </c>
      <c r="H87">
        <f t="shared" ca="1" si="9"/>
        <v>195</v>
      </c>
      <c r="I87">
        <f t="shared" si="10"/>
        <v>0</v>
      </c>
      <c r="J87">
        <f t="shared" ca="1" si="11"/>
        <v>-195</v>
      </c>
      <c r="K87">
        <f t="shared" ca="1" si="13"/>
        <v>-97.5</v>
      </c>
    </row>
    <row r="88" spans="1:11">
      <c r="A88" t="s">
        <v>20</v>
      </c>
      <c r="B88" t="s">
        <v>12</v>
      </c>
      <c r="C88">
        <v>159</v>
      </c>
      <c r="D88" t="s">
        <v>33</v>
      </c>
      <c r="E88">
        <v>142</v>
      </c>
      <c r="F88">
        <v>1001</v>
      </c>
      <c r="G88">
        <f ca="1">INDEX(Islands!$A$1:$N$14,MATCH($A88, Islands!$A:$A),MATCH($D88, Islands!$A:$A))</f>
        <v>1</v>
      </c>
      <c r="H88">
        <f t="shared" ca="1" si="9"/>
        <v>178355.58000000002</v>
      </c>
      <c r="I88">
        <f t="shared" si="10"/>
        <v>142142</v>
      </c>
      <c r="J88">
        <f t="shared" ca="1" si="11"/>
        <v>-36213.580000000016</v>
      </c>
      <c r="K88">
        <f t="shared" ca="1" si="13"/>
        <v>-36213.580000000016</v>
      </c>
    </row>
    <row r="89" spans="1:11">
      <c r="A89" t="s">
        <v>20</v>
      </c>
      <c r="B89" t="s">
        <v>12</v>
      </c>
      <c r="C89">
        <v>159</v>
      </c>
      <c r="D89" t="s">
        <v>7</v>
      </c>
      <c r="E89">
        <v>192</v>
      </c>
      <c r="F89">
        <v>122</v>
      </c>
      <c r="G89">
        <f ca="1">INDEX(Islands!$A$1:$N$14,MATCH($A89, Islands!$A:$A),MATCH($D89, Islands!$A:$A))</f>
        <v>3</v>
      </c>
      <c r="H89">
        <f t="shared" ca="1" si="9"/>
        <v>22018.260000000002</v>
      </c>
      <c r="I89">
        <f t="shared" si="10"/>
        <v>23424</v>
      </c>
      <c r="J89">
        <f t="shared" ca="1" si="11"/>
        <v>1405.739999999998</v>
      </c>
      <c r="K89">
        <f t="shared" ca="1" si="13"/>
        <v>468.5799999999993</v>
      </c>
    </row>
    <row r="90" spans="1:11">
      <c r="A90" t="s">
        <v>20</v>
      </c>
      <c r="B90" t="s">
        <v>12</v>
      </c>
      <c r="C90">
        <v>159</v>
      </c>
      <c r="D90" t="s">
        <v>34</v>
      </c>
      <c r="E90">
        <v>137</v>
      </c>
      <c r="F90">
        <v>100</v>
      </c>
      <c r="G90">
        <f ca="1">INDEX(Islands!$A$1:$N$14,MATCH($A90, Islands!$A:$A),MATCH($D90, Islands!$A:$A))</f>
        <v>2</v>
      </c>
      <c r="H90">
        <f t="shared" ca="1" si="9"/>
        <v>18003</v>
      </c>
      <c r="I90">
        <f t="shared" si="10"/>
        <v>13700</v>
      </c>
      <c r="J90">
        <f t="shared" ca="1" si="11"/>
        <v>-4303</v>
      </c>
      <c r="K90">
        <f t="shared" ca="1" si="13"/>
        <v>-2151.5</v>
      </c>
    </row>
    <row r="91" spans="1:11">
      <c r="A91" t="s">
        <v>20</v>
      </c>
      <c r="B91" t="s">
        <v>12</v>
      </c>
      <c r="C91">
        <v>159</v>
      </c>
      <c r="D91" t="s">
        <v>4</v>
      </c>
      <c r="E91">
        <v>227</v>
      </c>
      <c r="F91">
        <v>193</v>
      </c>
      <c r="G91">
        <f ca="1">INDEX(Islands!$A$1:$N$14,MATCH($A91, Islands!$A:$A),MATCH($D91, Islands!$A:$A))</f>
        <v>2</v>
      </c>
      <c r="H91">
        <f t="shared" ca="1" si="9"/>
        <v>34564.44</v>
      </c>
      <c r="I91">
        <f t="shared" si="10"/>
        <v>43811</v>
      </c>
      <c r="J91">
        <f t="shared" ca="1" si="11"/>
        <v>9246.5599999999977</v>
      </c>
      <c r="K91">
        <f t="shared" ca="1" si="13"/>
        <v>4623.2799999999988</v>
      </c>
    </row>
    <row r="92" spans="1:11">
      <c r="A92" t="s">
        <v>20</v>
      </c>
      <c r="B92" t="s">
        <v>14</v>
      </c>
      <c r="C92">
        <v>52</v>
      </c>
      <c r="D92" t="s">
        <v>40</v>
      </c>
      <c r="E92">
        <v>67</v>
      </c>
      <c r="F92">
        <v>5</v>
      </c>
      <c r="G92">
        <f ca="1">INDEX(Islands!$A$1:$N$14,MATCH($A92, Islands!$A:$A),MATCH($D92, Islands!$A:$A))</f>
        <v>3</v>
      </c>
      <c r="H92">
        <f t="shared" ca="1" si="9"/>
        <v>583.70000000000005</v>
      </c>
      <c r="I92">
        <f t="shared" si="10"/>
        <v>335</v>
      </c>
      <c r="J92">
        <f t="shared" ca="1" si="11"/>
        <v>-248.70000000000005</v>
      </c>
      <c r="K92">
        <f t="shared" ca="1" si="13"/>
        <v>-82.90000000000002</v>
      </c>
    </row>
    <row r="93" spans="1:11">
      <c r="A93" t="s">
        <v>20</v>
      </c>
      <c r="B93" t="s">
        <v>14</v>
      </c>
      <c r="C93">
        <v>52</v>
      </c>
      <c r="D93" t="s">
        <v>10</v>
      </c>
      <c r="E93">
        <v>50</v>
      </c>
      <c r="F93">
        <v>15</v>
      </c>
      <c r="G93">
        <f ca="1">INDEX(Islands!$A$1:$N$14,MATCH($A93, Islands!$A:$A),MATCH($D93, Islands!$A:$A))</f>
        <v>2</v>
      </c>
      <c r="H93">
        <f t="shared" ca="1" si="9"/>
        <v>1068.6000000000001</v>
      </c>
      <c r="I93">
        <f t="shared" si="10"/>
        <v>750</v>
      </c>
      <c r="J93">
        <f t="shared" ca="1" si="11"/>
        <v>-318.60000000000014</v>
      </c>
      <c r="K93">
        <f t="shared" ca="1" si="13"/>
        <v>-159.30000000000007</v>
      </c>
    </row>
    <row r="94" spans="1:11">
      <c r="A94" t="s">
        <v>20</v>
      </c>
      <c r="B94" t="s">
        <v>14</v>
      </c>
      <c r="C94">
        <v>52</v>
      </c>
      <c r="D94" t="s">
        <v>28</v>
      </c>
      <c r="E94">
        <v>51</v>
      </c>
      <c r="F94">
        <v>110</v>
      </c>
      <c r="G94">
        <f ca="1">INDEX(Islands!$A$1:$N$14,MATCH($A94, Islands!$A:$A),MATCH($D94, Islands!$A:$A))</f>
        <v>3</v>
      </c>
      <c r="H94">
        <f t="shared" ca="1" si="9"/>
        <v>6698.9000000000005</v>
      </c>
      <c r="I94">
        <f t="shared" si="10"/>
        <v>5610</v>
      </c>
      <c r="J94">
        <f t="shared" ca="1" si="11"/>
        <v>-1088.9000000000005</v>
      </c>
      <c r="K94">
        <f t="shared" ca="1" si="13"/>
        <v>-362.96666666666687</v>
      </c>
    </row>
    <row r="95" spans="1:11">
      <c r="A95" t="s">
        <v>20</v>
      </c>
      <c r="B95" t="s">
        <v>14</v>
      </c>
      <c r="C95">
        <v>52</v>
      </c>
      <c r="D95" t="s">
        <v>9</v>
      </c>
      <c r="E95">
        <v>52</v>
      </c>
      <c r="F95">
        <v>150</v>
      </c>
      <c r="G95">
        <f ca="1">INDEX(Islands!$A$1:$N$14,MATCH($A95, Islands!$A:$A),MATCH($D95, Islands!$A:$A))</f>
        <v>2</v>
      </c>
      <c r="H95">
        <f t="shared" ca="1" si="9"/>
        <v>8931</v>
      </c>
      <c r="I95">
        <f t="shared" si="10"/>
        <v>7800</v>
      </c>
      <c r="J95">
        <f t="shared" ca="1" si="11"/>
        <v>-1131</v>
      </c>
      <c r="K95">
        <f t="shared" ca="1" si="13"/>
        <v>-565.5</v>
      </c>
    </row>
    <row r="96" spans="1:11">
      <c r="A96" t="s">
        <v>20</v>
      </c>
      <c r="B96" t="s">
        <v>14</v>
      </c>
      <c r="C96">
        <v>52</v>
      </c>
      <c r="D96" t="s">
        <v>32</v>
      </c>
      <c r="E96">
        <v>50</v>
      </c>
      <c r="F96">
        <v>1</v>
      </c>
      <c r="G96">
        <f ca="1">INDEX(Islands!$A$1:$N$14,MATCH($A96, Islands!$A:$A),MATCH($D96, Islands!$A:$A))</f>
        <v>2</v>
      </c>
      <c r="H96">
        <f t="shared" ca="1" si="9"/>
        <v>253.24</v>
      </c>
      <c r="I96">
        <f t="shared" si="10"/>
        <v>50</v>
      </c>
      <c r="J96">
        <f t="shared" ca="1" si="11"/>
        <v>-203.24</v>
      </c>
      <c r="K96">
        <f t="shared" ca="1" si="13"/>
        <v>-101.62</v>
      </c>
    </row>
    <row r="97" spans="1:11">
      <c r="A97" t="s">
        <v>20</v>
      </c>
      <c r="B97" t="s">
        <v>14</v>
      </c>
      <c r="C97">
        <v>52</v>
      </c>
      <c r="D97" t="s">
        <v>33</v>
      </c>
      <c r="E97">
        <v>50</v>
      </c>
      <c r="F97">
        <v>32</v>
      </c>
      <c r="G97">
        <f ca="1">INDEX(Islands!$A$1:$N$14,MATCH($A97, Islands!$A:$A),MATCH($D97, Islands!$A:$A))</f>
        <v>1</v>
      </c>
      <c r="H97">
        <f t="shared" ca="1" si="9"/>
        <v>1961.1800000000003</v>
      </c>
      <c r="I97">
        <f t="shared" si="10"/>
        <v>1600</v>
      </c>
      <c r="J97">
        <f t="shared" ca="1" si="11"/>
        <v>-361.18000000000029</v>
      </c>
      <c r="K97">
        <f t="shared" ca="1" si="13"/>
        <v>-361.18000000000029</v>
      </c>
    </row>
    <row r="98" spans="1:11">
      <c r="A98" t="s">
        <v>20</v>
      </c>
      <c r="B98" t="s">
        <v>14</v>
      </c>
      <c r="C98">
        <v>52</v>
      </c>
      <c r="D98" t="s">
        <v>7</v>
      </c>
      <c r="E98">
        <v>41</v>
      </c>
      <c r="F98">
        <v>90</v>
      </c>
      <c r="G98">
        <f ca="1">INDEX(Islands!$A$1:$N$14,MATCH($A98, Islands!$A:$A),MATCH($D98, Islands!$A:$A))</f>
        <v>3</v>
      </c>
      <c r="H98">
        <f t="shared" ref="H98:H118" ca="1" si="14">SUM($C98*$F98*1.12,$G98 *1.5*65)</f>
        <v>5534.1</v>
      </c>
      <c r="I98">
        <f t="shared" ref="I98:I118" si="15">$E98*$F98</f>
        <v>3690</v>
      </c>
      <c r="J98">
        <f t="shared" ca="1" si="11"/>
        <v>-1844.1000000000004</v>
      </c>
      <c r="K98">
        <f t="shared" ca="1" si="13"/>
        <v>-614.70000000000016</v>
      </c>
    </row>
    <row r="99" spans="1:11">
      <c r="A99" t="s">
        <v>20</v>
      </c>
      <c r="B99" t="s">
        <v>14</v>
      </c>
      <c r="C99">
        <v>52</v>
      </c>
      <c r="D99" t="s">
        <v>34</v>
      </c>
      <c r="E99">
        <v>50</v>
      </c>
      <c r="F99">
        <v>10</v>
      </c>
      <c r="G99">
        <f ca="1">INDEX(Islands!$A$1:$N$14,MATCH($A99, Islands!$A:$A),MATCH($D99, Islands!$A:$A))</f>
        <v>2</v>
      </c>
      <c r="H99">
        <f t="shared" ca="1" si="14"/>
        <v>777.40000000000009</v>
      </c>
      <c r="I99">
        <f t="shared" si="15"/>
        <v>500</v>
      </c>
      <c r="J99">
        <f t="shared" ca="1" si="11"/>
        <v>-277.40000000000009</v>
      </c>
      <c r="K99">
        <f t="shared" ca="1" si="13"/>
        <v>-138.70000000000005</v>
      </c>
    </row>
    <row r="100" spans="1:11">
      <c r="A100" t="s">
        <v>20</v>
      </c>
      <c r="B100" t="s">
        <v>14</v>
      </c>
      <c r="C100">
        <v>52</v>
      </c>
      <c r="D100" t="s">
        <v>4</v>
      </c>
      <c r="E100" s="2">
        <v>37</v>
      </c>
      <c r="F100">
        <v>100</v>
      </c>
      <c r="G100">
        <f ca="1">INDEX(Islands!$A$1:$N$14,MATCH($A100, Islands!$A:$A),MATCH($D100, Islands!$A:$A))</f>
        <v>2</v>
      </c>
      <c r="H100">
        <f t="shared" ca="1" si="14"/>
        <v>6019.0000000000009</v>
      </c>
      <c r="I100">
        <f t="shared" si="15"/>
        <v>3700</v>
      </c>
      <c r="J100">
        <f t="shared" ca="1" si="11"/>
        <v>-2319.0000000000009</v>
      </c>
      <c r="K100">
        <f t="shared" ca="1" si="13"/>
        <v>-1159.5000000000005</v>
      </c>
    </row>
    <row r="101" spans="1:11">
      <c r="A101" t="s">
        <v>8</v>
      </c>
      <c r="B101" t="s">
        <v>6</v>
      </c>
      <c r="C101">
        <v>21</v>
      </c>
      <c r="D101" t="s">
        <v>40</v>
      </c>
      <c r="E101">
        <v>46</v>
      </c>
      <c r="F101">
        <v>82</v>
      </c>
      <c r="G101">
        <f ca="1">INDEX(Islands!$A$1:$N$14,MATCH($A101, Islands!$A:$A),MATCH($D101, Islands!$A:$A))</f>
        <v>3</v>
      </c>
      <c r="H101">
        <f t="shared" ca="1" si="14"/>
        <v>2221.1400000000003</v>
      </c>
      <c r="I101">
        <f t="shared" si="15"/>
        <v>3772</v>
      </c>
      <c r="J101">
        <f ca="1">I:I-H:H</f>
        <v>1550.8599999999997</v>
      </c>
      <c r="K101">
        <f t="shared" ca="1" si="13"/>
        <v>516.95333333333326</v>
      </c>
    </row>
    <row r="102" spans="1:11">
      <c r="A102" t="s">
        <v>8</v>
      </c>
      <c r="B102" t="s">
        <v>6</v>
      </c>
      <c r="C102">
        <v>21</v>
      </c>
      <c r="D102" t="s">
        <v>10</v>
      </c>
      <c r="E102">
        <v>0</v>
      </c>
      <c r="F102">
        <v>0</v>
      </c>
      <c r="G102">
        <f ca="1">INDEX(Islands!$A$1:$N$14,MATCH($A102, Islands!$A:$A),MATCH($D102, Islands!$A:$A))</f>
        <v>2</v>
      </c>
      <c r="H102">
        <f t="shared" ca="1" si="14"/>
        <v>195</v>
      </c>
      <c r="I102">
        <f t="shared" si="15"/>
        <v>0</v>
      </c>
      <c r="J102">
        <f ca="1">I:I-H:H</f>
        <v>-195</v>
      </c>
      <c r="K102">
        <f t="shared" ca="1" si="13"/>
        <v>-97.5</v>
      </c>
    </row>
    <row r="103" spans="1:11">
      <c r="A103" t="s">
        <v>8</v>
      </c>
      <c r="B103" t="s">
        <v>6</v>
      </c>
      <c r="C103">
        <v>21</v>
      </c>
      <c r="D103" t="s">
        <v>28</v>
      </c>
      <c r="E103">
        <v>30</v>
      </c>
      <c r="F103">
        <v>1475</v>
      </c>
      <c r="G103">
        <f ca="1">INDEX(Islands!$A$1:$N$14,MATCH($A103, Islands!$A:$A),MATCH($D103, Islands!$A:$A))</f>
        <v>3</v>
      </c>
      <c r="H103">
        <f t="shared" ca="1" si="14"/>
        <v>34984.5</v>
      </c>
      <c r="I103">
        <f t="shared" si="15"/>
        <v>44250</v>
      </c>
      <c r="J103">
        <f ca="1">I:I-H:H</f>
        <v>9265.5</v>
      </c>
      <c r="K103">
        <f t="shared" ca="1" si="13"/>
        <v>3088.5</v>
      </c>
    </row>
    <row r="104" spans="1:11">
      <c r="A104" t="s">
        <v>8</v>
      </c>
      <c r="B104" t="s">
        <v>6</v>
      </c>
      <c r="C104">
        <v>21</v>
      </c>
      <c r="D104" t="s">
        <v>9</v>
      </c>
      <c r="E104">
        <v>27</v>
      </c>
      <c r="F104">
        <v>18</v>
      </c>
      <c r="G104">
        <f ca="1">INDEX(Islands!$A$1:$N$14,MATCH($A104, Islands!$A:$A),MATCH($D104, Islands!$A:$A))</f>
        <v>2</v>
      </c>
      <c r="H104">
        <f t="shared" ca="1" si="14"/>
        <v>618.36</v>
      </c>
      <c r="I104">
        <f t="shared" si="15"/>
        <v>486</v>
      </c>
      <c r="J104">
        <f t="shared" ref="J104:J109" ca="1" si="16">$I104-H104</f>
        <v>-132.36000000000001</v>
      </c>
      <c r="K104">
        <f t="shared" ca="1" si="13"/>
        <v>-66.180000000000007</v>
      </c>
    </row>
    <row r="105" spans="1:11">
      <c r="A105" t="s">
        <v>8</v>
      </c>
      <c r="B105" t="s">
        <v>6</v>
      </c>
      <c r="C105">
        <v>21</v>
      </c>
      <c r="D105" t="s">
        <v>32</v>
      </c>
      <c r="E105">
        <v>25</v>
      </c>
      <c r="F105">
        <v>450</v>
      </c>
      <c r="G105">
        <f ca="1">INDEX(Islands!$A$1:$N$14,MATCH($A105, Islands!$A:$A),MATCH($D105, Islands!$A:$A))</f>
        <v>2</v>
      </c>
      <c r="H105">
        <f t="shared" ca="1" si="14"/>
        <v>10779.000000000002</v>
      </c>
      <c r="I105">
        <f t="shared" si="15"/>
        <v>11250</v>
      </c>
      <c r="J105">
        <f t="shared" ca="1" si="16"/>
        <v>470.99999999999818</v>
      </c>
      <c r="K105">
        <f t="shared" ca="1" si="13"/>
        <v>235.49999999999909</v>
      </c>
    </row>
    <row r="106" spans="1:11">
      <c r="A106" t="s">
        <v>8</v>
      </c>
      <c r="B106" t="s">
        <v>6</v>
      </c>
      <c r="C106">
        <v>21</v>
      </c>
      <c r="D106" t="s">
        <v>33</v>
      </c>
      <c r="E106" s="5">
        <v>24</v>
      </c>
      <c r="F106" s="2">
        <v>1001</v>
      </c>
      <c r="G106">
        <f ca="1">INDEX(Islands!$A$1:$N$14,MATCH($A106, Islands!$A:$A),MATCH($D106, Islands!$A:$A))</f>
        <v>1</v>
      </c>
      <c r="H106">
        <f t="shared" ca="1" si="14"/>
        <v>23641.02</v>
      </c>
      <c r="I106">
        <f t="shared" si="15"/>
        <v>24024</v>
      </c>
      <c r="J106">
        <f t="shared" ca="1" si="16"/>
        <v>382.97999999999956</v>
      </c>
      <c r="K106">
        <f t="shared" ca="1" si="13"/>
        <v>382.97999999999956</v>
      </c>
    </row>
    <row r="107" spans="1:11">
      <c r="A107" t="s">
        <v>8</v>
      </c>
      <c r="B107" t="s">
        <v>6</v>
      </c>
      <c r="C107">
        <v>21</v>
      </c>
      <c r="D107" t="s">
        <v>7</v>
      </c>
      <c r="E107">
        <v>21</v>
      </c>
      <c r="F107">
        <v>180</v>
      </c>
      <c r="G107">
        <f ca="1">INDEX(Islands!$A$1:$N$14,MATCH($A107, Islands!$A:$A),MATCH($D107, Islands!$A:$A))</f>
        <v>3</v>
      </c>
      <c r="H107">
        <f t="shared" ca="1" si="14"/>
        <v>4526.1000000000004</v>
      </c>
      <c r="I107">
        <f t="shared" si="15"/>
        <v>3780</v>
      </c>
      <c r="J107">
        <f t="shared" ca="1" si="16"/>
        <v>-746.10000000000036</v>
      </c>
      <c r="K107">
        <f t="shared" ca="1" si="13"/>
        <v>-248.70000000000013</v>
      </c>
    </row>
    <row r="108" spans="1:11">
      <c r="A108" t="s">
        <v>8</v>
      </c>
      <c r="B108" t="s">
        <v>6</v>
      </c>
      <c r="C108">
        <v>21</v>
      </c>
      <c r="D108" t="s">
        <v>34</v>
      </c>
      <c r="E108">
        <v>0</v>
      </c>
      <c r="F108">
        <v>0</v>
      </c>
      <c r="G108">
        <f ca="1">INDEX(Islands!$A$1:$N$14,MATCH($A108, Islands!$A:$A),MATCH($D108, Islands!$A:$A))</f>
        <v>2</v>
      </c>
      <c r="H108">
        <f t="shared" ca="1" si="14"/>
        <v>195</v>
      </c>
      <c r="I108">
        <f t="shared" si="15"/>
        <v>0</v>
      </c>
      <c r="J108">
        <f t="shared" ca="1" si="16"/>
        <v>-195</v>
      </c>
      <c r="K108">
        <f t="shared" ca="1" si="13"/>
        <v>-97.5</v>
      </c>
    </row>
    <row r="109" spans="1:11">
      <c r="A109" t="s">
        <v>8</v>
      </c>
      <c r="B109" t="s">
        <v>6</v>
      </c>
      <c r="C109">
        <v>21</v>
      </c>
      <c r="D109" t="s">
        <v>4</v>
      </c>
      <c r="E109">
        <v>25</v>
      </c>
      <c r="F109">
        <v>1300</v>
      </c>
      <c r="G109">
        <f ca="1">INDEX(Islands!$A$1:$N$14,MATCH($A109, Islands!$A:$A),MATCH($D109, Islands!$A:$A))</f>
        <v>2</v>
      </c>
      <c r="H109">
        <f t="shared" ca="1" si="14"/>
        <v>30771.000000000004</v>
      </c>
      <c r="I109">
        <f t="shared" si="15"/>
        <v>32500</v>
      </c>
      <c r="J109">
        <f t="shared" ca="1" si="16"/>
        <v>1728.9999999999964</v>
      </c>
      <c r="K109">
        <f t="shared" ca="1" si="13"/>
        <v>864.49999999999818</v>
      </c>
    </row>
    <row r="110" spans="1:11">
      <c r="A110" t="s">
        <v>8</v>
      </c>
      <c r="B110" t="s">
        <v>15</v>
      </c>
      <c r="C110">
        <v>2381</v>
      </c>
      <c r="D110" t="s">
        <v>40</v>
      </c>
      <c r="E110">
        <v>2723</v>
      </c>
      <c r="F110">
        <v>22</v>
      </c>
      <c r="G110">
        <f ca="1">INDEX(Islands!$A$1:$N$14,MATCH($A110, Islands!$A:$A),MATCH($D110, Islands!$A:$A))</f>
        <v>3</v>
      </c>
      <c r="H110">
        <f t="shared" ca="1" si="14"/>
        <v>58960.340000000004</v>
      </c>
      <c r="I110">
        <f t="shared" si="15"/>
        <v>59906</v>
      </c>
      <c r="J110">
        <f ca="1">I:I-H:H</f>
        <v>945.65999999999622</v>
      </c>
      <c r="K110">
        <f t="shared" ca="1" si="13"/>
        <v>315.21999999999872</v>
      </c>
    </row>
    <row r="111" spans="1:11">
      <c r="A111" t="s">
        <v>8</v>
      </c>
      <c r="B111" t="s">
        <v>15</v>
      </c>
      <c r="C111">
        <v>2381</v>
      </c>
      <c r="D111" t="s">
        <v>10</v>
      </c>
      <c r="E111">
        <v>1100</v>
      </c>
      <c r="F111">
        <v>5</v>
      </c>
      <c r="G111">
        <f ca="1">INDEX(Islands!$A$1:$N$14,MATCH($A111, Islands!$A:$A),MATCH($D111, Islands!$A:$A))</f>
        <v>2</v>
      </c>
      <c r="H111">
        <f t="shared" ca="1" si="14"/>
        <v>13528.6</v>
      </c>
      <c r="I111">
        <f t="shared" si="15"/>
        <v>5500</v>
      </c>
      <c r="J111">
        <f ca="1">I:I-H:H</f>
        <v>-8028.6</v>
      </c>
      <c r="K111">
        <f t="shared" ca="1" si="13"/>
        <v>-4014.3</v>
      </c>
    </row>
    <row r="112" spans="1:11">
      <c r="A112" t="s">
        <v>8</v>
      </c>
      <c r="B112" t="s">
        <v>15</v>
      </c>
      <c r="C112">
        <v>2381</v>
      </c>
      <c r="D112" t="s">
        <v>28</v>
      </c>
      <c r="E112">
        <v>2750</v>
      </c>
      <c r="F112">
        <v>137</v>
      </c>
      <c r="G112">
        <f ca="1">INDEX(Islands!$A$1:$N$14,MATCH($A112, Islands!$A:$A),MATCH($D112, Islands!$A:$A))</f>
        <v>3</v>
      </c>
      <c r="H112">
        <f t="shared" ca="1" si="14"/>
        <v>365633.14</v>
      </c>
      <c r="I112">
        <f t="shared" si="15"/>
        <v>376750</v>
      </c>
      <c r="J112">
        <f ca="1">I:I-H:H</f>
        <v>11116.859999999986</v>
      </c>
      <c r="K112">
        <f t="shared" ca="1" si="13"/>
        <v>3705.6199999999953</v>
      </c>
    </row>
    <row r="113" spans="1:11">
      <c r="A113" t="s">
        <v>8</v>
      </c>
      <c r="B113" t="s">
        <v>15</v>
      </c>
      <c r="C113">
        <v>2381</v>
      </c>
      <c r="D113" t="s">
        <v>9</v>
      </c>
      <c r="E113">
        <v>2896</v>
      </c>
      <c r="F113">
        <v>86</v>
      </c>
      <c r="G113">
        <f ca="1">INDEX(Islands!$A$1:$N$14,MATCH($A113, Islands!$A:$A),MATCH($D113, Islands!$A:$A))</f>
        <v>2</v>
      </c>
      <c r="H113">
        <f t="shared" ca="1" si="14"/>
        <v>229532.92</v>
      </c>
      <c r="I113">
        <f t="shared" si="15"/>
        <v>249056</v>
      </c>
      <c r="J113">
        <f t="shared" ref="J113:J118" ca="1" si="17">$I113-H113</f>
        <v>19523.079999999987</v>
      </c>
      <c r="K113">
        <f t="shared" ca="1" si="13"/>
        <v>9761.5399999999936</v>
      </c>
    </row>
    <row r="114" spans="1:11">
      <c r="A114" t="s">
        <v>8</v>
      </c>
      <c r="B114" t="s">
        <v>15</v>
      </c>
      <c r="C114">
        <v>2381</v>
      </c>
      <c r="D114" t="s">
        <v>32</v>
      </c>
      <c r="E114">
        <v>0</v>
      </c>
      <c r="F114">
        <v>0</v>
      </c>
      <c r="G114">
        <f ca="1">INDEX(Islands!$A$1:$N$14,MATCH($A114, Islands!$A:$A),MATCH($D114, Islands!$A:$A))</f>
        <v>2</v>
      </c>
      <c r="H114">
        <f t="shared" ca="1" si="14"/>
        <v>195</v>
      </c>
      <c r="I114">
        <f t="shared" si="15"/>
        <v>0</v>
      </c>
      <c r="J114">
        <f t="shared" ca="1" si="17"/>
        <v>-195</v>
      </c>
      <c r="K114">
        <f t="shared" ca="1" si="13"/>
        <v>-97.5</v>
      </c>
    </row>
    <row r="115" spans="1:11">
      <c r="A115" t="s">
        <v>8</v>
      </c>
      <c r="B115" t="s">
        <v>15</v>
      </c>
      <c r="C115">
        <v>2381</v>
      </c>
      <c r="D115" t="s">
        <v>33</v>
      </c>
      <c r="E115">
        <v>100</v>
      </c>
      <c r="F115">
        <v>1001</v>
      </c>
      <c r="G115">
        <f ca="1">INDEX(Islands!$A$1:$N$14,MATCH($A115, Islands!$A:$A),MATCH($D115, Islands!$A:$A))</f>
        <v>1</v>
      </c>
      <c r="H115">
        <f t="shared" ca="1" si="14"/>
        <v>2669484.2200000002</v>
      </c>
      <c r="I115">
        <f t="shared" si="15"/>
        <v>100100</v>
      </c>
      <c r="J115">
        <f t="shared" ca="1" si="17"/>
        <v>-2569384.2200000002</v>
      </c>
      <c r="K115">
        <f t="shared" ca="1" si="13"/>
        <v>-2569384.2200000002</v>
      </c>
    </row>
    <row r="116" spans="1:11">
      <c r="A116" t="s">
        <v>8</v>
      </c>
      <c r="B116" t="s">
        <v>15</v>
      </c>
      <c r="C116">
        <v>2381</v>
      </c>
      <c r="D116" t="s">
        <v>7</v>
      </c>
      <c r="E116">
        <v>2525</v>
      </c>
      <c r="F116">
        <v>68</v>
      </c>
      <c r="G116">
        <f ca="1">INDEX(Islands!$A$1:$N$14,MATCH($A116, Islands!$A:$A),MATCH($D116, Islands!$A:$A))</f>
        <v>3</v>
      </c>
      <c r="H116">
        <f t="shared" ca="1" si="14"/>
        <v>181629.46000000002</v>
      </c>
      <c r="I116">
        <f t="shared" si="15"/>
        <v>171700</v>
      </c>
      <c r="J116">
        <f t="shared" ca="1" si="17"/>
        <v>-9929.460000000021</v>
      </c>
      <c r="K116">
        <f t="shared" ca="1" si="13"/>
        <v>-3309.820000000007</v>
      </c>
    </row>
    <row r="117" spans="1:11">
      <c r="A117" t="s">
        <v>8</v>
      </c>
      <c r="B117" t="s">
        <v>15</v>
      </c>
      <c r="C117">
        <v>2381</v>
      </c>
      <c r="D117" t="s">
        <v>34</v>
      </c>
      <c r="E117">
        <v>2388</v>
      </c>
      <c r="F117">
        <v>134</v>
      </c>
      <c r="G117">
        <f ca="1">INDEX(Islands!$A$1:$N$14,MATCH($A117, Islands!$A:$A),MATCH($D117, Islands!$A:$A))</f>
        <v>2</v>
      </c>
      <c r="H117">
        <f t="shared" ca="1" si="14"/>
        <v>357535.48000000004</v>
      </c>
      <c r="I117">
        <f t="shared" si="15"/>
        <v>319992</v>
      </c>
      <c r="J117">
        <f t="shared" ca="1" si="17"/>
        <v>-37543.48000000004</v>
      </c>
      <c r="K117">
        <f t="shared" ca="1" si="13"/>
        <v>-18771.74000000002</v>
      </c>
    </row>
    <row r="118" spans="1:11">
      <c r="A118" t="s">
        <v>8</v>
      </c>
      <c r="B118" t="s">
        <v>15</v>
      </c>
      <c r="C118">
        <v>2381</v>
      </c>
      <c r="D118" t="s">
        <v>4</v>
      </c>
      <c r="E118">
        <v>2622</v>
      </c>
      <c r="F118">
        <v>97</v>
      </c>
      <c r="G118">
        <f ca="1">INDEX(Islands!$A$1:$N$14,MATCH($A118, Islands!$A:$A),MATCH($D118, Islands!$A:$A))</f>
        <v>2</v>
      </c>
      <c r="H118">
        <f t="shared" ca="1" si="14"/>
        <v>258866.84000000003</v>
      </c>
      <c r="I118">
        <f t="shared" si="15"/>
        <v>254334</v>
      </c>
      <c r="J118">
        <f t="shared" ca="1" si="17"/>
        <v>-4532.8400000000256</v>
      </c>
      <c r="K118">
        <f t="shared" ca="1" si="13"/>
        <v>-2266.4200000000128</v>
      </c>
    </row>
  </sheetData>
  <sortState ref="A2:K118">
    <sortCondition ref="A2:A118"/>
    <sortCondition ref="B2:B118"/>
    <sortCondition ref="D2:D11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activeCell="D20" sqref="D20"/>
    </sheetView>
  </sheetViews>
  <sheetFormatPr defaultRowHeight="15"/>
  <cols>
    <col min="1" max="1" width="15.42578125" customWidth="1"/>
    <col min="2" max="2" width="16.28515625" customWidth="1"/>
    <col min="4" max="4" width="12.7109375" customWidth="1"/>
    <col min="8" max="8" width="15.85546875" customWidth="1"/>
    <col min="9" max="9" width="10" customWidth="1"/>
    <col min="10" max="10" width="11.5703125" customWidth="1"/>
  </cols>
  <sheetData>
    <row r="1" spans="1:12">
      <c r="A1" s="6" t="s">
        <v>17</v>
      </c>
      <c r="B1" s="6" t="s">
        <v>27</v>
      </c>
      <c r="C1" s="6" t="s">
        <v>31</v>
      </c>
      <c r="D1" s="6" t="s">
        <v>10</v>
      </c>
      <c r="E1" s="4" t="s">
        <v>28</v>
      </c>
      <c r="F1" s="6" t="s">
        <v>9</v>
      </c>
      <c r="G1" s="6" t="s">
        <v>32</v>
      </c>
      <c r="H1" s="6" t="s">
        <v>33</v>
      </c>
      <c r="I1" s="6" t="s">
        <v>7</v>
      </c>
      <c r="J1" s="6" t="s">
        <v>34</v>
      </c>
      <c r="K1" s="6" t="s">
        <v>4</v>
      </c>
      <c r="L1" s="6" t="s">
        <v>36</v>
      </c>
    </row>
    <row r="2" spans="1:12">
      <c r="A2" t="str">
        <f>INDEX(Deals2!A:A, 9*(ROW($B2))-16)</f>
        <v>CONGLIN</v>
      </c>
      <c r="B2" t="str">
        <f>INDEX(Deals2!B:B, 9*(ROW($B2))-16)</f>
        <v>HEMP</v>
      </c>
      <c r="C2">
        <f>INDEX(Deals2!$J:$J, 9*(ROW($B2))-16)</f>
        <v>-1105.4000000000001</v>
      </c>
      <c r="D2">
        <f>INDEX(Deals2!$J:$J, 9*(ROW($B2))-15)</f>
        <v>-3463.5000000000009</v>
      </c>
      <c r="E2" s="4">
        <f>INDEX(Deals2!$J:$J, 9*(ROW($B2))-14)</f>
        <v>-75.000000000003638</v>
      </c>
      <c r="F2">
        <f>INDEX(Deals2!$J:$J, 9*(ROW($B2))-13)</f>
        <v>331.49999999999909</v>
      </c>
      <c r="G2">
        <f>INDEX(Deals2!$J:$J, 9*(ROW($B2))-12)</f>
        <v>-292.5</v>
      </c>
      <c r="H2">
        <f>INDEX(Deals2!$J:$J, 9*(ROW($B2))-11)</f>
        <v>-187.12000000000012</v>
      </c>
      <c r="I2">
        <f>INDEX(Deals2!$J:$J, 9*(ROW($B2))-10)</f>
        <v>-349.96000000000095</v>
      </c>
      <c r="J2">
        <f>INDEX(Deals2!$J:$J, 9*(ROW($B2))-9)</f>
        <v>-816.98</v>
      </c>
      <c r="K2">
        <f>INDEX(Deals2!$J:$J, 9*(ROW($B2))-8)</f>
        <v>7307.4999999999964</v>
      </c>
      <c r="L2">
        <f t="shared" ref="L2:L14" si="0">MAX($C2:$K2)</f>
        <v>7307.4999999999964</v>
      </c>
    </row>
    <row r="3" spans="1:12">
      <c r="A3" s="4" t="str">
        <f>INDEX(Deals2!A:A, 9*(ROW($B3))-16)</f>
        <v>CONGLIN</v>
      </c>
      <c r="B3" s="4" t="str">
        <f>INDEX(Deals2!B:B, 9*(ROW($B3))-16)</f>
        <v>LEUSHITE</v>
      </c>
      <c r="C3" s="4">
        <f>INDEX(Deals2!$J:$J, 9*(ROW($B3))-16)</f>
        <v>-13313.040000000008</v>
      </c>
      <c r="D3" s="4">
        <f>INDEX(Deals2!$J:$J, 9*(ROW($B3))-15)</f>
        <v>-1005.9000000000015</v>
      </c>
      <c r="E3" s="4">
        <f>INDEX(Deals2!$J:$J, 9*(ROW($B3))-14)</f>
        <v>81913.199999999721</v>
      </c>
      <c r="F3" s="4">
        <f>INDEX(Deals2!$J:$J, 9*(ROW($B3))-13)</f>
        <v>46665.899999999907</v>
      </c>
      <c r="G3" s="4">
        <f>INDEX(Deals2!$J:$J, 9*(ROW($B3))-12)</f>
        <v>-21362.58</v>
      </c>
      <c r="H3" s="4">
        <f>INDEX(Deals2!$J:$J, 9*(ROW($B3))-11)</f>
        <v>1240.5199999999986</v>
      </c>
      <c r="I3" s="4">
        <f>INDEX(Deals2!$J:$J, 9*(ROW($B3))-10)</f>
        <v>-300249.56000000006</v>
      </c>
      <c r="J3" s="4">
        <f>INDEX(Deals2!$J:$J, 9*(ROW($B3))-9)</f>
        <v>-37348.5</v>
      </c>
      <c r="K3" s="4">
        <f>INDEX(Deals2!$J:$J, 9*(ROW($B3))-8)</f>
        <v>1993.5</v>
      </c>
      <c r="L3" s="4">
        <f t="shared" si="0"/>
        <v>81913.199999999721</v>
      </c>
    </row>
    <row r="4" spans="1:12">
      <c r="A4" t="str">
        <f>INDEX(Deals2!A:A, 9*(ROW($B4))-16)</f>
        <v>CORONA REEF</v>
      </c>
      <c r="B4" t="str">
        <f>INDEX(Deals2!B:B, 9*(ROW($B4))-16)</f>
        <v>HEMP</v>
      </c>
      <c r="C4">
        <f>INDEX(Deals2!$J:$J, 9*(ROW($B4))-16)</f>
        <v>-171.5</v>
      </c>
      <c r="D4">
        <f>INDEX(Deals2!$J:$J, 9*(ROW($B4))-15)</f>
        <v>-607.5</v>
      </c>
      <c r="E4" s="4">
        <f>INDEX(Deals2!$J:$J, 9*(ROW($B4))-14)</f>
        <v>10102.5</v>
      </c>
      <c r="F4">
        <f>INDEX(Deals2!$J:$J, 9*(ROW($B4))-13)</f>
        <v>2347.4999999999995</v>
      </c>
      <c r="G4">
        <f>INDEX(Deals2!$J:$J, 9*(ROW($B4))-12)</f>
        <v>-585</v>
      </c>
      <c r="H4">
        <f>INDEX(Deals2!$J:$J, 9*(ROW($B4))-11)</f>
        <v>474.79999999999995</v>
      </c>
      <c r="I4">
        <f>INDEX(Deals2!$J:$J, 9*(ROW($B4))-10)</f>
        <v>3013.3999999999996</v>
      </c>
      <c r="J4">
        <f>INDEX(Deals2!$J:$J, 9*(ROW($B4))-9)</f>
        <v>-813.80000000000018</v>
      </c>
      <c r="K4">
        <f>INDEX(Deals2!$J:$J, 9*(ROW($B4))-8)</f>
        <v>15707.499999999998</v>
      </c>
      <c r="L4">
        <f t="shared" si="0"/>
        <v>15707.499999999998</v>
      </c>
    </row>
    <row r="5" spans="1:12">
      <c r="A5" t="str">
        <f>INDEX(Deals2!A:A, 9*(ROW($B5))-16)</f>
        <v>CORONO REEF</v>
      </c>
      <c r="B5" t="str">
        <f>INDEX(Deals2!B:B, 9*(ROW($B5))-16)</f>
        <v>MADDER</v>
      </c>
      <c r="C5">
        <f>INDEX(Deals2!$J:$J, 9*(ROW($B5))-16)</f>
        <v>111.53999999999905</v>
      </c>
      <c r="D5">
        <f>INDEX(Deals2!$J:$J, 9*(ROW($B5))-15)</f>
        <v>-97.5</v>
      </c>
      <c r="E5" s="4">
        <f>INDEX(Deals2!$J:$J, 9*(ROW($B5))-14)</f>
        <v>-81.820000000006985</v>
      </c>
      <c r="F5">
        <f>INDEX(Deals2!$J:$J, 9*(ROW($B5))-13)</f>
        <v>5759.9399999999987</v>
      </c>
      <c r="G5">
        <f>INDEX(Deals2!$J:$J, 9*(ROW($B5))-12)</f>
        <v>-585</v>
      </c>
      <c r="H5">
        <f>INDEX(Deals2!$J:$J, 9*(ROW($B5))-11)</f>
        <v>-170284.92000000004</v>
      </c>
      <c r="I5">
        <f>INDEX(Deals2!$J:$J, 9*(ROW($B5))-10)</f>
        <v>6777.1999999999971</v>
      </c>
      <c r="J5">
        <f>INDEX(Deals2!$J:$J, 9*(ROW($B5))-9)</f>
        <v>-7309.0800000000017</v>
      </c>
      <c r="K5">
        <f>INDEX(Deals2!$J:$J, 9*(ROW($B5))-8)</f>
        <v>5336.0999999999913</v>
      </c>
      <c r="L5">
        <f t="shared" si="0"/>
        <v>6777.1999999999971</v>
      </c>
    </row>
    <row r="6" spans="1:12">
      <c r="A6" t="str">
        <f>INDEX(Deals2!A:A, 9*(ROW($B6))-16)</f>
        <v>DENDRITE</v>
      </c>
      <c r="B6" t="str">
        <f>INDEX(Deals2!B:B, 9*(ROW($B6))-16)</f>
        <v>BROOM FLOWER</v>
      </c>
      <c r="C6">
        <f>INDEX(Deals2!$J:$J, 9*(ROW($B6))-16)</f>
        <v>410.27999999999884</v>
      </c>
      <c r="D6">
        <f>INDEX(Deals2!$J:$J, 9*(ROW($B6))-15)</f>
        <v>-12835.5</v>
      </c>
      <c r="E6" s="4">
        <f>INDEX(Deals2!$J:$J, 9*(ROW($B6))-14)</f>
        <v>-364.32000000000153</v>
      </c>
      <c r="F6">
        <f>INDEX(Deals2!$J:$J, 9*(ROW($B6))-13)</f>
        <v>-962.74000000001979</v>
      </c>
      <c r="G6">
        <f>INDEX(Deals2!$J:$J, 9*(ROW($B6))-12)</f>
        <v>-97.5</v>
      </c>
      <c r="H6">
        <f>INDEX(Deals2!$J:$J, 9*(ROW($B6))-11)</f>
        <v>-1296209.7200000002</v>
      </c>
      <c r="I6">
        <f>INDEX(Deals2!$J:$J, 9*(ROW($B6))-10)</f>
        <v>782.15999999999622</v>
      </c>
      <c r="J6">
        <f>INDEX(Deals2!$J:$J, 9*(ROW($B6))-9)</f>
        <v>-30500.700000000012</v>
      </c>
      <c r="K6">
        <f>INDEX(Deals2!$J:$J, 9*(ROW($B6))-8)</f>
        <v>-4154.820000000007</v>
      </c>
      <c r="L6">
        <f t="shared" si="0"/>
        <v>782.15999999999622</v>
      </c>
    </row>
    <row r="7" spans="1:12">
      <c r="A7" t="str">
        <f>INDEX(Deals2!A:A, 9*(ROW($B7))-16)</f>
        <v>DENDRITE</v>
      </c>
      <c r="B7" t="str">
        <f>INDEX(Deals2!B:B, 9*(ROW($B7))-16)</f>
        <v>IRON</v>
      </c>
      <c r="C7">
        <f>INDEX(Deals2!$J:$J, 9*(ROW($B7))-16)</f>
        <v>-789</v>
      </c>
      <c r="D7">
        <f>INDEX(Deals2!$J:$J, 9*(ROW($B7))-15)</f>
        <v>-4736.9400000000005</v>
      </c>
      <c r="E7" s="4">
        <f>INDEX(Deals2!$J:$J, 9*(ROW($B7))-14)</f>
        <v>1849.9999999999927</v>
      </c>
      <c r="F7">
        <f>INDEX(Deals2!$J:$J, 9*(ROW($B7))-13)</f>
        <v>-190.10000000000002</v>
      </c>
      <c r="G7">
        <f>INDEX(Deals2!$J:$J, 9*(ROW($B7))-12)</f>
        <v>-1761.5800000000017</v>
      </c>
      <c r="H7">
        <f>INDEX(Deals2!$J:$J, 9*(ROW($B7))-11)</f>
        <v>-6295</v>
      </c>
      <c r="I7">
        <f>INDEX(Deals2!$J:$J, 9*(ROW($B7))-10)</f>
        <v>-334.00000000000023</v>
      </c>
      <c r="J7">
        <f>INDEX(Deals2!$J:$J, 9*(ROW($B7))-9)</f>
        <v>-14241.5</v>
      </c>
      <c r="K7">
        <f>INDEX(Deals2!$J:$J, 9*(ROW($B7))-8)</f>
        <v>487.49999999999909</v>
      </c>
      <c r="L7">
        <f t="shared" si="0"/>
        <v>1849.9999999999927</v>
      </c>
    </row>
    <row r="8" spans="1:12">
      <c r="A8" s="3" t="str">
        <f>INDEX(Deals2!A:A, 9*(ROW($B8))-16)</f>
        <v>DRAGON'S NEST</v>
      </c>
      <c r="B8" s="3" t="str">
        <f>INDEX(Deals2!B:B, 9*(ROW($B8))-16)</f>
        <v>BUTTERFLY WEED</v>
      </c>
      <c r="C8" s="3">
        <f>INDEX(Deals2!$J:$J, 9*(ROW($B8))-16)</f>
        <v>-1632.8000000000011</v>
      </c>
      <c r="D8" s="3">
        <f>INDEX(Deals2!$J:$J, 9*(ROW($B8))-15)</f>
        <v>-487.5</v>
      </c>
      <c r="E8" s="4">
        <f>INDEX(Deals2!$J:$J, 9*(ROW($B8))-14)</f>
        <v>-2673.6000000000058</v>
      </c>
      <c r="F8" s="3">
        <f>INDEX(Deals2!$J:$J, 9*(ROW($B8))-13)</f>
        <v>7119.0999999999985</v>
      </c>
      <c r="G8" s="3">
        <f>INDEX(Deals2!$J:$J, 9*(ROW($B8))-12)</f>
        <v>-195</v>
      </c>
      <c r="H8" s="3">
        <f>INDEX(Deals2!$J:$J, 9*(ROW($B8))-11)</f>
        <v>-531720.80000000005</v>
      </c>
      <c r="I8" s="3">
        <f>INDEX(Deals2!$J:$J, 9*(ROW($B8))-10)</f>
        <v>3434.9999999999927</v>
      </c>
      <c r="J8" s="3">
        <f>INDEX(Deals2!$J:$J, 9*(ROW($B8))-9)</f>
        <v>-14333.700000000004</v>
      </c>
      <c r="K8" s="3">
        <f>INDEX(Deals2!$J:$J, 9*(ROW($B8))-8)</f>
        <v>2314.0999999999913</v>
      </c>
      <c r="L8" s="3">
        <f t="shared" si="0"/>
        <v>7119.0999999999985</v>
      </c>
    </row>
    <row r="9" spans="1:12">
      <c r="A9" t="str">
        <f>INDEX(Deals2!A:A, 9*(ROW($B9))-16)</f>
        <v>DRAGON'S NEST</v>
      </c>
      <c r="B9" t="str">
        <f>INDEX(Deals2!B:B, 9*(ROW($B9))-16)</f>
        <v>IRON</v>
      </c>
      <c r="C9">
        <f>INDEX(Deals2!$J:$J, 9*(ROW($B9))-16)</f>
        <v>2429.9999999999982</v>
      </c>
      <c r="D9">
        <f>INDEX(Deals2!$J:$J, 9*(ROW($B9))-15)</f>
        <v>-2689.7000000000007</v>
      </c>
      <c r="E9" s="4">
        <f>INDEX(Deals2!$J:$J, 9*(ROW($B9))-14)</f>
        <v>10614.999999999993</v>
      </c>
      <c r="F9">
        <f>INDEX(Deals2!$J:$J, 9*(ROW($B9))-13)</f>
        <v>-295.5</v>
      </c>
      <c r="G9">
        <f>INDEX(Deals2!$J:$J, 9*(ROW($B9))-12)</f>
        <v>-331.40000000000055</v>
      </c>
      <c r="H9">
        <f>INDEX(Deals2!$J:$J, 9*(ROW($B9))-11)</f>
        <v>-890.00000000000364</v>
      </c>
      <c r="I9">
        <f>INDEX(Deals2!$J:$J, 9*(ROW($B9))-10)</f>
        <v>-305</v>
      </c>
      <c r="J9">
        <f>INDEX(Deals2!$J:$J, 9*(ROW($B9))-9)</f>
        <v>-8417.5000000000036</v>
      </c>
      <c r="K9">
        <f>INDEX(Deals2!$J:$J, 9*(ROW($B9))-8)</f>
        <v>1412.4999999999991</v>
      </c>
      <c r="L9">
        <f t="shared" si="0"/>
        <v>10614.999999999993</v>
      </c>
    </row>
    <row r="10" spans="1:12">
      <c r="A10" t="str">
        <f>INDEX(Deals2!A:A, 9*(ROW($B10))-16)</f>
        <v>DRAGON'S NEST</v>
      </c>
      <c r="B10" t="str">
        <f>INDEX(Deals2!B:B, 9*(ROW($B10))-16)</f>
        <v>STONE</v>
      </c>
      <c r="C10">
        <f>INDEX(Deals2!$J:$J, 9*(ROW($B10))-16)</f>
        <v>0</v>
      </c>
      <c r="D10">
        <f>INDEX(Deals2!$J:$J, 9*(ROW($B10))-15)</f>
        <v>-487.5</v>
      </c>
      <c r="E10" s="4">
        <f>INDEX(Deals2!$J:$J, 9*(ROW($B10))-14)</f>
        <v>1614.9999999999995</v>
      </c>
      <c r="F10">
        <f>INDEX(Deals2!$J:$J, 9*(ROW($B10))-13)</f>
        <v>744.5</v>
      </c>
      <c r="G10">
        <f>INDEX(Deals2!$J:$J, 9*(ROW($B10))-12)</f>
        <v>-195</v>
      </c>
      <c r="H10">
        <f>INDEX(Deals2!$J:$J, 9*(ROW($B10))-11)</f>
        <v>-401.4</v>
      </c>
      <c r="I10">
        <f>INDEX(Deals2!$J:$J, 9*(ROW($B10))-10)</f>
        <v>-585</v>
      </c>
      <c r="J10">
        <f>INDEX(Deals2!$J:$J, 9*(ROW($B10))-9)</f>
        <v>-107.46000000000001</v>
      </c>
      <c r="K10">
        <f>INDEX(Deals2!$J:$J, 9*(ROW($B10))-8)</f>
        <v>-607.62000000000012</v>
      </c>
      <c r="L10">
        <f t="shared" si="0"/>
        <v>1614.9999999999995</v>
      </c>
    </row>
    <row r="11" spans="1:12">
      <c r="A11" s="7" t="str">
        <f>INDEX(Deals2!A:A, 9*(ROW($B11))-16)</f>
        <v>TYPHOON</v>
      </c>
      <c r="B11" s="10" t="str">
        <f>INDEX(Deals2!B:B, 9*(ROW($B11))-16)</f>
        <v>ELDERBERRIES</v>
      </c>
      <c r="C11">
        <f ca="1">INDEX(Deals2!$J:$J, 9*(ROW($B11))-16)</f>
        <v>4090.3399999999983</v>
      </c>
      <c r="D11">
        <f ca="1">INDEX(Deals2!$J:$J, 9*(ROW($B11))-15)</f>
        <v>-3770.6400000000012</v>
      </c>
      <c r="E11" s="4">
        <f ca="1">INDEX(Deals2!$J:$J, 9*(ROW($B11))-14)</f>
        <v>18460.78</v>
      </c>
      <c r="F11">
        <f ca="1">INDEX(Deals2!$J:$J, 9*(ROW($B11))-13)</f>
        <v>13206.96</v>
      </c>
      <c r="G11">
        <f ca="1">INDEX(Deals2!$J:$J, 9*(ROW($B11))-12)</f>
        <v>-195</v>
      </c>
      <c r="H11">
        <f ca="1">INDEX(Deals2!$J:$J, 9*(ROW($B11))-11)</f>
        <v>-36213.580000000016</v>
      </c>
      <c r="I11">
        <f ca="1">INDEX(Deals2!$J:$J, 9*(ROW($B11))-10)</f>
        <v>1405.739999999998</v>
      </c>
      <c r="J11">
        <f ca="1">INDEX(Deals2!$J:$J, 9*(ROW($B11))-9)</f>
        <v>-4303</v>
      </c>
      <c r="K11">
        <f ca="1">INDEX(Deals2!$J:$J, 9*(ROW($B11))-8)</f>
        <v>9246.5599999999977</v>
      </c>
      <c r="L11" s="10">
        <f t="shared" ca="1" si="0"/>
        <v>18460.78</v>
      </c>
    </row>
    <row r="12" spans="1:12">
      <c r="A12" t="str">
        <f>INDEX(Deals2!A:A, 9*(ROW($B12))-16)</f>
        <v>TYPHOON</v>
      </c>
      <c r="B12" t="str">
        <f>INDEX(Deals2!B:B, 9*(ROW($B12))-16)</f>
        <v>SINCOSITE</v>
      </c>
      <c r="C12">
        <v>10</v>
      </c>
      <c r="D12">
        <f ca="1">INDEX(Deals2!$J:$J, 9*(ROW($B12))-15)</f>
        <v>-318.60000000000014</v>
      </c>
      <c r="E12" s="4">
        <f ca="1">INDEX(Deals2!$J:$J, 9*(ROW($B12))-14)</f>
        <v>-1088.9000000000005</v>
      </c>
      <c r="F12">
        <f ca="1">INDEX(Deals2!$J:$J, 9*(ROW($B12))-13)</f>
        <v>-1131</v>
      </c>
      <c r="G12">
        <f ca="1">INDEX(Deals2!$J:$J, 9*(ROW($B12))-12)</f>
        <v>-203.24</v>
      </c>
      <c r="H12">
        <f ca="1">INDEX(Deals2!$J:$J, 9*(ROW($B12))-11)</f>
        <v>-361.18000000000029</v>
      </c>
      <c r="I12">
        <f ca="1">INDEX(Deals2!$J:$J, 9*(ROW($B12))-10)</f>
        <v>-1844.1000000000004</v>
      </c>
      <c r="J12">
        <f ca="1">INDEX(Deals2!$J:$J, 9*(ROW($B12))-9)</f>
        <v>-277.40000000000009</v>
      </c>
      <c r="K12">
        <f ca="1">INDEX(Deals2!$J:$J, 9*(ROW($B12))-8)</f>
        <v>-2319.0000000000009</v>
      </c>
      <c r="L12">
        <f t="shared" ca="1" si="0"/>
        <v>10</v>
      </c>
    </row>
    <row r="13" spans="1:12">
      <c r="A13" t="str">
        <f>INDEX(Deals2!A:A, 9*(ROW($B13))-16)</f>
        <v>VIRIDIS</v>
      </c>
      <c r="B13" t="str">
        <f>INDEX(Deals2!B:B, 9*(ROW($B13))-16)</f>
        <v>WOOD</v>
      </c>
      <c r="C13">
        <v>1</v>
      </c>
      <c r="D13">
        <f ca="1">INDEX(Deals2!$J:$J, 9*(ROW($B13))-15)</f>
        <v>-195</v>
      </c>
      <c r="E13" s="4">
        <f ca="1">INDEX(Deals2!$J:$J, 9*(ROW($B13))-14)</f>
        <v>9265.5</v>
      </c>
      <c r="F13">
        <f ca="1">INDEX(Deals2!$J:$J, 9*(ROW($B13))-13)</f>
        <v>-132.36000000000001</v>
      </c>
      <c r="G13">
        <f ca="1">INDEX(Deals2!$J:$J, 9*(ROW($B13))-12)</f>
        <v>470.99999999999818</v>
      </c>
      <c r="H13">
        <f ca="1">INDEX(Deals2!$J:$J, 9*(ROW($B13))-11)</f>
        <v>382.97999999999956</v>
      </c>
      <c r="I13">
        <f ca="1">INDEX(Deals2!$J:$J, 9*(ROW($B13))-10)</f>
        <v>-746.10000000000036</v>
      </c>
      <c r="J13">
        <f ca="1">INDEX(Deals2!$J:$J, 9*(ROW($B13))-9)</f>
        <v>-195</v>
      </c>
      <c r="K13">
        <f ca="1">INDEX(Deals2!$J:$J, 9*(ROW($B13))-8)</f>
        <v>1728.9999999999964</v>
      </c>
      <c r="L13">
        <f t="shared" ca="1" si="0"/>
        <v>9265.5</v>
      </c>
    </row>
    <row r="14" spans="1:12">
      <c r="A14" t="str">
        <f>INDEX(Deals2!A:A, 9*(ROW($B14))-16)</f>
        <v>VIRIDIS</v>
      </c>
      <c r="B14" t="str">
        <f>INDEX(Deals2!B:B, 9*(ROW($B14))-16)</f>
        <v>YARROW</v>
      </c>
      <c r="C14">
        <v>515</v>
      </c>
      <c r="D14">
        <f ca="1">INDEX(Deals2!$J:$J, 9*(ROW($B14))-15)</f>
        <v>-8028.6</v>
      </c>
      <c r="E14" s="4">
        <f ca="1">INDEX(Deals2!$J:$J, 9*(ROW($B14))-14)</f>
        <v>11116.859999999986</v>
      </c>
      <c r="F14">
        <f ca="1">INDEX(Deals2!$J:$J, 9*(ROW($B14))-13)</f>
        <v>19523.079999999987</v>
      </c>
      <c r="G14">
        <f ca="1">INDEX(Deals2!$J:$J, 9*(ROW($B14))-12)</f>
        <v>-195</v>
      </c>
      <c r="H14">
        <f ca="1">INDEX(Deals2!$J:$J, 9*(ROW($B14))-11)</f>
        <v>-2569384.2200000002</v>
      </c>
      <c r="I14">
        <f ca="1">INDEX(Deals2!$J:$J, 9*(ROW($B14))-10)</f>
        <v>-9929.460000000021</v>
      </c>
      <c r="J14">
        <f ca="1">INDEX(Deals2!$J:$J, 9*(ROW($B14))-9)</f>
        <v>-37543.48000000004</v>
      </c>
      <c r="K14">
        <f ca="1">INDEX(Deals2!$J:$J, 9*(ROW($B14))-8)</f>
        <v>-4532.8400000000256</v>
      </c>
      <c r="L14">
        <f t="shared" ca="1" si="0"/>
        <v>19523.079999999987</v>
      </c>
    </row>
    <row r="15" spans="1:12">
      <c r="A15" s="4" t="s">
        <v>37</v>
      </c>
      <c r="B15" s="4" t="s">
        <v>16</v>
      </c>
      <c r="C15" s="4">
        <f ca="1">MAX(C$2:C$14)</f>
        <v>4090.3399999999983</v>
      </c>
      <c r="D15" s="4">
        <f t="shared" ref="D15:L15" ca="1" si="1">MAX(D$2:D$14)</f>
        <v>-97.5</v>
      </c>
      <c r="E15" s="4">
        <f t="shared" ca="1" si="1"/>
        <v>81913.199999999721</v>
      </c>
      <c r="F15" s="4">
        <f t="shared" ca="1" si="1"/>
        <v>46665.899999999907</v>
      </c>
      <c r="G15" s="4">
        <f t="shared" ca="1" si="1"/>
        <v>470.99999999999818</v>
      </c>
      <c r="H15" s="4">
        <f t="shared" ca="1" si="1"/>
        <v>1240.5199999999986</v>
      </c>
      <c r="I15" s="4">
        <f t="shared" ca="1" si="1"/>
        <v>6777.1999999999971</v>
      </c>
      <c r="J15" s="4">
        <f t="shared" ca="1" si="1"/>
        <v>-107.46000000000001</v>
      </c>
      <c r="K15" s="4">
        <f t="shared" ca="1" si="1"/>
        <v>15707.499999999998</v>
      </c>
      <c r="L15" s="4">
        <f t="shared" ca="1" si="1"/>
        <v>81913.199999999721</v>
      </c>
    </row>
    <row r="16" spans="1:12">
      <c r="A16" t="s">
        <v>42</v>
      </c>
      <c r="B16">
        <f ca="1">AVERAGE(Deals2!K2:K110)</f>
        <v>-9044.0103337702076</v>
      </c>
    </row>
  </sheetData>
  <sortState ref="A2:L14">
    <sortCondition ref="A2:A14"/>
    <sortCondition ref="B2:B14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Successes</vt:lpstr>
      <vt:lpstr>Found Deals</vt:lpstr>
      <vt:lpstr>Islands</vt:lpstr>
      <vt:lpstr>Sugar Cane</vt:lpstr>
      <vt:lpstr>Deals2</vt:lpstr>
      <vt:lpstr>Profits2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2017-03-29T00:01:55Z</dcterms:created>
  <dcterms:modified xsi:type="dcterms:W3CDTF">2017-04-06T20:07:00Z</dcterms:modified>
</cp:coreProperties>
</file>