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6060" tabRatio="500" activeTab="5"/>
  </bookViews>
  <sheets>
    <sheet name="Weight" sheetId="1" r:id="rId1"/>
    <sheet name="Height" sheetId="2" r:id="rId2"/>
    <sheet name="Mass" sheetId="3" r:id="rId3"/>
    <sheet name="Width" sheetId="4" r:id="rId4"/>
    <sheet name="Circumference" sheetId="5" r:id="rId5"/>
    <sheet name="Poses" sheetId="6" r:id="rId6"/>
    <sheet name="Joint Limits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6" l="1"/>
  <c r="D2" i="6"/>
  <c r="D3" i="6"/>
  <c r="D5" i="6"/>
  <c r="H13" i="7"/>
  <c r="H23" i="7"/>
  <c r="H22" i="7"/>
  <c r="H21" i="7"/>
  <c r="H20" i="7"/>
  <c r="H12" i="7"/>
  <c r="H11" i="7"/>
  <c r="H10" i="7"/>
  <c r="F11" i="7"/>
  <c r="F10" i="7"/>
  <c r="F6" i="7"/>
  <c r="F7" i="7"/>
  <c r="F8" i="7"/>
  <c r="F9" i="7"/>
  <c r="G23" i="7"/>
  <c r="G22" i="7"/>
  <c r="G21" i="7"/>
  <c r="G20" i="7"/>
  <c r="G14" i="7"/>
  <c r="G15" i="7"/>
  <c r="G16" i="7"/>
  <c r="G17" i="7"/>
  <c r="G18" i="7"/>
  <c r="G19" i="7"/>
  <c r="G11" i="7"/>
  <c r="G12" i="7"/>
  <c r="G13" i="7"/>
  <c r="F3" i="7"/>
  <c r="F4" i="7"/>
  <c r="F5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G10" i="7"/>
  <c r="G28" i="7"/>
  <c r="G29" i="7"/>
  <c r="G30" i="7"/>
  <c r="G31" i="7"/>
  <c r="F2" i="7"/>
  <c r="D13" i="3"/>
  <c r="D3" i="3"/>
  <c r="D4" i="3"/>
  <c r="D5" i="3"/>
  <c r="D6" i="3"/>
  <c r="D7" i="3"/>
  <c r="D8" i="3"/>
  <c r="D9" i="3"/>
  <c r="D10" i="3"/>
  <c r="D32" i="6"/>
  <c r="D30" i="6"/>
  <c r="D28" i="6"/>
  <c r="D26" i="6"/>
  <c r="D24" i="6"/>
  <c r="D22" i="6"/>
  <c r="D23" i="6"/>
  <c r="D19" i="6"/>
  <c r="D13" i="6"/>
  <c r="D11" i="6"/>
  <c r="D9" i="6"/>
  <c r="D7" i="6"/>
  <c r="D31" i="6"/>
  <c r="D29" i="6"/>
  <c r="D27" i="6"/>
  <c r="D25" i="6"/>
  <c r="D21" i="6"/>
  <c r="D18" i="6"/>
  <c r="D16" i="6"/>
  <c r="D14" i="6"/>
  <c r="D12" i="6"/>
  <c r="D10" i="6"/>
  <c r="D8" i="6"/>
  <c r="D6" i="6"/>
  <c r="B4" i="6"/>
  <c r="B2" i="6"/>
  <c r="C31" i="6"/>
  <c r="C27" i="6"/>
  <c r="C23" i="6"/>
  <c r="C29" i="6"/>
  <c r="C25" i="6"/>
  <c r="C21" i="6"/>
  <c r="C12" i="6"/>
  <c r="C8" i="6"/>
  <c r="C4" i="6"/>
  <c r="C10" i="6"/>
  <c r="C6" i="6"/>
  <c r="C2" i="6"/>
  <c r="F32" i="6"/>
  <c r="G32" i="6"/>
  <c r="E32" i="6"/>
  <c r="E31" i="6"/>
  <c r="F31" i="6"/>
  <c r="G31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G2" i="6"/>
  <c r="F2" i="6"/>
  <c r="E2" i="6"/>
  <c r="L10" i="3"/>
  <c r="M4" i="3"/>
  <c r="M5" i="3"/>
  <c r="M6" i="3"/>
  <c r="M7" i="3"/>
  <c r="M8" i="3"/>
  <c r="M9" i="3"/>
  <c r="M10" i="3"/>
  <c r="M3" i="3"/>
  <c r="F4" i="5"/>
  <c r="F5" i="5"/>
  <c r="F6" i="5"/>
  <c r="F7" i="5"/>
  <c r="F8" i="5"/>
  <c r="F9" i="5"/>
  <c r="F10" i="5"/>
  <c r="F3" i="5"/>
  <c r="E5" i="5"/>
  <c r="E4" i="5"/>
  <c r="E3" i="5"/>
  <c r="E10" i="5"/>
  <c r="E7" i="5"/>
  <c r="E8" i="5"/>
  <c r="E6" i="5"/>
  <c r="E9" i="5"/>
  <c r="L4" i="3"/>
  <c r="N4" i="3"/>
  <c r="L5" i="3"/>
  <c r="N5" i="3"/>
  <c r="L6" i="3"/>
  <c r="N6" i="3"/>
  <c r="L7" i="3"/>
  <c r="N7" i="3"/>
  <c r="L8" i="3"/>
  <c r="N8" i="3"/>
  <c r="L9" i="3"/>
  <c r="N9" i="3"/>
  <c r="N10" i="3"/>
  <c r="L3" i="3"/>
  <c r="N3" i="3"/>
  <c r="J3" i="3"/>
  <c r="F2" i="2"/>
  <c r="F3" i="2"/>
  <c r="F4" i="2"/>
  <c r="J4" i="3"/>
  <c r="J5" i="3"/>
  <c r="F8" i="2"/>
  <c r="J6" i="3"/>
  <c r="J7" i="3"/>
  <c r="J8" i="3"/>
  <c r="E2" i="4"/>
  <c r="E3" i="4"/>
  <c r="F6" i="2"/>
  <c r="F7" i="2"/>
  <c r="F9" i="2"/>
  <c r="Q24" i="4"/>
  <c r="C2" i="4"/>
  <c r="D2" i="4"/>
  <c r="C3" i="4"/>
  <c r="D3" i="4"/>
  <c r="J9" i="3"/>
  <c r="J10" i="3"/>
  <c r="D9" i="2"/>
  <c r="E9" i="2"/>
  <c r="D8" i="2"/>
  <c r="C13" i="3"/>
  <c r="E7" i="2"/>
  <c r="E6" i="2"/>
  <c r="E5" i="2"/>
  <c r="E4" i="2"/>
  <c r="E3" i="2"/>
  <c r="E2" i="2"/>
  <c r="E8" i="2"/>
  <c r="C41" i="1"/>
  <c r="E41" i="1"/>
</calcChain>
</file>

<file path=xl/sharedStrings.xml><?xml version="1.0" encoding="utf-8"?>
<sst xmlns="http://schemas.openxmlformats.org/spreadsheetml/2006/main" count="353" uniqueCount="166">
  <si>
    <t>Pounds to Kilograms</t>
  </si>
  <si>
    <t>Median(kg)</t>
  </si>
  <si>
    <t>Weight (lb)</t>
  </si>
  <si>
    <t>Subject</t>
  </si>
  <si>
    <t>Group</t>
  </si>
  <si>
    <t>THIN</t>
  </si>
  <si>
    <t>MEDIAN</t>
  </si>
  <si>
    <t>MUSCULAR</t>
  </si>
  <si>
    <t>ROTUND</t>
  </si>
  <si>
    <t>Definition</t>
  </si>
  <si>
    <t>CM prox</t>
  </si>
  <si>
    <t>CM dist</t>
  </si>
  <si>
    <t>Rg CM</t>
  </si>
  <si>
    <t>Rg prox</t>
  </si>
  <si>
    <t>Rg dist</t>
  </si>
  <si>
    <t>Segment</t>
  </si>
  <si>
    <t>Hand</t>
  </si>
  <si>
    <t>WJC-KNU2</t>
  </si>
  <si>
    <t>Forearm</t>
  </si>
  <si>
    <t>EJC-STYL</t>
  </si>
  <si>
    <t>Upper arm</t>
  </si>
  <si>
    <t>SJC-EJC</t>
  </si>
  <si>
    <t>Foot</t>
  </si>
  <si>
    <t>LMAL-MT2</t>
  </si>
  <si>
    <t>Leg</t>
  </si>
  <si>
    <t>KJC-MMAL</t>
  </si>
  <si>
    <t>Thigh</t>
  </si>
  <si>
    <t>GTR-KJC</t>
  </si>
  <si>
    <t>Head neck</t>
  </si>
  <si>
    <t>C7T1-RIB1EAR</t>
  </si>
  <si>
    <t>NaN</t>
  </si>
  <si>
    <t>Trunk</t>
  </si>
  <si>
    <t>GTR-SJC</t>
  </si>
  <si>
    <t>Sum</t>
  </si>
  <si>
    <t>Mass (Relative)</t>
  </si>
  <si>
    <t>Mass (Absolute kg)</t>
  </si>
  <si>
    <t>Joint</t>
  </si>
  <si>
    <t>Avg. of MEDIAN type (lb)</t>
  </si>
  <si>
    <t>Average Mediant Height (cm)</t>
  </si>
  <si>
    <t>Average Mediant Height (m)</t>
  </si>
  <si>
    <t>Link</t>
  </si>
  <si>
    <t>Source: Table 7</t>
  </si>
  <si>
    <t>Source</t>
  </si>
  <si>
    <t>Table 2</t>
  </si>
  <si>
    <t>50th Percentile (cm)</t>
  </si>
  <si>
    <t>50th Percentile (m)</t>
  </si>
  <si>
    <t>Transpelvic Link</t>
  </si>
  <si>
    <t>Hand Link (Wrist center to center of gravity)</t>
  </si>
  <si>
    <t>Table 7</t>
  </si>
  <si>
    <t>Radius Link (107% of radius length)</t>
  </si>
  <si>
    <t>Humerus Link (89% of humerus length)</t>
  </si>
  <si>
    <t>Foot Link (talus center point to center of gravity)</t>
  </si>
  <si>
    <t>Tibial Link (110.0% of tibial length)</t>
  </si>
  <si>
    <t>Femur Link (91.4% of femur length)</t>
  </si>
  <si>
    <t>Clavicular Link</t>
  </si>
  <si>
    <t>Figure 10</t>
  </si>
  <si>
    <t>Stature - supranasternale</t>
  </si>
  <si>
    <t>Greater trochanter/glenohumeral joint(suprasernale - iliac crest) (Assume iliac crest is equivalent to greater trochanter and approximate equalence in height between suprasternale and glenohumeral)</t>
  </si>
  <si>
    <t>CM Pose</t>
  </si>
  <si>
    <t>Half Width</t>
  </si>
  <si>
    <t>Base Height</t>
  </si>
  <si>
    <t>Note: This is proximal because it is above the center of mass</t>
  </si>
  <si>
    <t>Note: Proximal is correct for the CM because it measures in a Z direction due to the alignment of the human. TODO: Redo this by instead rotating the links so the COM makes sense</t>
  </si>
  <si>
    <t>Ixx</t>
  </si>
  <si>
    <t>Iyy</t>
  </si>
  <si>
    <t>Izz</t>
  </si>
  <si>
    <t>Note, for a rod, Ixx = Izz and Iyy = 0</t>
  </si>
  <si>
    <t>HEAD (gonion)</t>
  </si>
  <si>
    <t>Median (cm)</t>
  </si>
  <si>
    <t>Median (m)</t>
  </si>
  <si>
    <t>FOOT AT FLOOR</t>
  </si>
  <si>
    <t>THIGH (crotch)</t>
  </si>
  <si>
    <t>CALF (max)</t>
  </si>
  <si>
    <t>CHEST (xiph.)</t>
  </si>
  <si>
    <t>Fig. 11</t>
  </si>
  <si>
    <t>Fig. 12</t>
  </si>
  <si>
    <t>WRIST</t>
  </si>
  <si>
    <t>Forearm near Med. Epi.</t>
  </si>
  <si>
    <t>Mid-Arm</t>
  </si>
  <si>
    <t>Note: Iyy uses elipsoid formula and assumes two non-height dimensions are equal</t>
  </si>
  <si>
    <t>Width (m)</t>
  </si>
  <si>
    <t>No CM for trunk. Used equation for elipsoid</t>
  </si>
  <si>
    <t>X</t>
  </si>
  <si>
    <t>Y</t>
  </si>
  <si>
    <t>Z</t>
  </si>
  <si>
    <t>Offset X</t>
  </si>
  <si>
    <t>Offset Y</t>
  </si>
  <si>
    <t>Offset Z</t>
  </si>
  <si>
    <t>Note: Offset values include movement of the entire model</t>
  </si>
  <si>
    <t>left_foot</t>
  </si>
  <si>
    <t>left_ankle</t>
  </si>
  <si>
    <t>right_foot</t>
  </si>
  <si>
    <t>right_ankle</t>
  </si>
  <si>
    <t>left_leg</t>
  </si>
  <si>
    <t>left_knee</t>
  </si>
  <si>
    <t>right_leg</t>
  </si>
  <si>
    <t>right_knee</t>
  </si>
  <si>
    <t>left_thigh</t>
  </si>
  <si>
    <t>left_hip</t>
  </si>
  <si>
    <t>right_thigh</t>
  </si>
  <si>
    <t>right_hip</t>
  </si>
  <si>
    <t>transpelvic_link</t>
  </si>
  <si>
    <t>lower_spine</t>
  </si>
  <si>
    <t>trunk</t>
  </si>
  <si>
    <t>upper_spine</t>
  </si>
  <si>
    <t>clavicular_link</t>
  </si>
  <si>
    <t>neck</t>
  </si>
  <si>
    <t>head_neck</t>
  </si>
  <si>
    <t>left_upper_arm</t>
  </si>
  <si>
    <t>left_shoulder</t>
  </si>
  <si>
    <t>right_upper_arm</t>
  </si>
  <si>
    <t>right_shoulder</t>
  </si>
  <si>
    <t>left_forearm</t>
  </si>
  <si>
    <t>left_elbow</t>
  </si>
  <si>
    <t>right_forearm</t>
  </si>
  <si>
    <t>right_elbow</t>
  </si>
  <si>
    <t>left_hand</t>
  </si>
  <si>
    <t>left_wrist</t>
  </si>
  <si>
    <t>right_hand</t>
  </si>
  <si>
    <t>right_wrist</t>
  </si>
  <si>
    <t>Lower</t>
  </si>
  <si>
    <t>Upper</t>
  </si>
  <si>
    <t>Table 5</t>
  </si>
  <si>
    <t>Pitch (Degrees)</t>
  </si>
  <si>
    <t>Yaw (Degrees)</t>
  </si>
  <si>
    <t>Pitch (Rad)</t>
  </si>
  <si>
    <t>Yaw (Rad)</t>
  </si>
  <si>
    <t>Table 6</t>
  </si>
  <si>
    <t>Table 8</t>
  </si>
  <si>
    <t>Table 9</t>
  </si>
  <si>
    <t>Table 10</t>
  </si>
  <si>
    <t>Table 11</t>
  </si>
  <si>
    <t>Table 12</t>
  </si>
  <si>
    <t>Table 13</t>
  </si>
  <si>
    <t>Table 14</t>
  </si>
  <si>
    <t>Table 15</t>
  </si>
  <si>
    <t>Table 16</t>
  </si>
  <si>
    <t>Table 17</t>
  </si>
  <si>
    <t>Table 18</t>
  </si>
  <si>
    <t>Table 19</t>
  </si>
  <si>
    <t>Table 20</t>
  </si>
  <si>
    <t>Table 21</t>
  </si>
  <si>
    <t>Table 22</t>
  </si>
  <si>
    <t>Table 23</t>
  </si>
  <si>
    <t>Table 24</t>
  </si>
  <si>
    <t>Table 25</t>
  </si>
  <si>
    <t>Table 26</t>
  </si>
  <si>
    <t>Table 27</t>
  </si>
  <si>
    <t>Table 28</t>
  </si>
  <si>
    <t>Table 29</t>
  </si>
  <si>
    <t>Table 30</t>
  </si>
  <si>
    <t>Table 31</t>
  </si>
  <si>
    <t>Table 32</t>
  </si>
  <si>
    <t>Table 33</t>
  </si>
  <si>
    <t>Table 34</t>
  </si>
  <si>
    <t>Notes</t>
  </si>
  <si>
    <t>Currently locking neck movement</t>
  </si>
  <si>
    <t>NA</t>
  </si>
  <si>
    <t>Selected Standing/voluntary measurement</t>
  </si>
  <si>
    <t>No yaw given for ankle</t>
  </si>
  <si>
    <t>Base measurements. Ignoring rotation</t>
  </si>
  <si>
    <t>Table 5 - Median</t>
  </si>
  <si>
    <t>Roll (Rad)</t>
  </si>
  <si>
    <t>Hip cannot go below 0</t>
  </si>
  <si>
    <t>Roll (Degree)</t>
  </si>
  <si>
    <t>Cylinder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</si>
</sst>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Arial"/>
    </font>
    <font>
      <sz val="10"/>
      <color theme="1"/>
      <name val="Courier"/>
    </font>
    <font>
      <sz val="12"/>
      <color theme="1"/>
      <name val="TimesNewRoman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7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3" borderId="0" xfId="0" applyFill="1"/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0" fillId="3" borderId="1" xfId="0" applyFill="1" applyBorder="1" applyAlignment="1">
      <alignment vertical="center" wrapText="1"/>
    </xf>
    <xf numFmtId="0" fontId="4" fillId="3" borderId="0" xfId="0" applyFont="1" applyFill="1"/>
    <xf numFmtId="0" fontId="0" fillId="0" borderId="0" xfId="0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 applyAlignment="1">
      <alignment vertical="center"/>
    </xf>
    <xf numFmtId="3" fontId="7" fillId="0" borderId="0" xfId="0" applyNumberFormat="1" applyFont="1"/>
    <xf numFmtId="0" fontId="7" fillId="0" borderId="0" xfId="0" applyFont="1"/>
  </cellXfs>
  <cellStyles count="7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C40" totalsRowShown="0">
  <autoFilter ref="A1:C40"/>
  <tableColumns count="3">
    <tableColumn id="1" name="Group"/>
    <tableColumn id="2" name="Subject"/>
    <tableColumn id="3" name="Weight (lb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E8" totalsRowShown="0">
  <autoFilter ref="A1:E8"/>
  <tableColumns count="5">
    <tableColumn id="1" name="Link"/>
    <tableColumn id="2" name="50th Percentile (cm)"/>
    <tableColumn id="3" name="50th Percentile (m)"/>
    <tableColumn id="4" name="Half Width" dataDxfId="1">
      <calculatedColumnFormula>Table4[[#This Row],[50th Percentile (m)]]/2</calculatedColumnFormula>
    </tableColumn>
    <tableColumn id="5" name="Base Height" dataDxfId="0">
      <calculatedColumnFormula>Height!E5+Height!E6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Black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J23" sqref="J23"/>
    </sheetView>
  </sheetViews>
  <sheetFormatPr baseColWidth="10" defaultRowHeight="15" x14ac:dyDescent="0"/>
  <cols>
    <col min="3" max="3" width="12.83203125" customWidth="1"/>
    <col min="5" max="5" width="19.5" customWidth="1"/>
  </cols>
  <sheetData>
    <row r="1" spans="1:8">
      <c r="A1" t="s">
        <v>4</v>
      </c>
      <c r="B1" t="s">
        <v>3</v>
      </c>
      <c r="C1" t="s">
        <v>2</v>
      </c>
      <c r="E1" t="s">
        <v>0</v>
      </c>
      <c r="F1">
        <v>0.453592</v>
      </c>
      <c r="G1" s="7" t="s">
        <v>42</v>
      </c>
      <c r="H1" s="7" t="s">
        <v>43</v>
      </c>
    </row>
    <row r="2" spans="1:8">
      <c r="A2" t="s">
        <v>5</v>
      </c>
      <c r="B2">
        <v>1</v>
      </c>
      <c r="C2">
        <v>154</v>
      </c>
    </row>
    <row r="3" spans="1:8">
      <c r="A3" t="s">
        <v>5</v>
      </c>
      <c r="B3">
        <v>2</v>
      </c>
      <c r="C3">
        <v>134</v>
      </c>
    </row>
    <row r="4" spans="1:8">
      <c r="A4" t="s">
        <v>5</v>
      </c>
      <c r="B4">
        <v>3</v>
      </c>
      <c r="C4">
        <v>114</v>
      </c>
    </row>
    <row r="5" spans="1:8">
      <c r="A5" t="s">
        <v>5</v>
      </c>
      <c r="B5">
        <v>4</v>
      </c>
      <c r="C5">
        <v>132.5</v>
      </c>
    </row>
    <row r="6" spans="1:8">
      <c r="A6" t="s">
        <v>5</v>
      </c>
      <c r="B6">
        <v>5</v>
      </c>
      <c r="C6">
        <v>128</v>
      </c>
    </row>
    <row r="7" spans="1:8">
      <c r="A7" t="s">
        <v>5</v>
      </c>
      <c r="B7">
        <v>6</v>
      </c>
      <c r="C7">
        <v>133</v>
      </c>
    </row>
    <row r="8" spans="1:8">
      <c r="A8" t="s">
        <v>5</v>
      </c>
      <c r="B8">
        <v>7</v>
      </c>
      <c r="C8">
        <v>140</v>
      </c>
    </row>
    <row r="9" spans="1:8">
      <c r="A9" t="s">
        <v>5</v>
      </c>
      <c r="B9">
        <v>8</v>
      </c>
      <c r="C9">
        <v>125</v>
      </c>
    </row>
    <row r="10" spans="1:8">
      <c r="A10" t="s">
        <v>5</v>
      </c>
      <c r="B10">
        <v>9</v>
      </c>
      <c r="C10">
        <v>172</v>
      </c>
    </row>
    <row r="11" spans="1:8">
      <c r="A11" t="s">
        <v>5</v>
      </c>
      <c r="B11">
        <v>10</v>
      </c>
      <c r="C11">
        <v>133.5</v>
      </c>
    </row>
    <row r="12" spans="1:8">
      <c r="A12" t="s">
        <v>6</v>
      </c>
      <c r="B12">
        <v>1</v>
      </c>
      <c r="C12">
        <v>156</v>
      </c>
    </row>
    <row r="13" spans="1:8">
      <c r="A13" t="s">
        <v>6</v>
      </c>
      <c r="B13">
        <v>2</v>
      </c>
      <c r="C13">
        <v>168.5</v>
      </c>
    </row>
    <row r="14" spans="1:8">
      <c r="A14" t="s">
        <v>6</v>
      </c>
      <c r="B14">
        <v>3</v>
      </c>
      <c r="C14">
        <v>170</v>
      </c>
    </row>
    <row r="15" spans="1:8">
      <c r="A15" t="s">
        <v>6</v>
      </c>
      <c r="B15">
        <v>4</v>
      </c>
      <c r="C15">
        <v>163</v>
      </c>
    </row>
    <row r="16" spans="1:8">
      <c r="A16" t="s">
        <v>6</v>
      </c>
      <c r="B16">
        <v>5</v>
      </c>
      <c r="C16">
        <v>181</v>
      </c>
    </row>
    <row r="17" spans="1:3">
      <c r="A17" t="s">
        <v>6</v>
      </c>
      <c r="B17">
        <v>6</v>
      </c>
      <c r="C17">
        <v>169</v>
      </c>
    </row>
    <row r="18" spans="1:3">
      <c r="A18" t="s">
        <v>6</v>
      </c>
      <c r="B18">
        <v>7</v>
      </c>
      <c r="C18">
        <v>162</v>
      </c>
    </row>
    <row r="19" spans="1:3">
      <c r="A19" t="s">
        <v>6</v>
      </c>
      <c r="B19">
        <v>8</v>
      </c>
      <c r="C19">
        <v>172</v>
      </c>
    </row>
    <row r="20" spans="1:3">
      <c r="A20" t="s">
        <v>6</v>
      </c>
      <c r="B20">
        <v>9</v>
      </c>
      <c r="C20">
        <v>141</v>
      </c>
    </row>
    <row r="21" spans="1:3">
      <c r="A21" t="s">
        <v>6</v>
      </c>
      <c r="B21">
        <v>10</v>
      </c>
      <c r="C21">
        <v>174</v>
      </c>
    </row>
    <row r="22" spans="1:3">
      <c r="A22" t="s">
        <v>6</v>
      </c>
      <c r="B22">
        <v>11</v>
      </c>
      <c r="C22">
        <v>152</v>
      </c>
    </row>
    <row r="23" spans="1:3">
      <c r="A23" t="s">
        <v>7</v>
      </c>
      <c r="B23">
        <v>1</v>
      </c>
      <c r="C23">
        <v>153</v>
      </c>
    </row>
    <row r="24" spans="1:3">
      <c r="A24" t="s">
        <v>7</v>
      </c>
      <c r="B24">
        <v>2</v>
      </c>
      <c r="C24">
        <v>168</v>
      </c>
    </row>
    <row r="25" spans="1:3">
      <c r="A25" t="s">
        <v>7</v>
      </c>
      <c r="B25">
        <v>3</v>
      </c>
      <c r="C25">
        <v>186</v>
      </c>
    </row>
    <row r="26" spans="1:3">
      <c r="A26" t="s">
        <v>7</v>
      </c>
      <c r="B26">
        <v>4</v>
      </c>
      <c r="C26">
        <v>167</v>
      </c>
    </row>
    <row r="27" spans="1:3">
      <c r="A27" t="s">
        <v>7</v>
      </c>
      <c r="B27">
        <v>5</v>
      </c>
      <c r="C27">
        <v>211</v>
      </c>
    </row>
    <row r="28" spans="1:3">
      <c r="A28" t="s">
        <v>7</v>
      </c>
      <c r="B28">
        <v>6</v>
      </c>
      <c r="C28">
        <v>160</v>
      </c>
    </row>
    <row r="29" spans="1:3">
      <c r="A29" t="s">
        <v>7</v>
      </c>
      <c r="B29">
        <v>7</v>
      </c>
      <c r="C29">
        <v>186</v>
      </c>
    </row>
    <row r="30" spans="1:3">
      <c r="A30" t="s">
        <v>7</v>
      </c>
      <c r="B30">
        <v>8</v>
      </c>
      <c r="C30">
        <v>151</v>
      </c>
    </row>
    <row r="31" spans="1:3">
      <c r="A31" t="s">
        <v>7</v>
      </c>
      <c r="B31">
        <v>9</v>
      </c>
      <c r="C31">
        <v>155</v>
      </c>
    </row>
    <row r="32" spans="1:3">
      <c r="A32" t="s">
        <v>7</v>
      </c>
      <c r="B32">
        <v>10</v>
      </c>
      <c r="C32">
        <v>171.5</v>
      </c>
    </row>
    <row r="33" spans="1:5">
      <c r="A33" t="s">
        <v>7</v>
      </c>
      <c r="B33">
        <v>11</v>
      </c>
      <c r="C33">
        <v>171</v>
      </c>
    </row>
    <row r="34" spans="1:5">
      <c r="A34" t="s">
        <v>8</v>
      </c>
      <c r="B34">
        <v>1</v>
      </c>
      <c r="C34">
        <v>272</v>
      </c>
    </row>
    <row r="35" spans="1:5">
      <c r="A35" t="s">
        <v>8</v>
      </c>
      <c r="B35">
        <v>2</v>
      </c>
      <c r="C35">
        <v>261</v>
      </c>
    </row>
    <row r="36" spans="1:5">
      <c r="A36" t="s">
        <v>8</v>
      </c>
      <c r="B36">
        <v>3</v>
      </c>
      <c r="C36">
        <v>224</v>
      </c>
    </row>
    <row r="37" spans="1:5">
      <c r="A37" t="s">
        <v>8</v>
      </c>
      <c r="B37">
        <v>4</v>
      </c>
      <c r="C37">
        <v>244</v>
      </c>
    </row>
    <row r="38" spans="1:5">
      <c r="A38" t="s">
        <v>8</v>
      </c>
      <c r="B38">
        <v>5</v>
      </c>
      <c r="C38">
        <v>186</v>
      </c>
    </row>
    <row r="39" spans="1:5">
      <c r="A39" t="s">
        <v>8</v>
      </c>
      <c r="B39">
        <v>6</v>
      </c>
      <c r="C39">
        <v>145</v>
      </c>
    </row>
    <row r="40" spans="1:5">
      <c r="A40" t="s">
        <v>8</v>
      </c>
      <c r="B40">
        <v>7</v>
      </c>
      <c r="C40">
        <v>232</v>
      </c>
    </row>
    <row r="41" spans="1:5">
      <c r="A41" s="2"/>
      <c r="B41" s="2" t="s">
        <v>37</v>
      </c>
      <c r="C41" s="2">
        <f>AVERAGE(C12:C22)</f>
        <v>164.40909090909091</v>
      </c>
      <c r="D41" s="2" t="s">
        <v>1</v>
      </c>
      <c r="E41" s="2">
        <f>ROUND(C41*F1,1)</f>
        <v>74.599999999999994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31" sqref="C31"/>
    </sheetView>
  </sheetViews>
  <sheetFormatPr baseColWidth="10" defaultRowHeight="15" x14ac:dyDescent="0"/>
  <cols>
    <col min="2" max="2" width="31.83203125" style="12" customWidth="1"/>
    <col min="3" max="3" width="31.83203125" customWidth="1"/>
    <col min="4" max="4" width="28.5" customWidth="1"/>
    <col min="5" max="5" width="28" customWidth="1"/>
    <col min="6" max="6" width="14.1640625" customWidth="1"/>
  </cols>
  <sheetData>
    <row r="1" spans="1:6">
      <c r="A1" s="3" t="s">
        <v>15</v>
      </c>
      <c r="B1" s="3" t="s">
        <v>9</v>
      </c>
      <c r="C1" s="8" t="s">
        <v>42</v>
      </c>
      <c r="D1" s="9" t="s">
        <v>38</v>
      </c>
      <c r="E1" s="9" t="s">
        <v>39</v>
      </c>
      <c r="F1" s="9" t="s">
        <v>60</v>
      </c>
    </row>
    <row r="2" spans="1:6" ht="30">
      <c r="A2" s="3" t="s">
        <v>16</v>
      </c>
      <c r="B2" s="4" t="s">
        <v>47</v>
      </c>
      <c r="C2" s="10" t="s">
        <v>48</v>
      </c>
      <c r="D2" s="9">
        <v>7</v>
      </c>
      <c r="E2" s="9">
        <f t="shared" ref="E2:E9" si="0">D2/100</f>
        <v>7.0000000000000007E-2</v>
      </c>
      <c r="F2" s="9">
        <f>$E$6+$E$7+$E$9+$E$4+$E$3+$E$2/2</f>
        <v>1.8279999999999998</v>
      </c>
    </row>
    <row r="3" spans="1:6">
      <c r="A3" s="3" t="s">
        <v>18</v>
      </c>
      <c r="B3" s="4" t="s">
        <v>49</v>
      </c>
      <c r="C3" s="10" t="s">
        <v>48</v>
      </c>
      <c r="D3" s="9">
        <v>27.2</v>
      </c>
      <c r="E3" s="9">
        <f t="shared" si="0"/>
        <v>0.27200000000000002</v>
      </c>
      <c r="F3" s="9">
        <f>$E$6+$E$7+$E$9+$E$4 + $E$3/2</f>
        <v>1.657</v>
      </c>
    </row>
    <row r="4" spans="1:6" ht="30">
      <c r="A4" s="3" t="s">
        <v>20</v>
      </c>
      <c r="B4" s="4" t="s">
        <v>50</v>
      </c>
      <c r="C4" s="10" t="s">
        <v>48</v>
      </c>
      <c r="D4" s="9">
        <v>30.2</v>
      </c>
      <c r="E4" s="9">
        <f t="shared" si="0"/>
        <v>0.30199999999999999</v>
      </c>
      <c r="F4" s="9">
        <f>$E$6+$E$7+$E$9+$E$4/2</f>
        <v>1.3699999999999999</v>
      </c>
    </row>
    <row r="5" spans="1:6" ht="30">
      <c r="A5" s="3" t="s">
        <v>22</v>
      </c>
      <c r="B5" s="4" t="s">
        <v>51</v>
      </c>
      <c r="C5" s="10" t="s">
        <v>48</v>
      </c>
      <c r="D5" s="9">
        <v>8.1999999999999993</v>
      </c>
      <c r="E5" s="9">
        <f t="shared" si="0"/>
        <v>8.199999999999999E-2</v>
      </c>
      <c r="F5" s="9">
        <v>0</v>
      </c>
    </row>
    <row r="6" spans="1:6">
      <c r="A6" s="3" t="s">
        <v>24</v>
      </c>
      <c r="B6" s="4" t="s">
        <v>52</v>
      </c>
      <c r="C6" s="10" t="s">
        <v>48</v>
      </c>
      <c r="D6" s="9">
        <v>40.9</v>
      </c>
      <c r="E6" s="9">
        <f t="shared" si="0"/>
        <v>0.40899999999999997</v>
      </c>
      <c r="F6" s="9">
        <f>E6/2</f>
        <v>0.20449999999999999</v>
      </c>
    </row>
    <row r="7" spans="1:6">
      <c r="A7" s="3" t="s">
        <v>26</v>
      </c>
      <c r="B7" s="4" t="s">
        <v>53</v>
      </c>
      <c r="C7" s="10" t="s">
        <v>48</v>
      </c>
      <c r="D7" s="9">
        <v>43.4</v>
      </c>
      <c r="E7" s="9">
        <f t="shared" si="0"/>
        <v>0.434</v>
      </c>
      <c r="F7">
        <f>E6+E7/2</f>
        <v>0.626</v>
      </c>
    </row>
    <row r="8" spans="1:6">
      <c r="A8" s="3" t="s">
        <v>28</v>
      </c>
      <c r="B8" s="4" t="s">
        <v>56</v>
      </c>
      <c r="C8" s="10" t="s">
        <v>55</v>
      </c>
      <c r="D8" s="9">
        <f>175.1-142.6</f>
        <v>32.5</v>
      </c>
      <c r="E8" s="9">
        <f t="shared" si="0"/>
        <v>0.32500000000000001</v>
      </c>
      <c r="F8" s="9">
        <f>E9+E7+E6+E8/2</f>
        <v>1.3815</v>
      </c>
    </row>
    <row r="9" spans="1:6" ht="90">
      <c r="A9" s="3" t="s">
        <v>31</v>
      </c>
      <c r="B9" s="12" t="s">
        <v>57</v>
      </c>
      <c r="C9" s="10" t="s">
        <v>55</v>
      </c>
      <c r="D9" s="9">
        <f>142.6 - 105</f>
        <v>37.599999999999994</v>
      </c>
      <c r="E9" s="9">
        <f t="shared" si="0"/>
        <v>0.37599999999999995</v>
      </c>
      <c r="F9" s="9">
        <f>E6+E7+E9/2</f>
        <v>1.0309999999999999</v>
      </c>
    </row>
    <row r="10" spans="1:6">
      <c r="A10" s="3"/>
      <c r="B10" s="4"/>
      <c r="C10" s="10"/>
      <c r="D10" s="9"/>
      <c r="E10" s="9"/>
      <c r="F10" s="9"/>
    </row>
    <row r="11" spans="1:6">
      <c r="A11" s="3"/>
      <c r="B11" s="4"/>
      <c r="C11" s="10"/>
      <c r="D11" s="9"/>
      <c r="E11" s="9"/>
      <c r="F11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F18" sqref="F18"/>
    </sheetView>
  </sheetViews>
  <sheetFormatPr baseColWidth="10" defaultRowHeight="15" x14ac:dyDescent="0"/>
  <cols>
    <col min="1" max="1" width="18.83203125" customWidth="1"/>
    <col min="4" max="4" width="12.1640625" bestFit="1" customWidth="1"/>
    <col min="11" max="11" width="50" customWidth="1"/>
    <col min="13" max="13" width="12.1640625" bestFit="1" customWidth="1"/>
  </cols>
  <sheetData>
    <row r="1" spans="1:15" ht="60">
      <c r="A1" s="3"/>
      <c r="B1" s="3" t="s">
        <v>9</v>
      </c>
      <c r="C1" s="3" t="s">
        <v>34</v>
      </c>
      <c r="D1" s="3" t="s">
        <v>35</v>
      </c>
      <c r="E1" s="3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1" t="s">
        <v>58</v>
      </c>
      <c r="K1" s="13" t="s">
        <v>62</v>
      </c>
      <c r="L1" s="13" t="s">
        <v>63</v>
      </c>
      <c r="M1" s="13" t="s">
        <v>64</v>
      </c>
      <c r="N1" s="13" t="s">
        <v>65</v>
      </c>
      <c r="O1" s="13" t="s">
        <v>66</v>
      </c>
    </row>
    <row r="2" spans="1:15">
      <c r="A2" s="3" t="s">
        <v>15</v>
      </c>
      <c r="B2" s="3"/>
      <c r="C2" s="3"/>
      <c r="D2" s="3"/>
      <c r="E2" s="3"/>
      <c r="F2" s="3"/>
      <c r="G2" s="3"/>
      <c r="H2" s="3"/>
      <c r="I2" s="3"/>
      <c r="M2" t="s">
        <v>79</v>
      </c>
    </row>
    <row r="3" spans="1:15">
      <c r="A3" s="3" t="s">
        <v>16</v>
      </c>
      <c r="B3" s="4" t="s">
        <v>17</v>
      </c>
      <c r="C3" s="4">
        <v>6.0000000000000001E-3</v>
      </c>
      <c r="D3" s="4">
        <f>C3*Weight!$E$41</f>
        <v>0.4476</v>
      </c>
      <c r="E3" s="4">
        <v>0.50600000000000001</v>
      </c>
      <c r="F3" s="4">
        <v>0.49399999999999999</v>
      </c>
      <c r="G3" s="4">
        <v>0.29699999999999999</v>
      </c>
      <c r="H3" s="4">
        <v>0.58699999999999997</v>
      </c>
      <c r="I3" s="4">
        <v>0.57699999999999996</v>
      </c>
      <c r="J3">
        <f>(E3-0.5)*Height!E2</f>
        <v>4.200000000000004E-4</v>
      </c>
      <c r="K3" t="s">
        <v>61</v>
      </c>
      <c r="L3">
        <f>D3*(G3*Height!E2)^2</f>
        <v>1.9346350715999998E-4</v>
      </c>
      <c r="M3">
        <f>0.2*C3*(2*Circumference!F3^2)</f>
        <v>7.3622403742930053E-6</v>
      </c>
      <c r="N3">
        <f>L3</f>
        <v>1.9346350715999998E-4</v>
      </c>
    </row>
    <row r="4" spans="1:15">
      <c r="A4" s="3" t="s">
        <v>18</v>
      </c>
      <c r="B4" s="4" t="s">
        <v>19</v>
      </c>
      <c r="C4" s="4">
        <v>1.6E-2</v>
      </c>
      <c r="D4" s="4">
        <f>C4*Weight!$E$41</f>
        <v>1.1936</v>
      </c>
      <c r="E4" s="4">
        <v>0.43</v>
      </c>
      <c r="F4" s="4">
        <v>0.56999999999999995</v>
      </c>
      <c r="G4" s="4">
        <v>0.30299999999999999</v>
      </c>
      <c r="H4" s="4">
        <v>0.52600000000000002</v>
      </c>
      <c r="I4" s="4">
        <v>0.64700000000000002</v>
      </c>
      <c r="J4">
        <f>(E4-0.5)*Height!E3</f>
        <v>-1.9040000000000005E-2</v>
      </c>
      <c r="K4" t="s">
        <v>61</v>
      </c>
      <c r="L4">
        <f>D4*(G4*Height!E3)^2</f>
        <v>8.1074051260416006E-3</v>
      </c>
      <c r="M4">
        <f>0.2*C4*(2*Circumference!F4^2)</f>
        <v>4.6574673241134531E-5</v>
      </c>
      <c r="N4">
        <f t="shared" ref="N4:N10" si="0">L4</f>
        <v>8.1074051260416006E-3</v>
      </c>
    </row>
    <row r="5" spans="1:15">
      <c r="A5" s="3" t="s">
        <v>20</v>
      </c>
      <c r="B5" s="4" t="s">
        <v>21</v>
      </c>
      <c r="C5" s="4">
        <v>2.8000000000000001E-2</v>
      </c>
      <c r="D5" s="4">
        <f>C5*Weight!$E$41</f>
        <v>2.0888</v>
      </c>
      <c r="E5" s="4">
        <v>0.436</v>
      </c>
      <c r="F5" s="4">
        <v>0.56399999999999995</v>
      </c>
      <c r="G5" s="4">
        <v>0.32200000000000001</v>
      </c>
      <c r="H5" s="4">
        <v>0.54200000000000004</v>
      </c>
      <c r="I5" s="4">
        <v>0.64500000000000002</v>
      </c>
      <c r="J5">
        <f>(E5-0.5)*Height!E4</f>
        <v>-1.9328000000000001E-2</v>
      </c>
      <c r="K5" t="s">
        <v>61</v>
      </c>
      <c r="L5">
        <f>D5*(G5*Height!E4)^2</f>
        <v>1.9752518995596796E-2</v>
      </c>
      <c r="M5">
        <f>0.2*C5*(2*Circumference!F5^2)</f>
        <v>9.2821876416737019E-5</v>
      </c>
      <c r="N5">
        <f t="shared" si="0"/>
        <v>1.9752518995596796E-2</v>
      </c>
    </row>
    <row r="6" spans="1:15">
      <c r="A6" s="3" t="s">
        <v>22</v>
      </c>
      <c r="B6" s="4" t="s">
        <v>23</v>
      </c>
      <c r="C6" s="4">
        <v>1.4500000000000001E-2</v>
      </c>
      <c r="D6" s="4">
        <f>C6*Weight!$E$41</f>
        <v>1.0816999999999999</v>
      </c>
      <c r="E6" s="4">
        <v>0.5</v>
      </c>
      <c r="F6" s="4">
        <v>0.5</v>
      </c>
      <c r="G6" s="4">
        <v>0.47499999999999998</v>
      </c>
      <c r="H6" s="4">
        <v>0.69</v>
      </c>
      <c r="I6" s="4">
        <v>0.69</v>
      </c>
      <c r="J6">
        <f>(F6-0.5)*Height!E5</f>
        <v>0</v>
      </c>
      <c r="L6">
        <f>D6*(G6*Height!E5)^2</f>
        <v>1.6410497742499991E-3</v>
      </c>
      <c r="M6">
        <f>0.2*C6*(2*Circumference!F6^2)</f>
        <v>2.2735735991123688E-4</v>
      </c>
      <c r="N6">
        <f t="shared" si="0"/>
        <v>1.6410497742499991E-3</v>
      </c>
    </row>
    <row r="7" spans="1:15">
      <c r="A7" s="3" t="s">
        <v>24</v>
      </c>
      <c r="B7" s="4" t="s">
        <v>25</v>
      </c>
      <c r="C7" s="4">
        <v>4.65E-2</v>
      </c>
      <c r="D7" s="4">
        <f>C7*Weight!$E$41</f>
        <v>3.4688999999999997</v>
      </c>
      <c r="E7" s="4">
        <v>0.433</v>
      </c>
      <c r="F7" s="4">
        <v>0.56699999999999995</v>
      </c>
      <c r="G7" s="4">
        <v>0.30199999999999999</v>
      </c>
      <c r="H7" s="4">
        <v>0.52800000000000002</v>
      </c>
      <c r="I7" s="4">
        <v>0.64300000000000002</v>
      </c>
      <c r="J7">
        <f>(F7-0.5)*Height!E6</f>
        <v>2.7402999999999976E-2</v>
      </c>
      <c r="L7">
        <f>D7*(G7*Height!E6)^2</f>
        <v>5.2923953878323583E-2</v>
      </c>
      <c r="M7">
        <f>0.2*C7*(2*Circumference!F7^2)</f>
        <v>2.7644627779598241E-4</v>
      </c>
      <c r="N7">
        <f t="shared" si="0"/>
        <v>5.2923953878323583E-2</v>
      </c>
    </row>
    <row r="8" spans="1:15">
      <c r="A8" s="3" t="s">
        <v>26</v>
      </c>
      <c r="B8" s="4" t="s">
        <v>27</v>
      </c>
      <c r="C8" s="4">
        <v>0.1</v>
      </c>
      <c r="D8" s="4">
        <f>C8*Weight!$E$41</f>
        <v>7.46</v>
      </c>
      <c r="E8" s="4">
        <v>0.433</v>
      </c>
      <c r="F8" s="4">
        <v>0.56699999999999995</v>
      </c>
      <c r="G8" s="4">
        <v>0.32300000000000001</v>
      </c>
      <c r="H8" s="4">
        <v>0.54</v>
      </c>
      <c r="I8" s="4">
        <v>0.65300000000000002</v>
      </c>
      <c r="J8">
        <f>(F8-0.5)*Height!E7</f>
        <v>2.9077999999999979E-2</v>
      </c>
      <c r="L8">
        <f>D8*(G8*Height!E7)^2</f>
        <v>0.14659640870504001</v>
      </c>
      <c r="M8">
        <f>0.2*C8*(2*Circumference!F8^2)</f>
        <v>1.3213944014372587E-3</v>
      </c>
      <c r="N8">
        <f t="shared" si="0"/>
        <v>0.14659640870504001</v>
      </c>
    </row>
    <row r="9" spans="1:15" ht="30">
      <c r="A9" s="3" t="s">
        <v>28</v>
      </c>
      <c r="B9" s="4" t="s">
        <v>29</v>
      </c>
      <c r="C9" s="4">
        <v>8.1000000000000003E-2</v>
      </c>
      <c r="D9" s="4">
        <f>C9*Weight!$E$41</f>
        <v>6.0425999999999993</v>
      </c>
      <c r="E9" s="4">
        <v>1</v>
      </c>
      <c r="F9" s="4">
        <v>0</v>
      </c>
      <c r="G9" s="4">
        <v>0.495</v>
      </c>
      <c r="H9" s="4">
        <v>0.11600000000000001</v>
      </c>
      <c r="I9" s="4" t="s">
        <v>30</v>
      </c>
      <c r="J9">
        <f>(E9-0.5)*Height!E8</f>
        <v>0.16250000000000001</v>
      </c>
      <c r="K9" t="s">
        <v>61</v>
      </c>
      <c r="L9">
        <f>D9*(G9*Height!E8)^2</f>
        <v>0.15638711436562497</v>
      </c>
      <c r="M9">
        <f>0.2*C9*(2*Circumference!F9^2)</f>
        <v>7.344589818817775E-4</v>
      </c>
      <c r="N9">
        <f t="shared" si="0"/>
        <v>0.15638711436562497</v>
      </c>
    </row>
    <row r="10" spans="1:15">
      <c r="A10" s="3" t="s">
        <v>31</v>
      </c>
      <c r="B10" s="4" t="s">
        <v>32</v>
      </c>
      <c r="C10" s="4">
        <v>0.497</v>
      </c>
      <c r="D10" s="4">
        <f>C10*Weight!$E$41</f>
        <v>37.0762</v>
      </c>
      <c r="E10" s="4">
        <v>0.5</v>
      </c>
      <c r="F10" s="4">
        <v>0.5</v>
      </c>
      <c r="G10" s="4" t="s">
        <v>30</v>
      </c>
      <c r="H10" s="4" t="s">
        <v>30</v>
      </c>
      <c r="I10" s="4" t="s">
        <v>30</v>
      </c>
      <c r="J10">
        <f>(E10-0.5)*Height!E9</f>
        <v>0</v>
      </c>
      <c r="L10">
        <f>0.2*D10*(Height!E9^2 +Circumference!F10^2)</f>
        <v>1.6746147763573107</v>
      </c>
      <c r="M10">
        <f>0.2*C10*(2*Circumference!F10^2)</f>
        <v>1.6790289708238898E-2</v>
      </c>
      <c r="N10">
        <f t="shared" si="0"/>
        <v>1.6746147763573107</v>
      </c>
      <c r="O10" t="s">
        <v>81</v>
      </c>
    </row>
    <row r="11" spans="1:15">
      <c r="A11" s="3"/>
      <c r="B11" s="4"/>
      <c r="C11" s="4"/>
      <c r="D11" s="4"/>
      <c r="E11" s="4"/>
      <c r="F11" s="4"/>
      <c r="G11" s="4"/>
      <c r="H11" s="4"/>
      <c r="I11" s="4"/>
    </row>
    <row r="12" spans="1:15">
      <c r="A12" s="3"/>
      <c r="B12" s="4"/>
      <c r="C12" s="4"/>
      <c r="D12" s="4"/>
      <c r="E12" s="4"/>
      <c r="F12" s="4"/>
      <c r="G12" s="4"/>
      <c r="H12" s="4"/>
      <c r="I12" s="4"/>
    </row>
    <row r="13" spans="1:15">
      <c r="A13" s="1" t="s">
        <v>33</v>
      </c>
      <c r="C13">
        <f>C3*2+C4*2+C5*2+C6*2+C7*2+C8*2+C9+C10</f>
        <v>1</v>
      </c>
      <c r="D13">
        <f>D3*2+D4*2+D5*2+D6*2+D7*2+D8*2+D9+D10</f>
        <v>74.599999999999994</v>
      </c>
    </row>
    <row r="16" spans="1:15" ht="16">
      <c r="C16" s="18"/>
      <c r="D16" s="16"/>
    </row>
    <row r="17" spans="2:3" ht="16">
      <c r="B17" s="17"/>
      <c r="C17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D20" sqref="D20"/>
    </sheetView>
  </sheetViews>
  <sheetFormatPr baseColWidth="10" defaultRowHeight="15" x14ac:dyDescent="0"/>
  <cols>
    <col min="1" max="1" width="14.5" customWidth="1"/>
    <col min="2" max="2" width="20.33203125" customWidth="1"/>
    <col min="3" max="3" width="19.33203125" customWidth="1"/>
    <col min="6" max="6" width="14.6640625" customWidth="1"/>
  </cols>
  <sheetData>
    <row r="1" spans="1:6">
      <c r="A1" t="s">
        <v>40</v>
      </c>
      <c r="B1" t="s">
        <v>44</v>
      </c>
      <c r="C1" t="s">
        <v>45</v>
      </c>
      <c r="D1" t="s">
        <v>59</v>
      </c>
      <c r="E1" t="s">
        <v>60</v>
      </c>
      <c r="F1" s="11" t="s">
        <v>41</v>
      </c>
    </row>
    <row r="2" spans="1:6">
      <c r="A2" t="s">
        <v>54</v>
      </c>
      <c r="B2">
        <v>16.3</v>
      </c>
      <c r="C2">
        <f>B2/100</f>
        <v>0.16300000000000001</v>
      </c>
      <c r="D2">
        <f>Table4[[#This Row],[50th Percentile (m)]]/2</f>
        <v>8.1500000000000003E-2</v>
      </c>
      <c r="E2">
        <f>Height!E6+Height!E7+Height!E9</f>
        <v>1.2189999999999999</v>
      </c>
    </row>
    <row r="3" spans="1:6">
      <c r="A3" t="s">
        <v>46</v>
      </c>
      <c r="B3">
        <v>17.100000000000001</v>
      </c>
      <c r="C3">
        <f>Table4[[#This Row],[50th Percentile (cm)]]/100</f>
        <v>0.17100000000000001</v>
      </c>
      <c r="D3">
        <f>Table4[[#This Row],[50th Percentile (m)]]/2</f>
        <v>8.5500000000000007E-2</v>
      </c>
      <c r="E3">
        <f>Height!E6+Height!E7</f>
        <v>0.84299999999999997</v>
      </c>
    </row>
    <row r="24" spans="17:17">
      <c r="Q24">
        <f>PI()/4</f>
        <v>0.78539816339744828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3" sqref="F3:F10"/>
    </sheetView>
  </sheetViews>
  <sheetFormatPr baseColWidth="10" defaultRowHeight="15" x14ac:dyDescent="0"/>
  <sheetData>
    <row r="1" spans="1:6">
      <c r="A1" s="3"/>
      <c r="B1" s="3" t="s">
        <v>9</v>
      </c>
      <c r="C1" s="5" t="s">
        <v>42</v>
      </c>
      <c r="D1" t="s">
        <v>68</v>
      </c>
      <c r="E1" t="s">
        <v>69</v>
      </c>
      <c r="F1" s="14" t="s">
        <v>80</v>
      </c>
    </row>
    <row r="2" spans="1:6">
      <c r="A2" s="3" t="s">
        <v>15</v>
      </c>
      <c r="B2" s="3"/>
      <c r="C2" s="5"/>
    </row>
    <row r="3" spans="1:6">
      <c r="A3" s="3" t="s">
        <v>16</v>
      </c>
      <c r="B3" s="4" t="s">
        <v>76</v>
      </c>
      <c r="C3" s="6" t="s">
        <v>75</v>
      </c>
      <c r="D3">
        <v>17.399999999999999</v>
      </c>
      <c r="E3">
        <f t="shared" ref="E3:E10" si="0">D3/100</f>
        <v>0.17399999999999999</v>
      </c>
      <c r="F3">
        <f>E3/PI()</f>
        <v>5.5385920195979578E-2</v>
      </c>
    </row>
    <row r="4" spans="1:6" ht="45">
      <c r="A4" s="3" t="s">
        <v>18</v>
      </c>
      <c r="B4" s="4" t="s">
        <v>77</v>
      </c>
      <c r="C4" s="6" t="s">
        <v>75</v>
      </c>
      <c r="D4">
        <v>26.8</v>
      </c>
      <c r="E4">
        <f t="shared" si="0"/>
        <v>0.26800000000000002</v>
      </c>
      <c r="F4">
        <f t="shared" ref="F4:F10" si="1">E4/PI()</f>
        <v>8.5307049497255913E-2</v>
      </c>
    </row>
    <row r="5" spans="1:6">
      <c r="A5" s="3" t="s">
        <v>20</v>
      </c>
      <c r="B5" s="4" t="s">
        <v>78</v>
      </c>
      <c r="C5" s="6" t="s">
        <v>75</v>
      </c>
      <c r="D5">
        <v>28.6</v>
      </c>
      <c r="E5">
        <f t="shared" si="0"/>
        <v>0.28600000000000003</v>
      </c>
      <c r="F5">
        <f t="shared" si="1"/>
        <v>9.1036627448564139E-2</v>
      </c>
    </row>
    <row r="6" spans="1:6" ht="30">
      <c r="A6" s="3" t="s">
        <v>22</v>
      </c>
      <c r="B6" s="4" t="s">
        <v>70</v>
      </c>
      <c r="C6" s="6" t="s">
        <v>74</v>
      </c>
      <c r="D6">
        <v>62.2</v>
      </c>
      <c r="E6">
        <f t="shared" si="0"/>
        <v>0.622</v>
      </c>
      <c r="F6">
        <f t="shared" si="1"/>
        <v>0.19798874920631782</v>
      </c>
    </row>
    <row r="7" spans="1:6">
      <c r="A7" s="3" t="s">
        <v>24</v>
      </c>
      <c r="B7" s="4" t="s">
        <v>72</v>
      </c>
      <c r="C7" s="6" t="s">
        <v>74</v>
      </c>
      <c r="D7">
        <v>38.299999999999997</v>
      </c>
      <c r="E7">
        <f t="shared" si="0"/>
        <v>0.38299999999999995</v>
      </c>
      <c r="F7">
        <f t="shared" si="1"/>
        <v>0.12191268640839181</v>
      </c>
    </row>
    <row r="8" spans="1:6" ht="30">
      <c r="A8" s="3" t="s">
        <v>26</v>
      </c>
      <c r="B8" s="4" t="s">
        <v>71</v>
      </c>
      <c r="C8" s="6" t="s">
        <v>74</v>
      </c>
      <c r="D8">
        <v>57.1</v>
      </c>
      <c r="E8">
        <f t="shared" si="0"/>
        <v>0.57100000000000006</v>
      </c>
      <c r="F8">
        <f t="shared" si="1"/>
        <v>0.1817549450109445</v>
      </c>
    </row>
    <row r="9" spans="1:6" ht="30">
      <c r="A9" s="3" t="s">
        <v>28</v>
      </c>
      <c r="B9" s="4" t="s">
        <v>67</v>
      </c>
      <c r="C9" s="6" t="s">
        <v>74</v>
      </c>
      <c r="D9">
        <v>47.3</v>
      </c>
      <c r="E9">
        <f t="shared" si="0"/>
        <v>0.47299999999999998</v>
      </c>
      <c r="F9">
        <f t="shared" si="1"/>
        <v>0.15056057616493299</v>
      </c>
    </row>
    <row r="10" spans="1:6" ht="30">
      <c r="A10" s="3" t="s">
        <v>31</v>
      </c>
      <c r="B10" s="4" t="s">
        <v>73</v>
      </c>
      <c r="C10" s="6" t="s">
        <v>74</v>
      </c>
      <c r="D10">
        <v>91.3</v>
      </c>
      <c r="E10">
        <f t="shared" si="0"/>
        <v>0.91299999999999992</v>
      </c>
      <c r="F10">
        <f t="shared" si="1"/>
        <v>0.29061692608580086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selection activeCell="D5" sqref="D5"/>
    </sheetView>
  </sheetViews>
  <sheetFormatPr baseColWidth="10" defaultRowHeight="15" x14ac:dyDescent="0"/>
  <cols>
    <col min="1" max="1" width="16.33203125" customWidth="1"/>
    <col min="10" max="10" width="48.83203125" customWidth="1"/>
  </cols>
  <sheetData>
    <row r="1" spans="1:13">
      <c r="A1" t="s">
        <v>36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J1" t="s">
        <v>88</v>
      </c>
      <c r="K1" t="s">
        <v>85</v>
      </c>
      <c r="L1" t="s">
        <v>86</v>
      </c>
      <c r="M1" t="s">
        <v>87</v>
      </c>
    </row>
    <row r="2" spans="1:13" ht="18">
      <c r="A2" t="s">
        <v>89</v>
      </c>
      <c r="B2">
        <f>Height!$E$5/2</f>
        <v>4.0999999999999995E-2</v>
      </c>
      <c r="C2">
        <f>-1 * Width!$C$3 / 2</f>
        <v>-8.5500000000000007E-2</v>
      </c>
      <c r="D2">
        <f>K4</f>
        <v>0.02</v>
      </c>
      <c r="E2">
        <f>B2+$K$2</f>
        <v>0.81087700000000007</v>
      </c>
      <c r="F2">
        <f>C2+$L$2</f>
        <v>-0.27330399999999999</v>
      </c>
      <c r="G2">
        <f>D2+$M$2</f>
        <v>0.02</v>
      </c>
      <c r="K2" s="15">
        <v>0.76987700000000003</v>
      </c>
      <c r="L2">
        <v>-0.187804</v>
      </c>
      <c r="M2">
        <v>0</v>
      </c>
    </row>
    <row r="3" spans="1:13">
      <c r="A3" t="s">
        <v>90</v>
      </c>
      <c r="B3">
        <v>0</v>
      </c>
      <c r="C3">
        <v>0</v>
      </c>
      <c r="D3">
        <f>-B2</f>
        <v>-4.0999999999999995E-2</v>
      </c>
      <c r="E3">
        <f t="shared" ref="E3:E20" si="0">B3+$K$2</f>
        <v>0.76987700000000003</v>
      </c>
      <c r="F3">
        <f t="shared" ref="F3:F20" si="1">C3+$L$2</f>
        <v>-0.187804</v>
      </c>
      <c r="G3">
        <f t="shared" ref="G3:G20" si="2">D3+$M$2</f>
        <v>-4.0999999999999995E-2</v>
      </c>
    </row>
    <row r="4" spans="1:13">
      <c r="A4" t="s">
        <v>91</v>
      </c>
      <c r="B4">
        <f>Height!$E$5/2</f>
        <v>4.0999999999999995E-2</v>
      </c>
      <c r="C4">
        <f>1 * Width!$C$3 / 2</f>
        <v>8.5500000000000007E-2</v>
      </c>
      <c r="D4">
        <f>K4</f>
        <v>0.02</v>
      </c>
      <c r="E4">
        <f t="shared" si="0"/>
        <v>0.81087700000000007</v>
      </c>
      <c r="F4">
        <f t="shared" si="1"/>
        <v>-0.10230399999999999</v>
      </c>
      <c r="G4">
        <f t="shared" si="2"/>
        <v>0.02</v>
      </c>
      <c r="J4" t="s">
        <v>165</v>
      </c>
      <c r="K4">
        <v>0.02</v>
      </c>
    </row>
    <row r="5" spans="1:13">
      <c r="A5" t="s">
        <v>92</v>
      </c>
      <c r="B5">
        <v>0</v>
      </c>
      <c r="C5">
        <v>0</v>
      </c>
      <c r="D5">
        <f>-B4</f>
        <v>-4.0999999999999995E-2</v>
      </c>
      <c r="E5">
        <f t="shared" si="0"/>
        <v>0.76987700000000003</v>
      </c>
      <c r="F5">
        <f t="shared" si="1"/>
        <v>-0.187804</v>
      </c>
      <c r="G5">
        <f t="shared" si="2"/>
        <v>-4.0999999999999995E-2</v>
      </c>
    </row>
    <row r="6" spans="1:13">
      <c r="A6" t="s">
        <v>93</v>
      </c>
      <c r="B6">
        <v>0</v>
      </c>
      <c r="C6">
        <f>-1 * Width!$C$3 / 2</f>
        <v>-8.5500000000000007E-2</v>
      </c>
      <c r="D6">
        <f>Height!$F$6</f>
        <v>0.20449999999999999</v>
      </c>
      <c r="E6">
        <f t="shared" si="0"/>
        <v>0.76987700000000003</v>
      </c>
      <c r="F6">
        <f t="shared" si="1"/>
        <v>-0.27330399999999999</v>
      </c>
      <c r="G6">
        <f t="shared" si="2"/>
        <v>0.20449999999999999</v>
      </c>
    </row>
    <row r="7" spans="1:13">
      <c r="A7" t="s">
        <v>94</v>
      </c>
      <c r="B7">
        <v>0</v>
      </c>
      <c r="C7">
        <v>0</v>
      </c>
      <c r="D7">
        <f>Height!$E$6/2</f>
        <v>0.20449999999999999</v>
      </c>
      <c r="E7">
        <f t="shared" si="0"/>
        <v>0.76987700000000003</v>
      </c>
      <c r="F7">
        <f t="shared" si="1"/>
        <v>-0.187804</v>
      </c>
      <c r="G7">
        <f t="shared" si="2"/>
        <v>0.20449999999999999</v>
      </c>
    </row>
    <row r="8" spans="1:13">
      <c r="A8" t="s">
        <v>95</v>
      </c>
      <c r="B8">
        <v>0</v>
      </c>
      <c r="C8">
        <f>1 * Width!$C$3 / 2</f>
        <v>8.5500000000000007E-2</v>
      </c>
      <c r="D8">
        <f>Height!$F$6</f>
        <v>0.20449999999999999</v>
      </c>
      <c r="E8">
        <f t="shared" si="0"/>
        <v>0.76987700000000003</v>
      </c>
      <c r="F8">
        <f t="shared" si="1"/>
        <v>-0.10230399999999999</v>
      </c>
      <c r="G8">
        <f t="shared" si="2"/>
        <v>0.20449999999999999</v>
      </c>
    </row>
    <row r="9" spans="1:13">
      <c r="A9" t="s">
        <v>96</v>
      </c>
      <c r="B9">
        <v>0</v>
      </c>
      <c r="C9">
        <v>0</v>
      </c>
      <c r="D9">
        <f>Height!$E$6/2</f>
        <v>0.20449999999999999</v>
      </c>
      <c r="E9">
        <f t="shared" si="0"/>
        <v>0.76987700000000003</v>
      </c>
      <c r="F9">
        <f t="shared" si="1"/>
        <v>-0.187804</v>
      </c>
      <c r="G9">
        <f t="shared" si="2"/>
        <v>0.20449999999999999</v>
      </c>
    </row>
    <row r="10" spans="1:13">
      <c r="A10" t="s">
        <v>97</v>
      </c>
      <c r="B10">
        <v>0</v>
      </c>
      <c r="C10">
        <f>-1 * Width!$C$3 / 2</f>
        <v>-8.5500000000000007E-2</v>
      </c>
      <c r="D10">
        <f>Height!$F$7</f>
        <v>0.626</v>
      </c>
      <c r="E10">
        <f t="shared" si="0"/>
        <v>0.76987700000000003</v>
      </c>
      <c r="F10">
        <f t="shared" si="1"/>
        <v>-0.27330399999999999</v>
      </c>
      <c r="G10">
        <f t="shared" si="2"/>
        <v>0.626</v>
      </c>
    </row>
    <row r="11" spans="1:13">
      <c r="A11" t="s">
        <v>98</v>
      </c>
      <c r="B11">
        <v>0</v>
      </c>
      <c r="C11">
        <v>0</v>
      </c>
      <c r="D11">
        <f>Height!$E$7/2</f>
        <v>0.217</v>
      </c>
      <c r="E11">
        <f t="shared" si="0"/>
        <v>0.76987700000000003</v>
      </c>
      <c r="F11">
        <f t="shared" si="1"/>
        <v>-0.187804</v>
      </c>
      <c r="G11">
        <f t="shared" si="2"/>
        <v>0.217</v>
      </c>
    </row>
    <row r="12" spans="1:13">
      <c r="A12" t="s">
        <v>99</v>
      </c>
      <c r="B12">
        <v>0</v>
      </c>
      <c r="C12">
        <f>1 * Width!$C$3 / 2</f>
        <v>8.5500000000000007E-2</v>
      </c>
      <c r="D12">
        <f>Height!$F$7</f>
        <v>0.626</v>
      </c>
      <c r="E12">
        <f t="shared" si="0"/>
        <v>0.76987700000000003</v>
      </c>
      <c r="F12">
        <f t="shared" si="1"/>
        <v>-0.10230399999999999</v>
      </c>
      <c r="G12">
        <f t="shared" si="2"/>
        <v>0.626</v>
      </c>
    </row>
    <row r="13" spans="1:13">
      <c r="A13" t="s">
        <v>100</v>
      </c>
      <c r="B13">
        <v>0</v>
      </c>
      <c r="C13">
        <v>0</v>
      </c>
      <c r="D13">
        <f>Height!$E$7/2</f>
        <v>0.217</v>
      </c>
      <c r="E13">
        <f t="shared" si="0"/>
        <v>0.76987700000000003</v>
      </c>
      <c r="F13">
        <f t="shared" si="1"/>
        <v>-0.187804</v>
      </c>
      <c r="G13">
        <f t="shared" si="2"/>
        <v>0.217</v>
      </c>
    </row>
    <row r="14" spans="1:13">
      <c r="A14" t="s">
        <v>101</v>
      </c>
      <c r="B14">
        <v>0</v>
      </c>
      <c r="C14">
        <v>0</v>
      </c>
      <c r="D14">
        <f>Height!$E$6+Height!$E$7</f>
        <v>0.84299999999999997</v>
      </c>
      <c r="E14">
        <f t="shared" si="0"/>
        <v>0.76987700000000003</v>
      </c>
      <c r="F14">
        <f t="shared" si="1"/>
        <v>-0.187804</v>
      </c>
      <c r="G14">
        <f t="shared" si="2"/>
        <v>0.84299999999999997</v>
      </c>
    </row>
    <row r="15" spans="1:13">
      <c r="A15" t="s">
        <v>102</v>
      </c>
      <c r="B15">
        <v>0</v>
      </c>
      <c r="C15">
        <v>0</v>
      </c>
      <c r="D15">
        <v>0</v>
      </c>
      <c r="E15">
        <f t="shared" si="0"/>
        <v>0.76987700000000003</v>
      </c>
      <c r="F15">
        <f t="shared" si="1"/>
        <v>-0.187804</v>
      </c>
      <c r="G15">
        <f t="shared" si="2"/>
        <v>0</v>
      </c>
    </row>
    <row r="16" spans="1:13">
      <c r="A16" t="s">
        <v>103</v>
      </c>
      <c r="B16">
        <v>0</v>
      </c>
      <c r="C16">
        <v>0</v>
      </c>
      <c r="D16">
        <f>Height!$F$9</f>
        <v>1.0309999999999999</v>
      </c>
      <c r="E16">
        <f t="shared" si="0"/>
        <v>0.76987700000000003</v>
      </c>
      <c r="F16">
        <f t="shared" si="1"/>
        <v>-0.187804</v>
      </c>
      <c r="G16">
        <f t="shared" si="2"/>
        <v>1.0309999999999999</v>
      </c>
    </row>
    <row r="17" spans="1:7">
      <c r="A17" t="s">
        <v>104</v>
      </c>
      <c r="B17">
        <v>0</v>
      </c>
      <c r="C17">
        <v>0</v>
      </c>
      <c r="D17">
        <v>0</v>
      </c>
      <c r="E17">
        <f t="shared" si="0"/>
        <v>0.76987700000000003</v>
      </c>
      <c r="F17">
        <f t="shared" si="1"/>
        <v>-0.187804</v>
      </c>
      <c r="G17">
        <f t="shared" si="2"/>
        <v>0</v>
      </c>
    </row>
    <row r="18" spans="1:7">
      <c r="A18" t="s">
        <v>105</v>
      </c>
      <c r="B18">
        <v>0</v>
      </c>
      <c r="C18">
        <v>0</v>
      </c>
      <c r="D18">
        <f>Height!$E$6+Height!$E$7+Height!$E$9</f>
        <v>1.2189999999999999</v>
      </c>
      <c r="E18">
        <f t="shared" si="0"/>
        <v>0.76987700000000003</v>
      </c>
      <c r="F18">
        <f t="shared" si="1"/>
        <v>-0.187804</v>
      </c>
      <c r="G18">
        <f t="shared" si="2"/>
        <v>1.2189999999999999</v>
      </c>
    </row>
    <row r="19" spans="1:7">
      <c r="A19" t="s">
        <v>106</v>
      </c>
      <c r="B19">
        <v>0</v>
      </c>
      <c r="C19">
        <v>0</v>
      </c>
      <c r="D19">
        <f>-Height!$E$8/2</f>
        <v>-0.16250000000000001</v>
      </c>
      <c r="E19">
        <f t="shared" si="0"/>
        <v>0.76987700000000003</v>
      </c>
      <c r="F19">
        <f t="shared" si="1"/>
        <v>-0.187804</v>
      </c>
      <c r="G19">
        <f t="shared" si="2"/>
        <v>-0.16250000000000001</v>
      </c>
    </row>
    <row r="20" spans="1:7">
      <c r="A20" t="s">
        <v>107</v>
      </c>
      <c r="B20">
        <v>0</v>
      </c>
      <c r="C20">
        <v>0</v>
      </c>
      <c r="D20">
        <v>1.3815</v>
      </c>
      <c r="E20">
        <f t="shared" si="0"/>
        <v>0.76987700000000003</v>
      </c>
      <c r="F20">
        <f t="shared" si="1"/>
        <v>-0.187804</v>
      </c>
      <c r="G20">
        <f t="shared" si="2"/>
        <v>1.3815</v>
      </c>
    </row>
    <row r="21" spans="1:7">
      <c r="A21" t="s">
        <v>108</v>
      </c>
      <c r="B21">
        <v>0</v>
      </c>
      <c r="C21">
        <f>-1 * Width!$C$2 / 2</f>
        <v>-8.1500000000000003E-2</v>
      </c>
      <c r="D21">
        <f>Height!$F$4</f>
        <v>1.3699999999999999</v>
      </c>
      <c r="E21">
        <f t="shared" ref="E21:E30" si="3">B21+$K$2</f>
        <v>0.76987700000000003</v>
      </c>
      <c r="F21">
        <f t="shared" ref="F21:F30" si="4">C21+$L$2</f>
        <v>-0.26930399999999999</v>
      </c>
      <c r="G21">
        <f t="shared" ref="G21:G30" si="5">D21+$M$2</f>
        <v>1.3699999999999999</v>
      </c>
    </row>
    <row r="22" spans="1:7">
      <c r="A22" t="s">
        <v>109</v>
      </c>
      <c r="B22">
        <v>0</v>
      </c>
      <c r="C22">
        <v>0</v>
      </c>
      <c r="D22">
        <f>-Height!$E$4/2</f>
        <v>-0.151</v>
      </c>
      <c r="E22">
        <f t="shared" si="3"/>
        <v>0.76987700000000003</v>
      </c>
      <c r="F22">
        <f t="shared" si="4"/>
        <v>-0.187804</v>
      </c>
      <c r="G22">
        <f t="shared" si="5"/>
        <v>-0.151</v>
      </c>
    </row>
    <row r="23" spans="1:7">
      <c r="A23" t="s">
        <v>110</v>
      </c>
      <c r="B23">
        <v>0</v>
      </c>
      <c r="C23">
        <f>1 * Width!$C$2 / 2</f>
        <v>8.1500000000000003E-2</v>
      </c>
      <c r="D23">
        <f>Height!$F$4</f>
        <v>1.3699999999999999</v>
      </c>
      <c r="E23">
        <f t="shared" si="3"/>
        <v>0.76987700000000003</v>
      </c>
      <c r="F23">
        <f t="shared" si="4"/>
        <v>-0.106304</v>
      </c>
      <c r="G23">
        <f t="shared" si="5"/>
        <v>1.3699999999999999</v>
      </c>
    </row>
    <row r="24" spans="1:7">
      <c r="A24" t="s">
        <v>111</v>
      </c>
      <c r="B24">
        <v>0</v>
      </c>
      <c r="C24">
        <v>0</v>
      </c>
      <c r="D24">
        <f>-Height!$E$4/2</f>
        <v>-0.151</v>
      </c>
      <c r="E24">
        <f t="shared" si="3"/>
        <v>0.76987700000000003</v>
      </c>
      <c r="F24">
        <f t="shared" si="4"/>
        <v>-0.187804</v>
      </c>
      <c r="G24">
        <f t="shared" si="5"/>
        <v>-0.151</v>
      </c>
    </row>
    <row r="25" spans="1:7">
      <c r="A25" t="s">
        <v>112</v>
      </c>
      <c r="B25">
        <v>0</v>
      </c>
      <c r="C25">
        <f>-1 * Width!$C$2 / 2</f>
        <v>-8.1500000000000003E-2</v>
      </c>
      <c r="D25">
        <f>Height!$F$3</f>
        <v>1.657</v>
      </c>
      <c r="E25">
        <f t="shared" si="3"/>
        <v>0.76987700000000003</v>
      </c>
      <c r="F25">
        <f t="shared" si="4"/>
        <v>-0.26930399999999999</v>
      </c>
      <c r="G25">
        <f t="shared" si="5"/>
        <v>1.657</v>
      </c>
    </row>
    <row r="26" spans="1:7">
      <c r="A26" t="s">
        <v>113</v>
      </c>
      <c r="B26">
        <v>0</v>
      </c>
      <c r="C26">
        <v>0</v>
      </c>
      <c r="D26">
        <f>-Height!$E$3/2</f>
        <v>-0.13600000000000001</v>
      </c>
      <c r="E26">
        <f t="shared" si="3"/>
        <v>0.76987700000000003</v>
      </c>
      <c r="F26">
        <f t="shared" si="4"/>
        <v>-0.187804</v>
      </c>
      <c r="G26">
        <f t="shared" si="5"/>
        <v>-0.13600000000000001</v>
      </c>
    </row>
    <row r="27" spans="1:7">
      <c r="A27" t="s">
        <v>114</v>
      </c>
      <c r="B27">
        <v>0</v>
      </c>
      <c r="C27">
        <f>1 * Width!$C$2 / 2</f>
        <v>8.1500000000000003E-2</v>
      </c>
      <c r="D27">
        <f>Height!$F$3</f>
        <v>1.657</v>
      </c>
      <c r="E27">
        <f t="shared" si="3"/>
        <v>0.76987700000000003</v>
      </c>
      <c r="F27">
        <f t="shared" si="4"/>
        <v>-0.106304</v>
      </c>
      <c r="G27">
        <f t="shared" si="5"/>
        <v>1.657</v>
      </c>
    </row>
    <row r="28" spans="1:7">
      <c r="A28" t="s">
        <v>115</v>
      </c>
      <c r="B28">
        <v>0</v>
      </c>
      <c r="C28">
        <v>0</v>
      </c>
      <c r="D28">
        <f>-Height!$E$3/2</f>
        <v>-0.13600000000000001</v>
      </c>
      <c r="E28">
        <f t="shared" si="3"/>
        <v>0.76987700000000003</v>
      </c>
      <c r="F28">
        <f t="shared" si="4"/>
        <v>-0.187804</v>
      </c>
      <c r="G28">
        <f t="shared" si="5"/>
        <v>-0.13600000000000001</v>
      </c>
    </row>
    <row r="29" spans="1:7">
      <c r="A29" t="s">
        <v>116</v>
      </c>
      <c r="B29">
        <v>0</v>
      </c>
      <c r="C29">
        <f>-1 * Width!$C$2 / 2</f>
        <v>-8.1500000000000003E-2</v>
      </c>
      <c r="D29">
        <f>Height!$F$2</f>
        <v>1.8279999999999998</v>
      </c>
      <c r="E29">
        <f t="shared" si="3"/>
        <v>0.76987700000000003</v>
      </c>
      <c r="F29">
        <f t="shared" si="4"/>
        <v>-0.26930399999999999</v>
      </c>
      <c r="G29">
        <f t="shared" si="5"/>
        <v>1.8279999999999998</v>
      </c>
    </row>
    <row r="30" spans="1:7">
      <c r="A30" t="s">
        <v>117</v>
      </c>
      <c r="B30">
        <v>0</v>
      </c>
      <c r="C30">
        <v>0</v>
      </c>
      <c r="D30">
        <f>-Height!$E$2/2</f>
        <v>-3.5000000000000003E-2</v>
      </c>
      <c r="E30">
        <f t="shared" si="3"/>
        <v>0.76987700000000003</v>
      </c>
      <c r="F30">
        <f t="shared" si="4"/>
        <v>-0.187804</v>
      </c>
      <c r="G30">
        <f t="shared" si="5"/>
        <v>-3.5000000000000003E-2</v>
      </c>
    </row>
    <row r="31" spans="1:7">
      <c r="A31" t="s">
        <v>118</v>
      </c>
      <c r="B31">
        <v>0</v>
      </c>
      <c r="C31">
        <f>1 * Width!$C$2 / 2</f>
        <v>8.1500000000000003E-2</v>
      </c>
      <c r="D31">
        <f>Height!$F$2</f>
        <v>1.8279999999999998</v>
      </c>
      <c r="E31">
        <f t="shared" ref="E31:E32" si="6">B31+$K$2</f>
        <v>0.76987700000000003</v>
      </c>
      <c r="F31">
        <f t="shared" ref="F31" si="7">C31+$L$2</f>
        <v>-0.106304</v>
      </c>
      <c r="G31">
        <f t="shared" ref="G31" si="8">D31+$M$2</f>
        <v>1.8279999999999998</v>
      </c>
    </row>
    <row r="32" spans="1:7">
      <c r="A32" t="s">
        <v>119</v>
      </c>
      <c r="B32">
        <v>0</v>
      </c>
      <c r="C32">
        <v>0</v>
      </c>
      <c r="D32">
        <f>-Height!$E$2/2</f>
        <v>-3.5000000000000003E-2</v>
      </c>
      <c r="E32">
        <f t="shared" si="6"/>
        <v>0.76987700000000003</v>
      </c>
      <c r="F32">
        <f t="shared" ref="F32" si="9">C32+$L$2</f>
        <v>-0.187804</v>
      </c>
      <c r="G32">
        <f t="shared" ref="G32" si="10">D32+$M$2</f>
        <v>-3.5000000000000003E-2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F20" sqref="F20"/>
    </sheetView>
  </sheetViews>
  <sheetFormatPr baseColWidth="10" defaultRowHeight="15" x14ac:dyDescent="0"/>
  <sheetData>
    <row r="1" spans="1:12">
      <c r="A1" t="s">
        <v>36</v>
      </c>
      <c r="C1" t="s">
        <v>123</v>
      </c>
      <c r="D1" t="s">
        <v>124</v>
      </c>
      <c r="E1" t="s">
        <v>164</v>
      </c>
      <c r="F1" t="s">
        <v>125</v>
      </c>
      <c r="G1" t="s">
        <v>126</v>
      </c>
      <c r="H1" t="s">
        <v>162</v>
      </c>
      <c r="I1" t="s">
        <v>42</v>
      </c>
      <c r="J1" t="s">
        <v>155</v>
      </c>
      <c r="K1" t="s">
        <v>42</v>
      </c>
      <c r="L1" t="s">
        <v>161</v>
      </c>
    </row>
    <row r="2" spans="1:12">
      <c r="A2" t="s">
        <v>90</v>
      </c>
      <c r="B2" t="s">
        <v>120</v>
      </c>
      <c r="C2">
        <v>-39</v>
      </c>
      <c r="D2" t="s">
        <v>157</v>
      </c>
      <c r="E2" t="s">
        <v>157</v>
      </c>
      <c r="F2">
        <f>RADIANS(C2)</f>
        <v>-0.68067840827778847</v>
      </c>
      <c r="G2" t="s">
        <v>157</v>
      </c>
      <c r="H2" t="s">
        <v>157</v>
      </c>
      <c r="I2" t="s">
        <v>122</v>
      </c>
      <c r="J2" t="s">
        <v>159</v>
      </c>
    </row>
    <row r="3" spans="1:12">
      <c r="B3" t="s">
        <v>121</v>
      </c>
      <c r="C3">
        <v>41.6</v>
      </c>
      <c r="D3" t="s">
        <v>157</v>
      </c>
      <c r="E3" t="s">
        <v>157</v>
      </c>
      <c r="F3">
        <f t="shared" ref="F3:F31" si="0">RADIANS(C3)</f>
        <v>0.7260569688296411</v>
      </c>
      <c r="G3" t="s">
        <v>157</v>
      </c>
      <c r="H3" t="s">
        <v>157</v>
      </c>
      <c r="I3" t="s">
        <v>127</v>
      </c>
    </row>
    <row r="4" spans="1:12">
      <c r="A4" t="s">
        <v>92</v>
      </c>
      <c r="B4" t="s">
        <v>120</v>
      </c>
      <c r="C4">
        <v>-39</v>
      </c>
      <c r="D4" t="s">
        <v>157</v>
      </c>
      <c r="E4" t="s">
        <v>157</v>
      </c>
      <c r="F4">
        <f t="shared" si="0"/>
        <v>-0.68067840827778847</v>
      </c>
      <c r="G4" t="s">
        <v>157</v>
      </c>
      <c r="H4" t="s">
        <v>157</v>
      </c>
      <c r="I4" t="s">
        <v>48</v>
      </c>
    </row>
    <row r="5" spans="1:12">
      <c r="B5" t="s">
        <v>121</v>
      </c>
      <c r="C5">
        <v>41.6</v>
      </c>
      <c r="D5" t="s">
        <v>157</v>
      </c>
      <c r="E5" t="s">
        <v>157</v>
      </c>
      <c r="F5">
        <f t="shared" si="0"/>
        <v>0.7260569688296411</v>
      </c>
      <c r="G5" t="s">
        <v>157</v>
      </c>
      <c r="H5" t="s">
        <v>157</v>
      </c>
      <c r="I5" t="s">
        <v>128</v>
      </c>
    </row>
    <row r="6" spans="1:12">
      <c r="A6" t="s">
        <v>94</v>
      </c>
      <c r="B6" t="s">
        <v>120</v>
      </c>
      <c r="C6">
        <v>0</v>
      </c>
      <c r="D6" t="s">
        <v>157</v>
      </c>
      <c r="E6" t="s">
        <v>157</v>
      </c>
      <c r="F6">
        <f t="shared" si="0"/>
        <v>0</v>
      </c>
      <c r="G6" t="s">
        <v>157</v>
      </c>
      <c r="H6" t="s">
        <v>157</v>
      </c>
      <c r="I6" t="s">
        <v>129</v>
      </c>
      <c r="J6" t="s">
        <v>158</v>
      </c>
    </row>
    <row r="7" spans="1:12">
      <c r="B7" t="s">
        <v>121</v>
      </c>
      <c r="C7">
        <v>123.8</v>
      </c>
      <c r="D7" t="s">
        <v>157</v>
      </c>
      <c r="E7" t="s">
        <v>157</v>
      </c>
      <c r="F7">
        <f t="shared" si="0"/>
        <v>2.1607176139689801</v>
      </c>
      <c r="G7" t="s">
        <v>157</v>
      </c>
      <c r="H7" t="s">
        <v>157</v>
      </c>
      <c r="I7" t="s">
        <v>130</v>
      </c>
    </row>
    <row r="8" spans="1:12">
      <c r="A8" t="s">
        <v>96</v>
      </c>
      <c r="B8" t="s">
        <v>120</v>
      </c>
      <c r="C8">
        <v>0</v>
      </c>
      <c r="D8" t="s">
        <v>157</v>
      </c>
      <c r="E8" t="s">
        <v>157</v>
      </c>
      <c r="F8">
        <f t="shared" si="0"/>
        <v>0</v>
      </c>
      <c r="G8" t="s">
        <v>157</v>
      </c>
      <c r="H8" t="s">
        <v>157</v>
      </c>
      <c r="I8" t="s">
        <v>131</v>
      </c>
    </row>
    <row r="9" spans="1:12">
      <c r="B9" t="s">
        <v>121</v>
      </c>
      <c r="C9">
        <v>123.8</v>
      </c>
      <c r="D9" t="s">
        <v>157</v>
      </c>
      <c r="E9" t="s">
        <v>157</v>
      </c>
      <c r="F9">
        <f t="shared" si="0"/>
        <v>2.1607176139689801</v>
      </c>
      <c r="G9" t="s">
        <v>157</v>
      </c>
      <c r="H9" t="s">
        <v>157</v>
      </c>
      <c r="I9" t="s">
        <v>132</v>
      </c>
    </row>
    <row r="10" spans="1:12">
      <c r="A10" t="s">
        <v>98</v>
      </c>
      <c r="B10" t="s">
        <v>120</v>
      </c>
      <c r="C10">
        <v>-117.1</v>
      </c>
      <c r="D10">
        <v>-27.7</v>
      </c>
      <c r="E10">
        <v>-34.700000000000003</v>
      </c>
      <c r="F10">
        <f t="shared" si="0"/>
        <v>-2.0437805540853597</v>
      </c>
      <c r="G10">
        <f>RADIANS(D10)</f>
        <v>-0.48345620280242929</v>
      </c>
      <c r="H10">
        <f>RADIANS(E10)</f>
        <v>-0.60562925044203242</v>
      </c>
      <c r="I10" t="s">
        <v>133</v>
      </c>
      <c r="J10" t="s">
        <v>160</v>
      </c>
    </row>
    <row r="11" spans="1:12">
      <c r="B11" t="s">
        <v>121</v>
      </c>
      <c r="C11">
        <v>0</v>
      </c>
      <c r="D11">
        <v>58</v>
      </c>
      <c r="E11">
        <v>38.700000000000003</v>
      </c>
      <c r="F11">
        <f t="shared" si="0"/>
        <v>0</v>
      </c>
      <c r="G11">
        <f t="shared" ref="G11:G23" si="1">RADIANS(D11)</f>
        <v>1.0122909661567112</v>
      </c>
      <c r="H11">
        <f>RADIANS(E11)</f>
        <v>0.67544242052180559</v>
      </c>
      <c r="I11" t="s">
        <v>134</v>
      </c>
    </row>
    <row r="12" spans="1:12">
      <c r="A12" t="s">
        <v>100</v>
      </c>
      <c r="B12" t="s">
        <v>120</v>
      </c>
      <c r="C12">
        <v>-117.1</v>
      </c>
      <c r="D12">
        <v>-27.7</v>
      </c>
      <c r="E12">
        <v>-34.700000000000003</v>
      </c>
      <c r="F12">
        <f t="shared" si="0"/>
        <v>-2.0437805540853597</v>
      </c>
      <c r="G12">
        <f t="shared" si="1"/>
        <v>-0.48345620280242929</v>
      </c>
      <c r="H12">
        <f>RADIANS(E12)</f>
        <v>-0.60562925044203242</v>
      </c>
      <c r="I12" t="s">
        <v>135</v>
      </c>
      <c r="J12" t="s">
        <v>163</v>
      </c>
    </row>
    <row r="13" spans="1:12">
      <c r="B13" t="s">
        <v>121</v>
      </c>
      <c r="C13">
        <v>0</v>
      </c>
      <c r="D13">
        <v>58</v>
      </c>
      <c r="E13">
        <v>38.700000000000003</v>
      </c>
      <c r="F13">
        <f t="shared" si="0"/>
        <v>0</v>
      </c>
      <c r="G13">
        <f t="shared" si="1"/>
        <v>1.0122909661567112</v>
      </c>
      <c r="H13">
        <f>RADIANS(E13)</f>
        <v>0.67544242052180559</v>
      </c>
      <c r="I13" t="s">
        <v>136</v>
      </c>
    </row>
    <row r="14" spans="1:12">
      <c r="A14" t="s">
        <v>102</v>
      </c>
      <c r="B14" t="s">
        <v>120</v>
      </c>
      <c r="C14">
        <v>0</v>
      </c>
      <c r="D14">
        <v>0</v>
      </c>
      <c r="E14">
        <v>0</v>
      </c>
      <c r="F14">
        <f t="shared" si="0"/>
        <v>0</v>
      </c>
      <c r="G14">
        <f t="shared" si="1"/>
        <v>0</v>
      </c>
      <c r="H14" t="s">
        <v>157</v>
      </c>
      <c r="I14" t="s">
        <v>137</v>
      </c>
    </row>
    <row r="15" spans="1:12">
      <c r="B15" t="s">
        <v>121</v>
      </c>
      <c r="C15">
        <v>0</v>
      </c>
      <c r="D15">
        <v>0</v>
      </c>
      <c r="E15">
        <v>0</v>
      </c>
      <c r="F15">
        <f t="shared" si="0"/>
        <v>0</v>
      </c>
      <c r="G15">
        <f t="shared" si="1"/>
        <v>0</v>
      </c>
      <c r="H15" t="s">
        <v>157</v>
      </c>
      <c r="I15" t="s">
        <v>138</v>
      </c>
    </row>
    <row r="16" spans="1:12">
      <c r="A16" t="s">
        <v>104</v>
      </c>
      <c r="B16" t="s">
        <v>120</v>
      </c>
      <c r="C16">
        <v>0</v>
      </c>
      <c r="D16">
        <v>0</v>
      </c>
      <c r="E16">
        <v>0</v>
      </c>
      <c r="F16">
        <f t="shared" si="0"/>
        <v>0</v>
      </c>
      <c r="G16">
        <f t="shared" si="1"/>
        <v>0</v>
      </c>
      <c r="H16" t="s">
        <v>157</v>
      </c>
      <c r="I16" t="s">
        <v>139</v>
      </c>
    </row>
    <row r="17" spans="1:10">
      <c r="B17" t="s">
        <v>121</v>
      </c>
      <c r="C17">
        <v>0</v>
      </c>
      <c r="D17">
        <v>0</v>
      </c>
      <c r="E17">
        <v>0</v>
      </c>
      <c r="F17">
        <f t="shared" si="0"/>
        <v>0</v>
      </c>
      <c r="G17">
        <f t="shared" si="1"/>
        <v>0</v>
      </c>
      <c r="H17" t="s">
        <v>157</v>
      </c>
      <c r="I17" t="s">
        <v>140</v>
      </c>
    </row>
    <row r="18" spans="1:10">
      <c r="A18" t="s">
        <v>106</v>
      </c>
      <c r="B18" t="s">
        <v>120</v>
      </c>
      <c r="C18">
        <v>0</v>
      </c>
      <c r="D18">
        <v>0</v>
      </c>
      <c r="E18">
        <v>0</v>
      </c>
      <c r="F18">
        <f t="shared" si="0"/>
        <v>0</v>
      </c>
      <c r="G18">
        <f t="shared" si="1"/>
        <v>0</v>
      </c>
      <c r="H18" t="s">
        <v>157</v>
      </c>
      <c r="I18" t="s">
        <v>141</v>
      </c>
      <c r="J18" t="s">
        <v>156</v>
      </c>
    </row>
    <row r="19" spans="1:10">
      <c r="B19" t="s">
        <v>121</v>
      </c>
      <c r="C19">
        <v>0</v>
      </c>
      <c r="D19">
        <v>0</v>
      </c>
      <c r="E19">
        <v>0</v>
      </c>
      <c r="F19">
        <f>RADIANS(C19)</f>
        <v>0</v>
      </c>
      <c r="G19">
        <f t="shared" si="1"/>
        <v>0</v>
      </c>
      <c r="H19" t="s">
        <v>157</v>
      </c>
      <c r="I19" t="s">
        <v>142</v>
      </c>
    </row>
    <row r="20" spans="1:10">
      <c r="A20" t="s">
        <v>109</v>
      </c>
      <c r="B20" t="s">
        <v>120</v>
      </c>
      <c r="C20">
        <v>-63</v>
      </c>
      <c r="D20">
        <v>-132.1</v>
      </c>
      <c r="E20">
        <v>-95.7</v>
      </c>
      <c r="F20">
        <f t="shared" si="0"/>
        <v>-1.0995574287564276</v>
      </c>
      <c r="G20">
        <f t="shared" si="1"/>
        <v>-2.3055799418845093</v>
      </c>
      <c r="H20">
        <f>RADIANS(E20)</f>
        <v>-1.6702800941585734</v>
      </c>
      <c r="I20" t="s">
        <v>143</v>
      </c>
    </row>
    <row r="21" spans="1:10">
      <c r="B21" t="s">
        <v>121</v>
      </c>
      <c r="C21">
        <v>193.2</v>
      </c>
      <c r="D21">
        <v>50.8</v>
      </c>
      <c r="E21">
        <v>30.7</v>
      </c>
      <c r="F21">
        <f>RADIANS(C21)</f>
        <v>3.3719761148530445</v>
      </c>
      <c r="G21">
        <f t="shared" si="1"/>
        <v>0.88662726001311931</v>
      </c>
      <c r="H21">
        <f>RADIANS(E21)</f>
        <v>0.53581608036225914</v>
      </c>
      <c r="I21" t="s">
        <v>144</v>
      </c>
    </row>
    <row r="22" spans="1:10">
      <c r="A22" t="s">
        <v>111</v>
      </c>
      <c r="B22" t="s">
        <v>120</v>
      </c>
      <c r="C22">
        <v>-63</v>
      </c>
      <c r="D22">
        <v>-132.1</v>
      </c>
      <c r="E22">
        <v>-95.7</v>
      </c>
      <c r="F22">
        <f t="shared" si="0"/>
        <v>-1.0995574287564276</v>
      </c>
      <c r="G22">
        <f t="shared" si="1"/>
        <v>-2.3055799418845093</v>
      </c>
      <c r="H22">
        <f>RADIANS(E22)</f>
        <v>-1.6702800941585734</v>
      </c>
      <c r="I22" t="s">
        <v>145</v>
      </c>
    </row>
    <row r="23" spans="1:10">
      <c r="B23" t="s">
        <v>121</v>
      </c>
      <c r="C23">
        <v>193.2</v>
      </c>
      <c r="D23">
        <v>50.8</v>
      </c>
      <c r="E23">
        <v>30.7</v>
      </c>
      <c r="F23">
        <f t="shared" si="0"/>
        <v>3.3719761148530445</v>
      </c>
      <c r="G23">
        <f t="shared" si="1"/>
        <v>0.88662726001311931</v>
      </c>
      <c r="H23">
        <f>RADIANS(E23)</f>
        <v>0.53581608036225914</v>
      </c>
      <c r="I23" t="s">
        <v>146</v>
      </c>
    </row>
    <row r="24" spans="1:10">
      <c r="A24" t="s">
        <v>113</v>
      </c>
      <c r="B24" t="s">
        <v>120</v>
      </c>
      <c r="C24">
        <v>0</v>
      </c>
      <c r="D24" t="s">
        <v>157</v>
      </c>
      <c r="E24" t="s">
        <v>157</v>
      </c>
      <c r="F24">
        <f t="shared" si="0"/>
        <v>0</v>
      </c>
      <c r="G24" t="s">
        <v>157</v>
      </c>
      <c r="H24" t="s">
        <v>157</v>
      </c>
      <c r="I24" t="s">
        <v>147</v>
      </c>
    </row>
    <row r="25" spans="1:10">
      <c r="B25" t="s">
        <v>121</v>
      </c>
      <c r="C25">
        <v>141</v>
      </c>
      <c r="D25" t="s">
        <v>157</v>
      </c>
      <c r="E25" t="s">
        <v>157</v>
      </c>
      <c r="F25">
        <f t="shared" si="0"/>
        <v>2.4609142453120048</v>
      </c>
      <c r="G25" t="s">
        <v>157</v>
      </c>
      <c r="H25" t="s">
        <v>157</v>
      </c>
      <c r="I25" t="s">
        <v>148</v>
      </c>
    </row>
    <row r="26" spans="1:10">
      <c r="A26" t="s">
        <v>115</v>
      </c>
      <c r="B26" t="s">
        <v>120</v>
      </c>
      <c r="C26">
        <v>0</v>
      </c>
      <c r="D26" t="s">
        <v>157</v>
      </c>
      <c r="E26" t="s">
        <v>157</v>
      </c>
      <c r="F26">
        <f t="shared" si="0"/>
        <v>0</v>
      </c>
      <c r="G26" t="s">
        <v>157</v>
      </c>
      <c r="H26" t="s">
        <v>157</v>
      </c>
      <c r="I26" t="s">
        <v>149</v>
      </c>
    </row>
    <row r="27" spans="1:10">
      <c r="B27" t="s">
        <v>121</v>
      </c>
      <c r="C27">
        <v>141</v>
      </c>
      <c r="D27" t="s">
        <v>157</v>
      </c>
      <c r="E27" t="s">
        <v>157</v>
      </c>
      <c r="F27">
        <f t="shared" si="0"/>
        <v>2.4609142453120048</v>
      </c>
      <c r="G27" t="s">
        <v>157</v>
      </c>
      <c r="H27" t="s">
        <v>157</v>
      </c>
      <c r="I27" t="s">
        <v>150</v>
      </c>
    </row>
    <row r="28" spans="1:10">
      <c r="A28" t="s">
        <v>117</v>
      </c>
      <c r="B28" t="s">
        <v>120</v>
      </c>
      <c r="C28">
        <v>-94.6</v>
      </c>
      <c r="D28">
        <v>-25.1</v>
      </c>
      <c r="E28" t="s">
        <v>157</v>
      </c>
      <c r="F28">
        <f t="shared" si="0"/>
        <v>-1.6510814723866356</v>
      </c>
      <c r="G28">
        <f>RADIANS(D28)</f>
        <v>-0.43807764225057672</v>
      </c>
      <c r="H28" t="s">
        <v>157</v>
      </c>
      <c r="I28" t="s">
        <v>151</v>
      </c>
    </row>
    <row r="29" spans="1:10">
      <c r="B29" t="s">
        <v>121</v>
      </c>
      <c r="C29">
        <v>102</v>
      </c>
      <c r="D29">
        <v>46.3</v>
      </c>
      <c r="E29" t="s">
        <v>157</v>
      </c>
      <c r="F29">
        <f t="shared" si="0"/>
        <v>1.7802358370342162</v>
      </c>
      <c r="G29">
        <f>RADIANS(D29)</f>
        <v>0.80808744367337448</v>
      </c>
      <c r="H29" t="s">
        <v>157</v>
      </c>
      <c r="I29" t="s">
        <v>152</v>
      </c>
    </row>
    <row r="30" spans="1:10">
      <c r="A30" t="s">
        <v>119</v>
      </c>
      <c r="B30" t="s">
        <v>120</v>
      </c>
      <c r="C30">
        <v>-94.6</v>
      </c>
      <c r="D30">
        <v>-25.1</v>
      </c>
      <c r="E30" t="s">
        <v>157</v>
      </c>
      <c r="F30">
        <f t="shared" si="0"/>
        <v>-1.6510814723866356</v>
      </c>
      <c r="G30">
        <f>RADIANS(D30)</f>
        <v>-0.43807764225057672</v>
      </c>
      <c r="H30" t="s">
        <v>157</v>
      </c>
      <c r="I30" t="s">
        <v>153</v>
      </c>
    </row>
    <row r="31" spans="1:10">
      <c r="B31" t="s">
        <v>121</v>
      </c>
      <c r="C31">
        <v>102</v>
      </c>
      <c r="D31">
        <v>46.3</v>
      </c>
      <c r="E31" t="s">
        <v>157</v>
      </c>
      <c r="F31">
        <f t="shared" si="0"/>
        <v>1.7802358370342162</v>
      </c>
      <c r="G31">
        <f>RADIANS(D31)</f>
        <v>0.80808744367337448</v>
      </c>
      <c r="H31" t="s">
        <v>157</v>
      </c>
      <c r="I31" t="s">
        <v>154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Weight</vt:lpstr>
      <vt:lpstr>Height</vt:lpstr>
      <vt:lpstr>Mass</vt:lpstr>
      <vt:lpstr>Width</vt:lpstr>
      <vt:lpstr>Circumference</vt:lpstr>
      <vt:lpstr>Poses</vt:lpstr>
      <vt:lpstr>Joint Limits</vt:lpstr>
    </vt:vector>
  </TitlesOfParts>
  <Company>Booz Allen Hamilton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Lurz</dc:creator>
  <cp:lastModifiedBy>Joshua Lurz</cp:lastModifiedBy>
  <dcterms:created xsi:type="dcterms:W3CDTF">2014-12-07T15:03:04Z</dcterms:created>
  <dcterms:modified xsi:type="dcterms:W3CDTF">2015-02-07T14:57:55Z</dcterms:modified>
</cp:coreProperties>
</file>