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YY-PC\Desktop\Programming Assignment 1\"/>
    </mc:Choice>
  </mc:AlternateContent>
  <xr:revisionPtr revIDLastSave="0" documentId="13_ncr:1_{A6A28E73-78CC-4E87-AD2C-0789CB7D0407}" xr6:coauthVersionLast="45" xr6:coauthVersionMax="45" xr10:uidLastSave="{00000000-0000-0000-0000-000000000000}"/>
  <bookViews>
    <workbookView xWindow="-3500" yWindow="6610" windowWidth="7050" windowHeight="15460" activeTab="2" xr2:uid="{00000000-000D-0000-FFFF-FFFF00000000}"/>
  </bookViews>
  <sheets>
    <sheet name="401.bzip2" sheetId="3" r:id="rId1"/>
    <sheet name="429.mcf" sheetId="6" r:id="rId2"/>
    <sheet name="456.hmmer" sheetId="7" r:id="rId3"/>
    <sheet name="458.sjeng" sheetId="8" r:id="rId4"/>
    <sheet name="470.lbm" sheetId="9" r:id="rId5"/>
    <sheet name="Chart401" sheetId="10" r:id="rId6"/>
    <sheet name="Chart429" sheetId="11" r:id="rId7"/>
    <sheet name="Chart456" sheetId="12" r:id="rId8"/>
    <sheet name="Chart458" sheetId="13" r:id="rId9"/>
    <sheet name="Chart470" sheetId="1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1" i="7" l="1"/>
  <c r="T98" i="7"/>
  <c r="T97" i="7"/>
  <c r="T96" i="7"/>
  <c r="D136" i="7"/>
  <c r="C136" i="7"/>
  <c r="B136" i="7"/>
  <c r="D135" i="7"/>
  <c r="C135" i="7"/>
  <c r="B135" i="7"/>
  <c r="D134" i="7"/>
  <c r="C134" i="7"/>
  <c r="B134" i="7"/>
  <c r="D133" i="7"/>
  <c r="C133" i="7"/>
  <c r="B133" i="7"/>
  <c r="D132" i="7"/>
  <c r="C132" i="7"/>
  <c r="B132" i="7"/>
  <c r="D131" i="7"/>
  <c r="C131" i="7"/>
  <c r="B131" i="7"/>
  <c r="D130" i="7"/>
  <c r="C130" i="7"/>
  <c r="B130" i="7"/>
  <c r="D129" i="7"/>
  <c r="C129" i="7"/>
  <c r="B129" i="7"/>
  <c r="D128" i="7"/>
  <c r="C128" i="7"/>
  <c r="B128" i="7"/>
  <c r="D127" i="7"/>
  <c r="C127" i="7"/>
  <c r="B127" i="7"/>
  <c r="D126" i="7"/>
  <c r="C126" i="7"/>
  <c r="B126" i="7"/>
  <c r="D125" i="7"/>
  <c r="C125" i="7"/>
  <c r="B125" i="7"/>
  <c r="B79" i="7" s="1"/>
  <c r="D153" i="7"/>
  <c r="C153" i="7"/>
  <c r="B153" i="7"/>
  <c r="D152" i="7"/>
  <c r="C152" i="7"/>
  <c r="B152" i="7"/>
  <c r="D151" i="7"/>
  <c r="C151" i="7"/>
  <c r="B151" i="7"/>
  <c r="D150" i="7"/>
  <c r="C150" i="7"/>
  <c r="B150" i="7"/>
  <c r="D149" i="7"/>
  <c r="C149" i="7"/>
  <c r="B149" i="7"/>
  <c r="D148" i="7"/>
  <c r="C148" i="7"/>
  <c r="B148" i="7"/>
  <c r="D147" i="7"/>
  <c r="C147" i="7"/>
  <c r="B147" i="7"/>
  <c r="D146" i="7"/>
  <c r="C146" i="7"/>
  <c r="B146" i="7"/>
  <c r="D145" i="7"/>
  <c r="C145" i="7"/>
  <c r="B145" i="7"/>
  <c r="D144" i="7"/>
  <c r="C144" i="7"/>
  <c r="B144" i="7"/>
  <c r="D143" i="7"/>
  <c r="C143" i="7"/>
  <c r="B143" i="7"/>
  <c r="D142" i="7"/>
  <c r="C142" i="7"/>
  <c r="B142" i="7"/>
  <c r="B77" i="8"/>
  <c r="P153" i="7"/>
  <c r="O153" i="7"/>
  <c r="N153" i="7"/>
  <c r="P152" i="7"/>
  <c r="O152" i="7"/>
  <c r="N152" i="7"/>
  <c r="P151" i="7"/>
  <c r="O151" i="7"/>
  <c r="N151" i="7"/>
  <c r="P150" i="7"/>
  <c r="O150" i="7"/>
  <c r="N150" i="7"/>
  <c r="P149" i="7"/>
  <c r="O149" i="7"/>
  <c r="N149" i="7"/>
  <c r="P148" i="7"/>
  <c r="O148" i="7"/>
  <c r="N148" i="7"/>
  <c r="P147" i="7"/>
  <c r="O147" i="7"/>
  <c r="N147" i="7"/>
  <c r="P146" i="7"/>
  <c r="O146" i="7"/>
  <c r="N146" i="7"/>
  <c r="P145" i="7"/>
  <c r="O145" i="7"/>
  <c r="N145" i="7"/>
  <c r="P144" i="7"/>
  <c r="O144" i="7"/>
  <c r="N144" i="7"/>
  <c r="P143" i="7"/>
  <c r="O143" i="7"/>
  <c r="N143" i="7"/>
  <c r="P142" i="7"/>
  <c r="O142" i="7"/>
  <c r="N142" i="7"/>
  <c r="P136" i="7"/>
  <c r="O136" i="7"/>
  <c r="N136" i="7"/>
  <c r="P135" i="7"/>
  <c r="O135" i="7"/>
  <c r="N135" i="7"/>
  <c r="P134" i="7"/>
  <c r="O134" i="7"/>
  <c r="N134" i="7"/>
  <c r="P133" i="7"/>
  <c r="O133" i="7"/>
  <c r="N133" i="7"/>
  <c r="P132" i="7"/>
  <c r="O132" i="7"/>
  <c r="N132" i="7"/>
  <c r="P131" i="7"/>
  <c r="O131" i="7"/>
  <c r="N131" i="7"/>
  <c r="P130" i="7"/>
  <c r="O130" i="7"/>
  <c r="N130" i="7"/>
  <c r="P129" i="7"/>
  <c r="O129" i="7"/>
  <c r="N129" i="7"/>
  <c r="P128" i="7"/>
  <c r="O128" i="7"/>
  <c r="N128" i="7"/>
  <c r="P127" i="7"/>
  <c r="O127" i="7"/>
  <c r="N127" i="7"/>
  <c r="P126" i="7"/>
  <c r="O126" i="7"/>
  <c r="N126" i="7"/>
  <c r="P125" i="7"/>
  <c r="O125" i="7"/>
  <c r="N125" i="7"/>
  <c r="J153" i="7"/>
  <c r="I153" i="7"/>
  <c r="H153" i="7"/>
  <c r="J152" i="7"/>
  <c r="I152" i="7"/>
  <c r="H152" i="7"/>
  <c r="J151" i="7"/>
  <c r="I151" i="7"/>
  <c r="H151" i="7"/>
  <c r="J150" i="7"/>
  <c r="I150" i="7"/>
  <c r="H150" i="7"/>
  <c r="J149" i="7"/>
  <c r="I149" i="7"/>
  <c r="H149" i="7"/>
  <c r="J148" i="7"/>
  <c r="I148" i="7"/>
  <c r="H148" i="7"/>
  <c r="J147" i="7"/>
  <c r="I147" i="7"/>
  <c r="H147" i="7"/>
  <c r="J146" i="7"/>
  <c r="I146" i="7"/>
  <c r="H146" i="7"/>
  <c r="J145" i="7"/>
  <c r="I145" i="7"/>
  <c r="H145" i="7"/>
  <c r="J144" i="7"/>
  <c r="I144" i="7"/>
  <c r="H144" i="7"/>
  <c r="J143" i="7"/>
  <c r="I143" i="7"/>
  <c r="H143" i="7"/>
  <c r="J142" i="7"/>
  <c r="I142" i="7"/>
  <c r="H142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P117" i="7"/>
  <c r="O117" i="7"/>
  <c r="N117" i="7"/>
  <c r="P116" i="7"/>
  <c r="O116" i="7"/>
  <c r="N116" i="7"/>
  <c r="P115" i="7"/>
  <c r="O115" i="7"/>
  <c r="N115" i="7"/>
  <c r="P114" i="7"/>
  <c r="O114" i="7"/>
  <c r="N114" i="7"/>
  <c r="P113" i="7"/>
  <c r="O113" i="7"/>
  <c r="N113" i="7"/>
  <c r="P112" i="7"/>
  <c r="O112" i="7"/>
  <c r="N112" i="7"/>
  <c r="P111" i="7"/>
  <c r="O111" i="7"/>
  <c r="N111" i="7"/>
  <c r="P110" i="7"/>
  <c r="O110" i="7"/>
  <c r="N110" i="7"/>
  <c r="P109" i="7"/>
  <c r="O109" i="7"/>
  <c r="N109" i="7"/>
  <c r="P108" i="7"/>
  <c r="O108" i="7"/>
  <c r="N108" i="7"/>
  <c r="P107" i="7"/>
  <c r="O107" i="7"/>
  <c r="N107" i="7"/>
  <c r="P106" i="7"/>
  <c r="O106" i="7"/>
  <c r="N106" i="7"/>
  <c r="J117" i="7"/>
  <c r="I117" i="7"/>
  <c r="H117" i="7"/>
  <c r="J116" i="7"/>
  <c r="I116" i="7"/>
  <c r="H116" i="7"/>
  <c r="J115" i="7"/>
  <c r="I115" i="7"/>
  <c r="H115" i="7"/>
  <c r="J114" i="7"/>
  <c r="I114" i="7"/>
  <c r="H114" i="7"/>
  <c r="J113" i="7"/>
  <c r="I113" i="7"/>
  <c r="H113" i="7"/>
  <c r="J112" i="7"/>
  <c r="I112" i="7"/>
  <c r="H112" i="7"/>
  <c r="J111" i="7"/>
  <c r="I111" i="7"/>
  <c r="H111" i="7"/>
  <c r="J110" i="7"/>
  <c r="I110" i="7"/>
  <c r="H110" i="7"/>
  <c r="J109" i="7"/>
  <c r="I109" i="7"/>
  <c r="H109" i="7"/>
  <c r="J108" i="7"/>
  <c r="I108" i="7"/>
  <c r="H108" i="7"/>
  <c r="J107" i="7"/>
  <c r="I107" i="7"/>
  <c r="H107" i="7"/>
  <c r="J106" i="7"/>
  <c r="I106" i="7"/>
  <c r="H106" i="7"/>
  <c r="D117" i="7"/>
  <c r="C117" i="7"/>
  <c r="B117" i="7"/>
  <c r="D116" i="7"/>
  <c r="C116" i="7"/>
  <c r="B116" i="7"/>
  <c r="D115" i="7"/>
  <c r="C115" i="7"/>
  <c r="B115" i="7"/>
  <c r="D114" i="7"/>
  <c r="C114" i="7"/>
  <c r="B114" i="7"/>
  <c r="D113" i="7"/>
  <c r="C113" i="7"/>
  <c r="B113" i="7"/>
  <c r="D112" i="7"/>
  <c r="C112" i="7"/>
  <c r="B112" i="7"/>
  <c r="D111" i="7"/>
  <c r="C111" i="7"/>
  <c r="B111" i="7"/>
  <c r="D110" i="7"/>
  <c r="C110" i="7"/>
  <c r="B110" i="7"/>
  <c r="D109" i="7"/>
  <c r="C109" i="7"/>
  <c r="B109" i="7"/>
  <c r="D108" i="7"/>
  <c r="C108" i="7"/>
  <c r="B108" i="7"/>
  <c r="D107" i="7"/>
  <c r="C107" i="7"/>
  <c r="B107" i="7"/>
  <c r="D106" i="7"/>
  <c r="C106" i="7"/>
  <c r="B106" i="7"/>
  <c r="P100" i="7"/>
  <c r="O100" i="7"/>
  <c r="N100" i="7"/>
  <c r="P99" i="7"/>
  <c r="O99" i="7"/>
  <c r="N99" i="7"/>
  <c r="P98" i="7"/>
  <c r="O98" i="7"/>
  <c r="N98" i="7"/>
  <c r="P97" i="7"/>
  <c r="O97" i="7"/>
  <c r="N97" i="7"/>
  <c r="P96" i="7"/>
  <c r="O96" i="7"/>
  <c r="N96" i="7"/>
  <c r="P95" i="7"/>
  <c r="O95" i="7"/>
  <c r="N95" i="7"/>
  <c r="P94" i="7"/>
  <c r="O94" i="7"/>
  <c r="N94" i="7"/>
  <c r="P93" i="7"/>
  <c r="O93" i="7"/>
  <c r="N93" i="7"/>
  <c r="P92" i="7"/>
  <c r="O92" i="7"/>
  <c r="N92" i="7"/>
  <c r="P91" i="7"/>
  <c r="O91" i="7"/>
  <c r="N91" i="7"/>
  <c r="P90" i="7"/>
  <c r="O90" i="7"/>
  <c r="N90" i="7"/>
  <c r="P89" i="7"/>
  <c r="O89" i="7"/>
  <c r="N89" i="7"/>
  <c r="P88" i="7"/>
  <c r="O88" i="7"/>
  <c r="N88" i="7"/>
  <c r="P87" i="7"/>
  <c r="O87" i="7"/>
  <c r="N87" i="7"/>
  <c r="P86" i="7"/>
  <c r="O86" i="7"/>
  <c r="N86" i="7"/>
  <c r="J100" i="7"/>
  <c r="I100" i="7"/>
  <c r="H100" i="7"/>
  <c r="J99" i="7"/>
  <c r="I99" i="7"/>
  <c r="H99" i="7"/>
  <c r="J98" i="7"/>
  <c r="I98" i="7"/>
  <c r="H98" i="7"/>
  <c r="J97" i="7"/>
  <c r="I97" i="7"/>
  <c r="H97" i="7"/>
  <c r="J96" i="7"/>
  <c r="I96" i="7"/>
  <c r="H96" i="7"/>
  <c r="J95" i="7"/>
  <c r="I95" i="7"/>
  <c r="H95" i="7"/>
  <c r="J94" i="7"/>
  <c r="I94" i="7"/>
  <c r="H94" i="7"/>
  <c r="J93" i="7"/>
  <c r="I93" i="7"/>
  <c r="H93" i="7"/>
  <c r="J92" i="7"/>
  <c r="I92" i="7"/>
  <c r="H92" i="7"/>
  <c r="J91" i="7"/>
  <c r="I91" i="7"/>
  <c r="H91" i="7"/>
  <c r="J90" i="7"/>
  <c r="I90" i="7"/>
  <c r="H90" i="7"/>
  <c r="J89" i="7"/>
  <c r="I89" i="7"/>
  <c r="H89" i="7"/>
  <c r="J88" i="7"/>
  <c r="I88" i="7"/>
  <c r="H88" i="7"/>
  <c r="J87" i="7"/>
  <c r="I87" i="7"/>
  <c r="H87" i="7"/>
  <c r="J86" i="7"/>
  <c r="I86" i="7"/>
  <c r="H86" i="7"/>
  <c r="D100" i="7"/>
  <c r="D99" i="7"/>
  <c r="C100" i="7"/>
  <c r="C99" i="7"/>
  <c r="B100" i="7"/>
  <c r="B99" i="7"/>
  <c r="D95" i="7"/>
  <c r="D94" i="7"/>
  <c r="C95" i="7"/>
  <c r="C94" i="7"/>
  <c r="B95" i="7"/>
  <c r="B94" i="7"/>
  <c r="D90" i="7"/>
  <c r="D89" i="7"/>
  <c r="C90" i="7"/>
  <c r="C89" i="7"/>
  <c r="B90" i="7"/>
  <c r="B89" i="7"/>
  <c r="D98" i="7"/>
  <c r="C98" i="7"/>
  <c r="B98" i="7"/>
  <c r="D93" i="7"/>
  <c r="C93" i="7"/>
  <c r="B93" i="7"/>
  <c r="D88" i="7"/>
  <c r="C88" i="7"/>
  <c r="B88" i="7"/>
  <c r="D97" i="7"/>
  <c r="C97" i="7"/>
  <c r="B97" i="7"/>
  <c r="D92" i="7"/>
  <c r="C92" i="7"/>
  <c r="B92" i="7"/>
  <c r="D87" i="7"/>
  <c r="C87" i="7"/>
  <c r="B87" i="7"/>
  <c r="D96" i="7"/>
  <c r="C96" i="7"/>
  <c r="B96" i="7"/>
  <c r="D91" i="7"/>
  <c r="C91" i="7"/>
  <c r="B91" i="7"/>
  <c r="D86" i="7"/>
  <c r="C86" i="7"/>
  <c r="B86" i="7"/>
  <c r="B69" i="9"/>
  <c r="P127" i="9"/>
  <c r="O127" i="9"/>
  <c r="N127" i="9"/>
  <c r="P126" i="9"/>
  <c r="O126" i="9"/>
  <c r="N126" i="9"/>
  <c r="P125" i="9"/>
  <c r="O125" i="9"/>
  <c r="N125" i="9"/>
  <c r="P124" i="9"/>
  <c r="O124" i="9"/>
  <c r="N124" i="9"/>
  <c r="P123" i="9"/>
  <c r="O123" i="9"/>
  <c r="N123" i="9"/>
  <c r="P122" i="9"/>
  <c r="O122" i="9"/>
  <c r="N122" i="9"/>
  <c r="P121" i="9"/>
  <c r="O121" i="9"/>
  <c r="N121" i="9"/>
  <c r="P120" i="9"/>
  <c r="O120" i="9"/>
  <c r="N120" i="9"/>
  <c r="P119" i="9"/>
  <c r="O119" i="9"/>
  <c r="N119" i="9"/>
  <c r="P113" i="9"/>
  <c r="O113" i="9"/>
  <c r="N113" i="9"/>
  <c r="P112" i="9"/>
  <c r="O112" i="9"/>
  <c r="N112" i="9"/>
  <c r="P111" i="9"/>
  <c r="O111" i="9"/>
  <c r="N111" i="9"/>
  <c r="P110" i="9"/>
  <c r="O110" i="9"/>
  <c r="N110" i="9"/>
  <c r="P109" i="9"/>
  <c r="O109" i="9"/>
  <c r="N109" i="9"/>
  <c r="P108" i="9"/>
  <c r="O108" i="9"/>
  <c r="N108" i="9"/>
  <c r="P107" i="9"/>
  <c r="O107" i="9"/>
  <c r="N107" i="9"/>
  <c r="P106" i="9"/>
  <c r="O106" i="9"/>
  <c r="N106" i="9"/>
  <c r="P105" i="9"/>
  <c r="O105" i="9"/>
  <c r="N105" i="9"/>
  <c r="J127" i="9"/>
  <c r="I127" i="9"/>
  <c r="H127" i="9"/>
  <c r="J126" i="9"/>
  <c r="I126" i="9"/>
  <c r="H126" i="9"/>
  <c r="J125" i="9"/>
  <c r="I125" i="9"/>
  <c r="H125" i="9"/>
  <c r="J124" i="9"/>
  <c r="I124" i="9"/>
  <c r="H124" i="9"/>
  <c r="J123" i="9"/>
  <c r="I123" i="9"/>
  <c r="H123" i="9"/>
  <c r="J122" i="9"/>
  <c r="I122" i="9"/>
  <c r="H122" i="9"/>
  <c r="J121" i="9"/>
  <c r="I121" i="9"/>
  <c r="H121" i="9"/>
  <c r="J120" i="9"/>
  <c r="I120" i="9"/>
  <c r="H120" i="9"/>
  <c r="J119" i="9"/>
  <c r="I119" i="9"/>
  <c r="H119" i="9"/>
  <c r="J113" i="9"/>
  <c r="I113" i="9"/>
  <c r="H113" i="9"/>
  <c r="J112" i="9"/>
  <c r="I112" i="9"/>
  <c r="H112" i="9"/>
  <c r="J111" i="9"/>
  <c r="I111" i="9"/>
  <c r="H111" i="9"/>
  <c r="J110" i="9"/>
  <c r="I110" i="9"/>
  <c r="H110" i="9"/>
  <c r="J109" i="9"/>
  <c r="I109" i="9"/>
  <c r="H109" i="9"/>
  <c r="J108" i="9"/>
  <c r="I108" i="9"/>
  <c r="H108" i="9"/>
  <c r="J107" i="9"/>
  <c r="I107" i="9"/>
  <c r="H107" i="9"/>
  <c r="J106" i="9"/>
  <c r="I106" i="9"/>
  <c r="H106" i="9"/>
  <c r="J105" i="9"/>
  <c r="I105" i="9"/>
  <c r="H105" i="9"/>
  <c r="D127" i="9"/>
  <c r="C127" i="9"/>
  <c r="B127" i="9"/>
  <c r="D126" i="9"/>
  <c r="C126" i="9"/>
  <c r="B126" i="9"/>
  <c r="D125" i="9"/>
  <c r="C125" i="9"/>
  <c r="B125" i="9"/>
  <c r="D124" i="9"/>
  <c r="C124" i="9"/>
  <c r="B124" i="9"/>
  <c r="D123" i="9"/>
  <c r="C123" i="9"/>
  <c r="B123" i="9"/>
  <c r="D122" i="9"/>
  <c r="C122" i="9"/>
  <c r="B122" i="9"/>
  <c r="D121" i="9"/>
  <c r="C121" i="9"/>
  <c r="B121" i="9"/>
  <c r="D120" i="9"/>
  <c r="C120" i="9"/>
  <c r="B120" i="9"/>
  <c r="D119" i="9"/>
  <c r="C119" i="9"/>
  <c r="B119" i="9"/>
  <c r="D113" i="9"/>
  <c r="D112" i="9"/>
  <c r="D111" i="9"/>
  <c r="D110" i="9"/>
  <c r="D109" i="9"/>
  <c r="D108" i="9"/>
  <c r="D107" i="9"/>
  <c r="D106" i="9"/>
  <c r="D105" i="9"/>
  <c r="C113" i="9"/>
  <c r="C112" i="9"/>
  <c r="C111" i="9"/>
  <c r="C110" i="9"/>
  <c r="C109" i="9"/>
  <c r="C108" i="9"/>
  <c r="C107" i="9"/>
  <c r="C106" i="9"/>
  <c r="C105" i="9"/>
  <c r="B113" i="9"/>
  <c r="B112" i="9"/>
  <c r="B111" i="9"/>
  <c r="B110" i="9"/>
  <c r="B109" i="9"/>
  <c r="B108" i="9"/>
  <c r="B107" i="9"/>
  <c r="B106" i="9"/>
  <c r="B105" i="9"/>
  <c r="P97" i="9"/>
  <c r="O97" i="9"/>
  <c r="N97" i="9"/>
  <c r="P96" i="9"/>
  <c r="O96" i="9"/>
  <c r="N96" i="9"/>
  <c r="P95" i="9"/>
  <c r="O95" i="9"/>
  <c r="N95" i="9"/>
  <c r="P94" i="9"/>
  <c r="O94" i="9"/>
  <c r="N94" i="9"/>
  <c r="P93" i="9"/>
  <c r="O93" i="9"/>
  <c r="N93" i="9"/>
  <c r="P92" i="9"/>
  <c r="O92" i="9"/>
  <c r="N92" i="9"/>
  <c r="P91" i="9"/>
  <c r="O91" i="9"/>
  <c r="N91" i="9"/>
  <c r="P90" i="9"/>
  <c r="O90" i="9"/>
  <c r="N90" i="9"/>
  <c r="P89" i="9"/>
  <c r="O89" i="9"/>
  <c r="N89" i="9"/>
  <c r="P83" i="9"/>
  <c r="O83" i="9"/>
  <c r="N83" i="9"/>
  <c r="P82" i="9"/>
  <c r="O82" i="9"/>
  <c r="N82" i="9"/>
  <c r="P81" i="9"/>
  <c r="O81" i="9"/>
  <c r="N81" i="9"/>
  <c r="P80" i="9"/>
  <c r="O80" i="9"/>
  <c r="N80" i="9"/>
  <c r="P79" i="9"/>
  <c r="O79" i="9"/>
  <c r="N79" i="9"/>
  <c r="P78" i="9"/>
  <c r="O78" i="9"/>
  <c r="N78" i="9"/>
  <c r="P77" i="9"/>
  <c r="O77" i="9"/>
  <c r="N77" i="9"/>
  <c r="P76" i="9"/>
  <c r="O76" i="9"/>
  <c r="N76" i="9"/>
  <c r="P75" i="9"/>
  <c r="O75" i="9"/>
  <c r="N75" i="9"/>
  <c r="J97" i="9"/>
  <c r="I97" i="9"/>
  <c r="H97" i="9"/>
  <c r="J96" i="9"/>
  <c r="I96" i="9"/>
  <c r="H96" i="9"/>
  <c r="J95" i="9"/>
  <c r="I95" i="9"/>
  <c r="H95" i="9"/>
  <c r="J94" i="9"/>
  <c r="I94" i="9"/>
  <c r="H94" i="9"/>
  <c r="J93" i="9"/>
  <c r="I93" i="9"/>
  <c r="H93" i="9"/>
  <c r="J92" i="9"/>
  <c r="I92" i="9"/>
  <c r="H92" i="9"/>
  <c r="J91" i="9"/>
  <c r="I91" i="9"/>
  <c r="H91" i="9"/>
  <c r="J90" i="9"/>
  <c r="I90" i="9"/>
  <c r="H90" i="9"/>
  <c r="J89" i="9"/>
  <c r="I89" i="9"/>
  <c r="H89" i="9"/>
  <c r="J83" i="9"/>
  <c r="I83" i="9"/>
  <c r="H83" i="9"/>
  <c r="J82" i="9"/>
  <c r="I82" i="9"/>
  <c r="H82" i="9"/>
  <c r="J81" i="9"/>
  <c r="I81" i="9"/>
  <c r="H81" i="9"/>
  <c r="J80" i="9"/>
  <c r="I80" i="9"/>
  <c r="H80" i="9"/>
  <c r="J79" i="9"/>
  <c r="I79" i="9"/>
  <c r="H79" i="9"/>
  <c r="J78" i="9"/>
  <c r="I78" i="9"/>
  <c r="H78" i="9"/>
  <c r="J77" i="9"/>
  <c r="I77" i="9"/>
  <c r="H77" i="9"/>
  <c r="J76" i="9"/>
  <c r="I76" i="9"/>
  <c r="H76" i="9"/>
  <c r="J75" i="9"/>
  <c r="I75" i="9"/>
  <c r="H75" i="9"/>
  <c r="D97" i="9"/>
  <c r="C97" i="9"/>
  <c r="B97" i="9"/>
  <c r="D96" i="9"/>
  <c r="C96" i="9"/>
  <c r="B96" i="9"/>
  <c r="D95" i="9"/>
  <c r="C95" i="9"/>
  <c r="B95" i="9"/>
  <c r="D94" i="9"/>
  <c r="C94" i="9"/>
  <c r="B94" i="9"/>
  <c r="D93" i="9"/>
  <c r="C93" i="9"/>
  <c r="B93" i="9"/>
  <c r="D92" i="9"/>
  <c r="C92" i="9"/>
  <c r="B92" i="9"/>
  <c r="D91" i="9"/>
  <c r="C91" i="9"/>
  <c r="B91" i="9"/>
  <c r="D90" i="9"/>
  <c r="C90" i="9"/>
  <c r="B90" i="9"/>
  <c r="D89" i="9"/>
  <c r="C89" i="9"/>
  <c r="B89" i="9"/>
  <c r="D83" i="9"/>
  <c r="D82" i="9"/>
  <c r="C83" i="9"/>
  <c r="C82" i="9"/>
  <c r="B83" i="9"/>
  <c r="B82" i="9"/>
  <c r="D80" i="9"/>
  <c r="D79" i="9"/>
  <c r="C80" i="9"/>
  <c r="C79" i="9"/>
  <c r="B80" i="9"/>
  <c r="B79" i="9"/>
  <c r="D77" i="9"/>
  <c r="D76" i="9"/>
  <c r="C77" i="9"/>
  <c r="C76" i="9"/>
  <c r="B77" i="9"/>
  <c r="B76" i="9"/>
  <c r="D81" i="9"/>
  <c r="C81" i="9"/>
  <c r="B81" i="9"/>
  <c r="D78" i="9"/>
  <c r="C78" i="9"/>
  <c r="B78" i="9"/>
  <c r="D75" i="9"/>
  <c r="C75" i="9"/>
  <c r="B75" i="9"/>
  <c r="B81" i="6"/>
  <c r="B81" i="3"/>
  <c r="P155" i="6"/>
  <c r="O155" i="6"/>
  <c r="N155" i="6"/>
  <c r="P154" i="6"/>
  <c r="O154" i="6"/>
  <c r="N154" i="6"/>
  <c r="P153" i="6"/>
  <c r="O153" i="6"/>
  <c r="N153" i="6"/>
  <c r="P152" i="6"/>
  <c r="O152" i="6"/>
  <c r="N152" i="6"/>
  <c r="P151" i="6"/>
  <c r="O151" i="6"/>
  <c r="N151" i="6"/>
  <c r="P150" i="6"/>
  <c r="O150" i="6"/>
  <c r="N150" i="6"/>
  <c r="P149" i="6"/>
  <c r="O149" i="6"/>
  <c r="N149" i="6"/>
  <c r="P148" i="6"/>
  <c r="O148" i="6"/>
  <c r="N148" i="6"/>
  <c r="P147" i="6"/>
  <c r="O147" i="6"/>
  <c r="N147" i="6"/>
  <c r="P146" i="6"/>
  <c r="O146" i="6"/>
  <c r="N146" i="6"/>
  <c r="P145" i="6"/>
  <c r="O145" i="6"/>
  <c r="N145" i="6"/>
  <c r="P144" i="6"/>
  <c r="O144" i="6"/>
  <c r="N144" i="6"/>
  <c r="D155" i="6"/>
  <c r="C155" i="6"/>
  <c r="B155" i="6"/>
  <c r="D154" i="6"/>
  <c r="C154" i="6"/>
  <c r="B154" i="6"/>
  <c r="D153" i="6"/>
  <c r="C153" i="6"/>
  <c r="B153" i="6"/>
  <c r="D152" i="6"/>
  <c r="C152" i="6"/>
  <c r="B152" i="6"/>
  <c r="D151" i="6"/>
  <c r="C151" i="6"/>
  <c r="B151" i="6"/>
  <c r="D150" i="6"/>
  <c r="C150" i="6"/>
  <c r="B150" i="6"/>
  <c r="D149" i="6"/>
  <c r="C149" i="6"/>
  <c r="B149" i="6"/>
  <c r="D148" i="6"/>
  <c r="C148" i="6"/>
  <c r="B148" i="6"/>
  <c r="D147" i="6"/>
  <c r="C147" i="6"/>
  <c r="B147" i="6"/>
  <c r="D146" i="6"/>
  <c r="C146" i="6"/>
  <c r="B146" i="6"/>
  <c r="D145" i="6"/>
  <c r="C145" i="6"/>
  <c r="B145" i="6"/>
  <c r="D144" i="6"/>
  <c r="C144" i="6"/>
  <c r="B144" i="6"/>
  <c r="D138" i="6"/>
  <c r="C138" i="6"/>
  <c r="B138" i="6"/>
  <c r="D137" i="6"/>
  <c r="C137" i="6"/>
  <c r="B137" i="6"/>
  <c r="D136" i="6"/>
  <c r="C136" i="6"/>
  <c r="B136" i="6"/>
  <c r="D135" i="6"/>
  <c r="C135" i="6"/>
  <c r="B135" i="6"/>
  <c r="D134" i="6"/>
  <c r="C134" i="6"/>
  <c r="B134" i="6"/>
  <c r="D133" i="6"/>
  <c r="C133" i="6"/>
  <c r="B133" i="6"/>
  <c r="D132" i="6"/>
  <c r="C132" i="6"/>
  <c r="B132" i="6"/>
  <c r="D131" i="6"/>
  <c r="C131" i="6"/>
  <c r="B131" i="6"/>
  <c r="D130" i="6"/>
  <c r="C130" i="6"/>
  <c r="B130" i="6"/>
  <c r="D129" i="6"/>
  <c r="C129" i="6"/>
  <c r="B129" i="6"/>
  <c r="D128" i="6"/>
  <c r="C128" i="6"/>
  <c r="B128" i="6"/>
  <c r="D127" i="6"/>
  <c r="C127" i="6"/>
  <c r="B127" i="6"/>
  <c r="P138" i="6"/>
  <c r="O138" i="6"/>
  <c r="N138" i="6"/>
  <c r="P137" i="6"/>
  <c r="O137" i="6"/>
  <c r="N137" i="6"/>
  <c r="P136" i="6"/>
  <c r="O136" i="6"/>
  <c r="N136" i="6"/>
  <c r="P135" i="6"/>
  <c r="O135" i="6"/>
  <c r="N135" i="6"/>
  <c r="P134" i="6"/>
  <c r="O134" i="6"/>
  <c r="N134" i="6"/>
  <c r="P133" i="6"/>
  <c r="O133" i="6"/>
  <c r="N133" i="6"/>
  <c r="P132" i="6"/>
  <c r="O132" i="6"/>
  <c r="N132" i="6"/>
  <c r="P131" i="6"/>
  <c r="O131" i="6"/>
  <c r="N131" i="6"/>
  <c r="P130" i="6"/>
  <c r="O130" i="6"/>
  <c r="N130" i="6"/>
  <c r="P129" i="6"/>
  <c r="O129" i="6"/>
  <c r="N129" i="6"/>
  <c r="P128" i="6"/>
  <c r="O128" i="6"/>
  <c r="N128" i="6"/>
  <c r="P127" i="6"/>
  <c r="O127" i="6"/>
  <c r="N127" i="6"/>
  <c r="J155" i="6"/>
  <c r="I155" i="6"/>
  <c r="H155" i="6"/>
  <c r="J154" i="6"/>
  <c r="I154" i="6"/>
  <c r="H154" i="6"/>
  <c r="J153" i="6"/>
  <c r="I153" i="6"/>
  <c r="H153" i="6"/>
  <c r="J152" i="6"/>
  <c r="I152" i="6"/>
  <c r="H152" i="6"/>
  <c r="J151" i="6"/>
  <c r="I151" i="6"/>
  <c r="H151" i="6"/>
  <c r="J150" i="6"/>
  <c r="I150" i="6"/>
  <c r="H150" i="6"/>
  <c r="J149" i="6"/>
  <c r="I149" i="6"/>
  <c r="H149" i="6"/>
  <c r="J148" i="6"/>
  <c r="I148" i="6"/>
  <c r="H148" i="6"/>
  <c r="J147" i="6"/>
  <c r="I147" i="6"/>
  <c r="H147" i="6"/>
  <c r="J146" i="6"/>
  <c r="I146" i="6"/>
  <c r="H146" i="6"/>
  <c r="J145" i="6"/>
  <c r="I145" i="6"/>
  <c r="H145" i="6"/>
  <c r="J144" i="6"/>
  <c r="I144" i="6"/>
  <c r="H144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P120" i="6"/>
  <c r="O120" i="6"/>
  <c r="N120" i="6"/>
  <c r="P119" i="6"/>
  <c r="O119" i="6"/>
  <c r="N119" i="6"/>
  <c r="P118" i="6"/>
  <c r="O118" i="6"/>
  <c r="N118" i="6"/>
  <c r="P117" i="6"/>
  <c r="O117" i="6"/>
  <c r="N117" i="6"/>
  <c r="P116" i="6"/>
  <c r="O116" i="6"/>
  <c r="N116" i="6"/>
  <c r="P115" i="6"/>
  <c r="O115" i="6"/>
  <c r="N115" i="6"/>
  <c r="P114" i="6"/>
  <c r="O114" i="6"/>
  <c r="N114" i="6"/>
  <c r="P113" i="6"/>
  <c r="O113" i="6"/>
  <c r="N113" i="6"/>
  <c r="P112" i="6"/>
  <c r="O112" i="6"/>
  <c r="N112" i="6"/>
  <c r="P111" i="6"/>
  <c r="O111" i="6"/>
  <c r="N111" i="6"/>
  <c r="P110" i="6"/>
  <c r="O110" i="6"/>
  <c r="N110" i="6"/>
  <c r="P109" i="6"/>
  <c r="O109" i="6"/>
  <c r="N109" i="6"/>
  <c r="J120" i="6"/>
  <c r="I120" i="6"/>
  <c r="H120" i="6"/>
  <c r="J119" i="6"/>
  <c r="I119" i="6"/>
  <c r="H119" i="6"/>
  <c r="J118" i="6"/>
  <c r="I118" i="6"/>
  <c r="H118" i="6"/>
  <c r="J117" i="6"/>
  <c r="I117" i="6"/>
  <c r="H117" i="6"/>
  <c r="J116" i="6"/>
  <c r="I116" i="6"/>
  <c r="H116" i="6"/>
  <c r="J115" i="6"/>
  <c r="I115" i="6"/>
  <c r="H115" i="6"/>
  <c r="J114" i="6"/>
  <c r="I114" i="6"/>
  <c r="H114" i="6"/>
  <c r="J113" i="6"/>
  <c r="I113" i="6"/>
  <c r="H113" i="6"/>
  <c r="J112" i="6"/>
  <c r="I112" i="6"/>
  <c r="H112" i="6"/>
  <c r="J111" i="6"/>
  <c r="I111" i="6"/>
  <c r="H111" i="6"/>
  <c r="J110" i="6"/>
  <c r="I110" i="6"/>
  <c r="H110" i="6"/>
  <c r="J109" i="6"/>
  <c r="I109" i="6"/>
  <c r="H109" i="6"/>
  <c r="D120" i="6"/>
  <c r="C120" i="6"/>
  <c r="B120" i="6"/>
  <c r="D119" i="6"/>
  <c r="C119" i="6"/>
  <c r="B119" i="6"/>
  <c r="D118" i="6"/>
  <c r="C118" i="6"/>
  <c r="B118" i="6"/>
  <c r="D117" i="6"/>
  <c r="C117" i="6"/>
  <c r="B117" i="6"/>
  <c r="D116" i="6"/>
  <c r="C116" i="6"/>
  <c r="B116" i="6"/>
  <c r="D115" i="6"/>
  <c r="C115" i="6"/>
  <c r="B115" i="6"/>
  <c r="D114" i="6"/>
  <c r="C114" i="6"/>
  <c r="B114" i="6"/>
  <c r="D113" i="6"/>
  <c r="C113" i="6"/>
  <c r="B113" i="6"/>
  <c r="D112" i="6"/>
  <c r="C112" i="6"/>
  <c r="B112" i="6"/>
  <c r="D111" i="6"/>
  <c r="C111" i="6"/>
  <c r="B111" i="6"/>
  <c r="D110" i="6"/>
  <c r="C110" i="6"/>
  <c r="B110" i="6"/>
  <c r="D109" i="6"/>
  <c r="C109" i="6"/>
  <c r="B109" i="6"/>
  <c r="P103" i="6"/>
  <c r="O103" i="6"/>
  <c r="N103" i="6"/>
  <c r="P102" i="6"/>
  <c r="O102" i="6"/>
  <c r="N102" i="6"/>
  <c r="J103" i="6"/>
  <c r="I103" i="6"/>
  <c r="H103" i="6"/>
  <c r="J102" i="6"/>
  <c r="I102" i="6"/>
  <c r="H102" i="6"/>
  <c r="P98" i="6"/>
  <c r="O98" i="6"/>
  <c r="N98" i="6"/>
  <c r="P97" i="6"/>
  <c r="O97" i="6"/>
  <c r="N97" i="6"/>
  <c r="J98" i="6"/>
  <c r="I98" i="6"/>
  <c r="H98" i="6"/>
  <c r="J97" i="6"/>
  <c r="I97" i="6"/>
  <c r="H97" i="6"/>
  <c r="P93" i="6"/>
  <c r="O93" i="6"/>
  <c r="N93" i="6"/>
  <c r="P92" i="6"/>
  <c r="O92" i="6"/>
  <c r="N92" i="6"/>
  <c r="J93" i="6"/>
  <c r="I93" i="6"/>
  <c r="H93" i="6"/>
  <c r="J92" i="6"/>
  <c r="I92" i="6"/>
  <c r="H92" i="6"/>
  <c r="D103" i="6"/>
  <c r="D102" i="6"/>
  <c r="C103" i="6"/>
  <c r="C102" i="6"/>
  <c r="B103" i="6"/>
  <c r="B102" i="6"/>
  <c r="D98" i="6"/>
  <c r="D97" i="6"/>
  <c r="C98" i="6"/>
  <c r="C97" i="6"/>
  <c r="B98" i="6"/>
  <c r="B97" i="6"/>
  <c r="D93" i="6"/>
  <c r="D92" i="6"/>
  <c r="C93" i="6"/>
  <c r="C92" i="6"/>
  <c r="B93" i="6"/>
  <c r="B92" i="6"/>
  <c r="D101" i="6"/>
  <c r="C101" i="6"/>
  <c r="B101" i="6"/>
  <c r="D96" i="6"/>
  <c r="C96" i="6"/>
  <c r="B96" i="6"/>
  <c r="D91" i="6"/>
  <c r="C91" i="6"/>
  <c r="B91" i="6"/>
  <c r="P101" i="6"/>
  <c r="O101" i="6"/>
  <c r="N101" i="6"/>
  <c r="P100" i="6"/>
  <c r="O100" i="6"/>
  <c r="N100" i="6"/>
  <c r="J101" i="6"/>
  <c r="I101" i="6"/>
  <c r="H101" i="6"/>
  <c r="J100" i="6"/>
  <c r="I100" i="6"/>
  <c r="H100" i="6"/>
  <c r="P96" i="6"/>
  <c r="O96" i="6"/>
  <c r="N96" i="6"/>
  <c r="P95" i="6"/>
  <c r="O95" i="6"/>
  <c r="N95" i="6"/>
  <c r="J96" i="6"/>
  <c r="I96" i="6"/>
  <c r="H96" i="6"/>
  <c r="J95" i="6"/>
  <c r="I95" i="6"/>
  <c r="H95" i="6"/>
  <c r="P91" i="6"/>
  <c r="O91" i="6"/>
  <c r="N91" i="6"/>
  <c r="J91" i="6"/>
  <c r="I91" i="6"/>
  <c r="H91" i="6"/>
  <c r="D100" i="6"/>
  <c r="C100" i="6"/>
  <c r="B100" i="6"/>
  <c r="D95" i="6"/>
  <c r="C95" i="6"/>
  <c r="B95" i="6"/>
  <c r="D90" i="6"/>
  <c r="C90" i="6"/>
  <c r="B90" i="6"/>
  <c r="P90" i="6"/>
  <c r="O90" i="6"/>
  <c r="N90" i="6"/>
  <c r="J90" i="6"/>
  <c r="I90" i="6"/>
  <c r="H90" i="6"/>
  <c r="D99" i="6"/>
  <c r="C99" i="6"/>
  <c r="B99" i="6"/>
  <c r="D94" i="6"/>
  <c r="C94" i="6"/>
  <c r="B94" i="6"/>
  <c r="D89" i="6"/>
  <c r="P99" i="6"/>
  <c r="O99" i="6"/>
  <c r="N99" i="6"/>
  <c r="P94" i="6"/>
  <c r="O94" i="6"/>
  <c r="N94" i="6"/>
  <c r="P89" i="6"/>
  <c r="O89" i="6"/>
  <c r="N89" i="6"/>
  <c r="H89" i="6"/>
  <c r="J99" i="6"/>
  <c r="I99" i="6"/>
  <c r="H99" i="6"/>
  <c r="J94" i="6"/>
  <c r="I94" i="6"/>
  <c r="H94" i="6"/>
  <c r="J89" i="6"/>
  <c r="I89" i="6"/>
  <c r="B89" i="6"/>
  <c r="C89" i="6"/>
  <c r="P146" i="8"/>
  <c r="O146" i="8"/>
  <c r="N146" i="8"/>
  <c r="P145" i="8"/>
  <c r="O145" i="8"/>
  <c r="N145" i="8"/>
  <c r="P144" i="8"/>
  <c r="O144" i="8"/>
  <c r="N144" i="8"/>
  <c r="P143" i="8"/>
  <c r="O143" i="8"/>
  <c r="N143" i="8"/>
  <c r="P142" i="8"/>
  <c r="O142" i="8"/>
  <c r="N142" i="8"/>
  <c r="P141" i="8"/>
  <c r="O141" i="8"/>
  <c r="N141" i="8"/>
  <c r="P140" i="8"/>
  <c r="O140" i="8"/>
  <c r="N140" i="8"/>
  <c r="P139" i="8"/>
  <c r="O139" i="8"/>
  <c r="N139" i="8"/>
  <c r="P138" i="8"/>
  <c r="O138" i="8"/>
  <c r="N138" i="8"/>
  <c r="P137" i="8"/>
  <c r="O137" i="8"/>
  <c r="N137" i="8"/>
  <c r="P136" i="8"/>
  <c r="O136" i="8"/>
  <c r="N136" i="8"/>
  <c r="P135" i="8"/>
  <c r="O135" i="8"/>
  <c r="N135" i="8"/>
  <c r="V146" i="8"/>
  <c r="U146" i="8"/>
  <c r="T146" i="8"/>
  <c r="V145" i="8"/>
  <c r="U145" i="8"/>
  <c r="T145" i="8"/>
  <c r="V144" i="8"/>
  <c r="U144" i="8"/>
  <c r="T144" i="8"/>
  <c r="V143" i="8"/>
  <c r="U143" i="8"/>
  <c r="T143" i="8"/>
  <c r="V142" i="8"/>
  <c r="U142" i="8"/>
  <c r="T142" i="8"/>
  <c r="V141" i="8"/>
  <c r="U141" i="8"/>
  <c r="T141" i="8"/>
  <c r="V140" i="8"/>
  <c r="U140" i="8"/>
  <c r="T140" i="8"/>
  <c r="V139" i="8"/>
  <c r="U139" i="8"/>
  <c r="T139" i="8"/>
  <c r="V138" i="8"/>
  <c r="U138" i="8"/>
  <c r="T138" i="8"/>
  <c r="V137" i="8"/>
  <c r="U137" i="8"/>
  <c r="T137" i="8"/>
  <c r="V136" i="8"/>
  <c r="U136" i="8"/>
  <c r="T136" i="8"/>
  <c r="V135" i="8"/>
  <c r="U135" i="8"/>
  <c r="T135" i="8"/>
  <c r="V129" i="8"/>
  <c r="V128" i="8"/>
  <c r="V127" i="8"/>
  <c r="V126" i="8"/>
  <c r="V125" i="8"/>
  <c r="V124" i="8"/>
  <c r="V123" i="8"/>
  <c r="V122" i="8"/>
  <c r="V121" i="8"/>
  <c r="V120" i="8"/>
  <c r="V119" i="8"/>
  <c r="V118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P129" i="8"/>
  <c r="P128" i="8"/>
  <c r="P127" i="8"/>
  <c r="P126" i="8"/>
  <c r="P125" i="8"/>
  <c r="P124" i="8"/>
  <c r="P123" i="8"/>
  <c r="P122" i="8"/>
  <c r="P121" i="8"/>
  <c r="P120" i="8"/>
  <c r="P119" i="8"/>
  <c r="P118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J146" i="8"/>
  <c r="I146" i="8"/>
  <c r="H146" i="8"/>
  <c r="J145" i="8"/>
  <c r="I145" i="8"/>
  <c r="H145" i="8"/>
  <c r="J144" i="8"/>
  <c r="I144" i="8"/>
  <c r="H144" i="8"/>
  <c r="J143" i="8"/>
  <c r="I143" i="8"/>
  <c r="H143" i="8"/>
  <c r="J142" i="8"/>
  <c r="I142" i="8"/>
  <c r="H142" i="8"/>
  <c r="J141" i="8"/>
  <c r="I141" i="8"/>
  <c r="H141" i="8"/>
  <c r="J140" i="8"/>
  <c r="I140" i="8"/>
  <c r="H140" i="8"/>
  <c r="J139" i="8"/>
  <c r="I139" i="8"/>
  <c r="H139" i="8"/>
  <c r="J138" i="8"/>
  <c r="I138" i="8"/>
  <c r="H138" i="8"/>
  <c r="J137" i="8"/>
  <c r="I137" i="8"/>
  <c r="H137" i="8"/>
  <c r="J136" i="8"/>
  <c r="I136" i="8"/>
  <c r="H136" i="8"/>
  <c r="J135" i="8"/>
  <c r="I135" i="8"/>
  <c r="H135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P150" i="3"/>
  <c r="O150" i="3"/>
  <c r="N150" i="3"/>
  <c r="P149" i="3"/>
  <c r="O149" i="3"/>
  <c r="N149" i="3"/>
  <c r="P148" i="3"/>
  <c r="O148" i="3"/>
  <c r="N148" i="3"/>
  <c r="P147" i="3"/>
  <c r="O147" i="3"/>
  <c r="N147" i="3"/>
  <c r="P146" i="3"/>
  <c r="O146" i="3"/>
  <c r="N146" i="3"/>
  <c r="P145" i="3"/>
  <c r="O145" i="3"/>
  <c r="N145" i="3"/>
  <c r="P144" i="3"/>
  <c r="O144" i="3"/>
  <c r="N144" i="3"/>
  <c r="P143" i="3"/>
  <c r="O143" i="3"/>
  <c r="N143" i="3"/>
  <c r="P142" i="3"/>
  <c r="O142" i="3"/>
  <c r="N142" i="3"/>
  <c r="P141" i="3"/>
  <c r="O141" i="3"/>
  <c r="N141" i="3"/>
  <c r="P140" i="3"/>
  <c r="O140" i="3"/>
  <c r="N140" i="3"/>
  <c r="P139" i="3"/>
  <c r="O139" i="3"/>
  <c r="N139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V150" i="3"/>
  <c r="U150" i="3"/>
  <c r="T150" i="3"/>
  <c r="V149" i="3"/>
  <c r="U149" i="3"/>
  <c r="T149" i="3"/>
  <c r="V148" i="3"/>
  <c r="U148" i="3"/>
  <c r="T148" i="3"/>
  <c r="V147" i="3"/>
  <c r="U147" i="3"/>
  <c r="T147" i="3"/>
  <c r="V146" i="3"/>
  <c r="U146" i="3"/>
  <c r="T146" i="3"/>
  <c r="V145" i="3"/>
  <c r="U145" i="3"/>
  <c r="T145" i="3"/>
  <c r="V144" i="3"/>
  <c r="U144" i="3"/>
  <c r="T144" i="3"/>
  <c r="V143" i="3"/>
  <c r="U143" i="3"/>
  <c r="T143" i="3"/>
  <c r="V142" i="3"/>
  <c r="U142" i="3"/>
  <c r="T142" i="3"/>
  <c r="V141" i="3"/>
  <c r="U141" i="3"/>
  <c r="T141" i="3"/>
  <c r="V140" i="3"/>
  <c r="U140" i="3"/>
  <c r="T140" i="3"/>
  <c r="V139" i="3"/>
  <c r="U139" i="3"/>
  <c r="T139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3" i="3"/>
  <c r="J132" i="3"/>
  <c r="J131" i="3"/>
  <c r="J130" i="3"/>
  <c r="J129" i="3"/>
  <c r="J128" i="3"/>
  <c r="J127" i="3"/>
  <c r="J126" i="3"/>
  <c r="J125" i="3"/>
  <c r="J124" i="3"/>
  <c r="J123" i="3"/>
  <c r="I133" i="3"/>
  <c r="I132" i="3"/>
  <c r="I131" i="3"/>
  <c r="I130" i="3"/>
  <c r="I129" i="3"/>
  <c r="I128" i="3"/>
  <c r="I127" i="3"/>
  <c r="I126" i="3"/>
  <c r="I125" i="3"/>
  <c r="I124" i="3"/>
  <c r="I123" i="3"/>
  <c r="H133" i="3"/>
  <c r="H132" i="3"/>
  <c r="H131" i="3"/>
  <c r="H130" i="3"/>
  <c r="H129" i="3"/>
  <c r="H128" i="3"/>
  <c r="H127" i="3"/>
  <c r="H126" i="3"/>
  <c r="H125" i="3"/>
  <c r="H124" i="3"/>
  <c r="H123" i="3"/>
  <c r="J122" i="3"/>
  <c r="I122" i="3"/>
  <c r="H122" i="3"/>
  <c r="P110" i="8"/>
  <c r="O110" i="8"/>
  <c r="N110" i="8"/>
  <c r="P109" i="8"/>
  <c r="O109" i="8"/>
  <c r="N109" i="8"/>
  <c r="P108" i="8"/>
  <c r="O108" i="8"/>
  <c r="N108" i="8"/>
  <c r="P107" i="8"/>
  <c r="O107" i="8"/>
  <c r="N107" i="8"/>
  <c r="P106" i="8"/>
  <c r="O106" i="8"/>
  <c r="N106" i="8"/>
  <c r="P105" i="8"/>
  <c r="O105" i="8"/>
  <c r="N105" i="8"/>
  <c r="P104" i="8"/>
  <c r="O104" i="8"/>
  <c r="N104" i="8"/>
  <c r="P103" i="8"/>
  <c r="O103" i="8"/>
  <c r="N103" i="8"/>
  <c r="P102" i="8"/>
  <c r="O102" i="8"/>
  <c r="N102" i="8"/>
  <c r="P101" i="8"/>
  <c r="O101" i="8"/>
  <c r="N101" i="8"/>
  <c r="P100" i="8"/>
  <c r="O100" i="8"/>
  <c r="N100" i="8"/>
  <c r="P99" i="8"/>
  <c r="O99" i="8"/>
  <c r="N99" i="8"/>
  <c r="V110" i="8"/>
  <c r="U110" i="8"/>
  <c r="T110" i="8"/>
  <c r="V109" i="8"/>
  <c r="U109" i="8"/>
  <c r="T109" i="8"/>
  <c r="V108" i="8"/>
  <c r="U108" i="8"/>
  <c r="T108" i="8"/>
  <c r="V107" i="8"/>
  <c r="U107" i="8"/>
  <c r="T107" i="8"/>
  <c r="V106" i="8"/>
  <c r="U106" i="8"/>
  <c r="T106" i="8"/>
  <c r="V105" i="8"/>
  <c r="U105" i="8"/>
  <c r="T105" i="8"/>
  <c r="V104" i="8"/>
  <c r="U104" i="8"/>
  <c r="T104" i="8"/>
  <c r="V103" i="8"/>
  <c r="U103" i="8"/>
  <c r="T103" i="8"/>
  <c r="V102" i="8"/>
  <c r="U102" i="8"/>
  <c r="T102" i="8"/>
  <c r="V101" i="8"/>
  <c r="U101" i="8"/>
  <c r="T101" i="8"/>
  <c r="V100" i="8"/>
  <c r="U100" i="8"/>
  <c r="T100" i="8"/>
  <c r="V99" i="8"/>
  <c r="U99" i="8"/>
  <c r="T99" i="8"/>
  <c r="V93" i="8"/>
  <c r="V92" i="8"/>
  <c r="V91" i="8"/>
  <c r="V90" i="8"/>
  <c r="V89" i="8"/>
  <c r="V88" i="8"/>
  <c r="V87" i="8"/>
  <c r="V86" i="8"/>
  <c r="V85" i="8"/>
  <c r="V84" i="8"/>
  <c r="V83" i="8"/>
  <c r="U93" i="8"/>
  <c r="U92" i="8"/>
  <c r="U91" i="8"/>
  <c r="U90" i="8"/>
  <c r="U89" i="8"/>
  <c r="U88" i="8"/>
  <c r="U87" i="8"/>
  <c r="U86" i="8"/>
  <c r="U85" i="8"/>
  <c r="U84" i="8"/>
  <c r="U83" i="8"/>
  <c r="T93" i="8"/>
  <c r="T92" i="8"/>
  <c r="T91" i="8"/>
  <c r="T90" i="8"/>
  <c r="T89" i="8"/>
  <c r="T88" i="8"/>
  <c r="T87" i="8"/>
  <c r="T86" i="8"/>
  <c r="T85" i="8"/>
  <c r="T84" i="8"/>
  <c r="T83" i="8"/>
  <c r="V82" i="8"/>
  <c r="U82" i="8"/>
  <c r="T82" i="8"/>
  <c r="P93" i="8"/>
  <c r="P92" i="8"/>
  <c r="P91" i="8"/>
  <c r="P90" i="8"/>
  <c r="P89" i="8"/>
  <c r="P88" i="8"/>
  <c r="P87" i="8"/>
  <c r="P86" i="8"/>
  <c r="P85" i="8"/>
  <c r="P84" i="8"/>
  <c r="P83" i="8"/>
  <c r="P82" i="8"/>
  <c r="O93" i="8"/>
  <c r="O92" i="8"/>
  <c r="O91" i="8"/>
  <c r="O90" i="8"/>
  <c r="O89" i="8"/>
  <c r="O88" i="8"/>
  <c r="O87" i="8"/>
  <c r="O86" i="8"/>
  <c r="O85" i="8"/>
  <c r="O84" i="8"/>
  <c r="O83" i="8"/>
  <c r="O82" i="8"/>
  <c r="N93" i="8"/>
  <c r="N92" i="8"/>
  <c r="N91" i="8"/>
  <c r="N90" i="8"/>
  <c r="N89" i="8"/>
  <c r="N88" i="8"/>
  <c r="N87" i="8"/>
  <c r="N86" i="8"/>
  <c r="N85" i="8"/>
  <c r="N84" i="8"/>
  <c r="N83" i="8"/>
  <c r="N82" i="8"/>
  <c r="J110" i="8"/>
  <c r="I110" i="8"/>
  <c r="H110" i="8"/>
  <c r="J109" i="8"/>
  <c r="I109" i="8"/>
  <c r="H109" i="8"/>
  <c r="J108" i="8"/>
  <c r="I108" i="8"/>
  <c r="H108" i="8"/>
  <c r="J107" i="8"/>
  <c r="I107" i="8"/>
  <c r="H107" i="8"/>
  <c r="J106" i="8"/>
  <c r="I106" i="8"/>
  <c r="H106" i="8"/>
  <c r="J105" i="8"/>
  <c r="I105" i="8"/>
  <c r="H105" i="8"/>
  <c r="J104" i="8"/>
  <c r="I104" i="8"/>
  <c r="H104" i="8"/>
  <c r="J103" i="8"/>
  <c r="I103" i="8"/>
  <c r="H103" i="8"/>
  <c r="J102" i="8"/>
  <c r="I102" i="8"/>
  <c r="H102" i="8"/>
  <c r="J101" i="8"/>
  <c r="I101" i="8"/>
  <c r="H101" i="8"/>
  <c r="J100" i="8"/>
  <c r="I100" i="8"/>
  <c r="H100" i="8"/>
  <c r="J99" i="8"/>
  <c r="I99" i="8"/>
  <c r="H99" i="8"/>
  <c r="J93" i="8"/>
  <c r="J92" i="8"/>
  <c r="J91" i="8"/>
  <c r="J90" i="8"/>
  <c r="J89" i="8"/>
  <c r="J88" i="8"/>
  <c r="J87" i="8"/>
  <c r="J86" i="8"/>
  <c r="J85" i="8"/>
  <c r="J84" i="8"/>
  <c r="J83" i="8"/>
  <c r="J82" i="8"/>
  <c r="I93" i="8"/>
  <c r="I92" i="8"/>
  <c r="I91" i="8"/>
  <c r="I90" i="8"/>
  <c r="I89" i="8"/>
  <c r="I88" i="8"/>
  <c r="I87" i="8"/>
  <c r="I86" i="8"/>
  <c r="I85" i="8"/>
  <c r="I84" i="8"/>
  <c r="I83" i="8"/>
  <c r="I82" i="8"/>
  <c r="H93" i="8"/>
  <c r="H92" i="8"/>
  <c r="H91" i="8"/>
  <c r="H90" i="8"/>
  <c r="H89" i="8"/>
  <c r="H88" i="8"/>
  <c r="H87" i="8"/>
  <c r="H86" i="8"/>
  <c r="H85" i="8"/>
  <c r="H84" i="8"/>
  <c r="H83" i="8"/>
  <c r="H82" i="8"/>
  <c r="J114" i="3"/>
  <c r="I114" i="3"/>
  <c r="H114" i="3"/>
  <c r="J113" i="3"/>
  <c r="I113" i="3"/>
  <c r="H113" i="3"/>
  <c r="J112" i="3"/>
  <c r="I112" i="3"/>
  <c r="H112" i="3"/>
  <c r="J111" i="3"/>
  <c r="I111" i="3"/>
  <c r="H111" i="3"/>
  <c r="J110" i="3"/>
  <c r="I110" i="3"/>
  <c r="H110" i="3"/>
  <c r="J109" i="3"/>
  <c r="I109" i="3"/>
  <c r="H109" i="3"/>
  <c r="J108" i="3"/>
  <c r="I108" i="3"/>
  <c r="H108" i="3"/>
  <c r="J107" i="3"/>
  <c r="I107" i="3"/>
  <c r="H107" i="3"/>
  <c r="J106" i="3"/>
  <c r="I106" i="3"/>
  <c r="H106" i="3"/>
  <c r="J105" i="3"/>
  <c r="I105" i="3"/>
  <c r="H105" i="3"/>
  <c r="J104" i="3"/>
  <c r="I104" i="3"/>
  <c r="H104" i="3"/>
  <c r="J103" i="3"/>
  <c r="I103" i="3"/>
  <c r="H103" i="3"/>
  <c r="P114" i="3"/>
  <c r="O114" i="3"/>
  <c r="N114" i="3"/>
  <c r="P113" i="3"/>
  <c r="O113" i="3"/>
  <c r="N113" i="3"/>
  <c r="P112" i="3"/>
  <c r="O112" i="3"/>
  <c r="N112" i="3"/>
  <c r="P111" i="3"/>
  <c r="O111" i="3"/>
  <c r="N111" i="3"/>
  <c r="P110" i="3"/>
  <c r="O110" i="3"/>
  <c r="N110" i="3"/>
  <c r="P109" i="3"/>
  <c r="O109" i="3"/>
  <c r="N109" i="3"/>
  <c r="P108" i="3"/>
  <c r="O108" i="3"/>
  <c r="N108" i="3"/>
  <c r="P107" i="3"/>
  <c r="O107" i="3"/>
  <c r="N107" i="3"/>
  <c r="P106" i="3"/>
  <c r="O106" i="3"/>
  <c r="N106" i="3"/>
  <c r="P105" i="3"/>
  <c r="O105" i="3"/>
  <c r="N105" i="3"/>
  <c r="P104" i="3"/>
  <c r="O104" i="3"/>
  <c r="N104" i="3"/>
  <c r="P103" i="3"/>
  <c r="O103" i="3"/>
  <c r="N103" i="3"/>
  <c r="V114" i="3"/>
  <c r="U114" i="3"/>
  <c r="T114" i="3"/>
  <c r="V113" i="3"/>
  <c r="U113" i="3"/>
  <c r="T113" i="3"/>
  <c r="V112" i="3"/>
  <c r="U112" i="3"/>
  <c r="T112" i="3"/>
  <c r="V111" i="3"/>
  <c r="U111" i="3"/>
  <c r="T111" i="3"/>
  <c r="V110" i="3"/>
  <c r="U110" i="3"/>
  <c r="T110" i="3"/>
  <c r="V109" i="3"/>
  <c r="U109" i="3"/>
  <c r="T109" i="3"/>
  <c r="V108" i="3"/>
  <c r="U108" i="3"/>
  <c r="T108" i="3"/>
  <c r="V107" i="3"/>
  <c r="U107" i="3"/>
  <c r="T107" i="3"/>
  <c r="V106" i="3"/>
  <c r="U106" i="3"/>
  <c r="T106" i="3"/>
  <c r="V105" i="3"/>
  <c r="U105" i="3"/>
  <c r="T105" i="3"/>
  <c r="V104" i="3"/>
  <c r="U104" i="3"/>
  <c r="T104" i="3"/>
  <c r="V103" i="3"/>
  <c r="U103" i="3"/>
  <c r="T103" i="3"/>
  <c r="V97" i="3"/>
  <c r="U97" i="3"/>
  <c r="T97" i="3"/>
  <c r="V93" i="3"/>
  <c r="U93" i="3"/>
  <c r="T93" i="3"/>
  <c r="T89" i="3"/>
  <c r="V89" i="3"/>
  <c r="U89" i="3"/>
  <c r="P97" i="3"/>
  <c r="O97" i="3"/>
  <c r="N97" i="3"/>
  <c r="P93" i="3"/>
  <c r="O93" i="3"/>
  <c r="N93" i="3"/>
  <c r="P89" i="3"/>
  <c r="O89" i="3"/>
  <c r="N89" i="3"/>
  <c r="J97" i="3"/>
  <c r="I97" i="3"/>
  <c r="H97" i="3"/>
  <c r="J93" i="3"/>
  <c r="I93" i="3"/>
  <c r="H93" i="3"/>
  <c r="J89" i="3"/>
  <c r="I89" i="3"/>
  <c r="H89" i="3"/>
  <c r="V96" i="3"/>
  <c r="U96" i="3"/>
  <c r="T96" i="3"/>
  <c r="V92" i="3"/>
  <c r="U92" i="3"/>
  <c r="T92" i="3"/>
  <c r="V88" i="3"/>
  <c r="U88" i="3"/>
  <c r="T88" i="3"/>
  <c r="P96" i="3"/>
  <c r="O96" i="3"/>
  <c r="N96" i="3"/>
  <c r="P92" i="3"/>
  <c r="O92" i="3"/>
  <c r="N92" i="3"/>
  <c r="P88" i="3"/>
  <c r="O88" i="3"/>
  <c r="N88" i="3"/>
  <c r="J96" i="3"/>
  <c r="I96" i="3"/>
  <c r="H96" i="3"/>
  <c r="J92" i="3"/>
  <c r="I92" i="3"/>
  <c r="H92" i="3"/>
  <c r="J88" i="3"/>
  <c r="I88" i="3"/>
  <c r="H88" i="3"/>
  <c r="V95" i="3"/>
  <c r="U95" i="3"/>
  <c r="T95" i="3"/>
  <c r="V91" i="3"/>
  <c r="U91" i="3"/>
  <c r="T91" i="3"/>
  <c r="V87" i="3"/>
  <c r="U87" i="3"/>
  <c r="T87" i="3"/>
  <c r="P95" i="3"/>
  <c r="O95" i="3"/>
  <c r="N95" i="3"/>
  <c r="P91" i="3"/>
  <c r="O91" i="3"/>
  <c r="N91" i="3"/>
  <c r="P87" i="3"/>
  <c r="O87" i="3"/>
  <c r="N87" i="3"/>
  <c r="J95" i="3"/>
  <c r="I95" i="3"/>
  <c r="H95" i="3"/>
  <c r="J91" i="3"/>
  <c r="I91" i="3"/>
  <c r="H91" i="3"/>
  <c r="J87" i="3"/>
  <c r="I87" i="3"/>
  <c r="H87" i="3"/>
  <c r="V94" i="3"/>
  <c r="U94" i="3"/>
  <c r="T94" i="3"/>
  <c r="V90" i="3"/>
  <c r="U90" i="3"/>
  <c r="T90" i="3"/>
  <c r="P94" i="3"/>
  <c r="O94" i="3"/>
  <c r="N94" i="3"/>
  <c r="P90" i="3"/>
  <c r="O90" i="3"/>
  <c r="N90" i="3"/>
  <c r="J94" i="3"/>
  <c r="I94" i="3"/>
  <c r="H94" i="3"/>
  <c r="J90" i="3"/>
  <c r="I90" i="3"/>
  <c r="H90" i="3"/>
  <c r="V86" i="3"/>
  <c r="U86" i="3"/>
  <c r="T86" i="3"/>
  <c r="P86" i="3"/>
  <c r="O86" i="3"/>
  <c r="N86" i="3"/>
  <c r="J86" i="3"/>
  <c r="I86" i="3"/>
  <c r="H86" i="3"/>
  <c r="B61" i="9"/>
  <c r="B72" i="8"/>
  <c r="B75" i="7"/>
  <c r="B75" i="6"/>
  <c r="B72" i="3"/>
</calcChain>
</file>

<file path=xl/sharedStrings.xml><?xml version="1.0" encoding="utf-8"?>
<sst xmlns="http://schemas.openxmlformats.org/spreadsheetml/2006/main" count="4292" uniqueCount="48">
  <si>
    <t>IL1 cache_Associativity 1-way</t>
    <phoneticPr fontId="1" type="noConversion"/>
  </si>
  <si>
    <t>IL1 cache_Associativity 2-way</t>
    <phoneticPr fontId="1" type="noConversion"/>
  </si>
  <si>
    <t>IL1 cache_Associativity 4-way</t>
    <phoneticPr fontId="1" type="noConversion"/>
  </si>
  <si>
    <t>IL1 cache_Associativity 8-way</t>
    <phoneticPr fontId="1" type="noConversion"/>
  </si>
  <si>
    <t>DL1 cache_Associativity 2-way</t>
    <phoneticPr fontId="1" type="noConversion"/>
  </si>
  <si>
    <t>DL1 cache_Associativity 4-way</t>
    <phoneticPr fontId="1" type="noConversion"/>
  </si>
  <si>
    <t>DL1 cache_Associativity 8-way</t>
    <phoneticPr fontId="1" type="noConversion"/>
  </si>
  <si>
    <t>Block Size
=64bytes</t>
    <phoneticPr fontId="1" type="noConversion"/>
  </si>
  <si>
    <t>Block Size
=128bytes</t>
    <phoneticPr fontId="1" type="noConversion"/>
  </si>
  <si>
    <t>L2 cache_Associativity 1-way</t>
    <phoneticPr fontId="1" type="noConversion"/>
  </si>
  <si>
    <t>L2 cache_Associativity 2-way</t>
    <phoneticPr fontId="1" type="noConversion"/>
  </si>
  <si>
    <t>L2 cache_Associativity 4-way</t>
    <phoneticPr fontId="1" type="noConversion"/>
  </si>
  <si>
    <t>L2 cache_Associativity 8-way</t>
    <phoneticPr fontId="1" type="noConversion"/>
  </si>
  <si>
    <t>128KB/128KB</t>
    <phoneticPr fontId="1" type="noConversion"/>
  </si>
  <si>
    <t>128KB/256KB</t>
    <phoneticPr fontId="1" type="noConversion"/>
  </si>
  <si>
    <t>256KB/256KB</t>
    <phoneticPr fontId="1" type="noConversion"/>
  </si>
  <si>
    <t>64KB/256KB</t>
    <phoneticPr fontId="1" type="noConversion"/>
  </si>
  <si>
    <t>L2 1MB</t>
    <phoneticPr fontId="1" type="noConversion"/>
  </si>
  <si>
    <t>L2 4MB</t>
    <phoneticPr fontId="1" type="noConversion"/>
  </si>
  <si>
    <t>32KB/256KB</t>
    <phoneticPr fontId="1" type="noConversion"/>
  </si>
  <si>
    <t>256KB/128KB</t>
    <phoneticPr fontId="1" type="noConversion"/>
  </si>
  <si>
    <t>64KB</t>
    <phoneticPr fontId="1" type="noConversion"/>
  </si>
  <si>
    <t>128KB</t>
    <phoneticPr fontId="1" type="noConversion"/>
  </si>
  <si>
    <t>256KB</t>
    <phoneticPr fontId="1" type="noConversion"/>
  </si>
  <si>
    <t>IL1 cache</t>
  </si>
  <si>
    <t>DL1 cache</t>
  </si>
  <si>
    <t>Block Size
=64bytes</t>
  </si>
  <si>
    <t>Block Size
=128bytes</t>
  </si>
  <si>
    <t>L2 cache_Associativity 8-way</t>
  </si>
  <si>
    <t>L2 cache_Associativity 4-way</t>
  </si>
  <si>
    <t>Associativity 8-way</t>
  </si>
  <si>
    <t>Associativity 2-way</t>
  </si>
  <si>
    <t>Associativity 2-way</t>
    <phoneticPr fontId="1" type="noConversion"/>
  </si>
  <si>
    <t>Associativity 4-way</t>
    <phoneticPr fontId="1" type="noConversion"/>
  </si>
  <si>
    <t>Associativity 1-way</t>
    <phoneticPr fontId="1" type="noConversion"/>
  </si>
  <si>
    <t>IL1 cache</t>
    <phoneticPr fontId="1" type="noConversion"/>
  </si>
  <si>
    <t>Block Size=64bytes</t>
  </si>
  <si>
    <t>Block Size=64bytes</t>
    <phoneticPr fontId="1" type="noConversion"/>
  </si>
  <si>
    <t>Block Size=128bytes</t>
    <phoneticPr fontId="1" type="noConversion"/>
  </si>
  <si>
    <t>L2 cache_Associativity 1-way</t>
  </si>
  <si>
    <t>32KB</t>
    <phoneticPr fontId="1" type="noConversion"/>
  </si>
  <si>
    <t>Associativity 8-way</t>
    <phoneticPr fontId="1" type="noConversion"/>
  </si>
  <si>
    <t>CPI min</t>
    <phoneticPr fontId="1" type="noConversion"/>
  </si>
  <si>
    <t>CPI</t>
    <phoneticPr fontId="1" type="noConversion"/>
  </si>
  <si>
    <t>Cost</t>
    <phoneticPr fontId="1" type="noConversion"/>
  </si>
  <si>
    <t>cost</t>
    <phoneticPr fontId="1" type="noConversion"/>
  </si>
  <si>
    <t>32KB/128KB</t>
    <phoneticPr fontId="1" type="noConversion"/>
  </si>
  <si>
    <t>64KB/128KB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</si>
</sst>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401.bzip2 Total cost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('401.bzip2'!$H$86:$H$97,'401.bzip2'!$H$103:$H$114,'401.bzip2'!$H$122:$H$133,'401.bzip2'!$H$139:$H$150)</c:f>
              <c:numCache>
                <c:formatCode>General</c:formatCode>
                <c:ptCount val="48"/>
                <c:pt idx="0">
                  <c:v>1553.3087031</c:v>
                </c:pt>
                <c:pt idx="1">
                  <c:v>1849.6116518000001</c:v>
                </c:pt>
                <c:pt idx="2">
                  <c:v>1865.3195124000001</c:v>
                </c:pt>
                <c:pt idx="3">
                  <c:v>2442.2249860000002</c:v>
                </c:pt>
                <c:pt idx="4">
                  <c:v>1575.6022557000001</c:v>
                </c:pt>
                <c:pt idx="5">
                  <c:v>1871.7451151999999</c:v>
                </c:pt>
                <c:pt idx="6">
                  <c:v>1886.0963707000001</c:v>
                </c:pt>
                <c:pt idx="7">
                  <c:v>2464.0370370000001</c:v>
                </c:pt>
                <c:pt idx="8">
                  <c:v>1621.7817259999999</c:v>
                </c:pt>
                <c:pt idx="9">
                  <c:v>1917.9065049000001</c:v>
                </c:pt>
                <c:pt idx="10">
                  <c:v>1930.5179161000001</c:v>
                </c:pt>
                <c:pt idx="11">
                  <c:v>2510.1638834999999</c:v>
                </c:pt>
                <c:pt idx="12">
                  <c:v>1492.4364553999999</c:v>
                </c:pt>
                <c:pt idx="13">
                  <c:v>1777.1281296</c:v>
                </c:pt>
                <c:pt idx="14">
                  <c:v>1794.6102495999999</c:v>
                </c:pt>
                <c:pt idx="15">
                  <c:v>2346.5198170000003</c:v>
                </c:pt>
                <c:pt idx="16">
                  <c:v>1513.2984509999999</c:v>
                </c:pt>
                <c:pt idx="17">
                  <c:v>1797.7311614</c:v>
                </c:pt>
                <c:pt idx="18">
                  <c:v>1813.9731308</c:v>
                </c:pt>
                <c:pt idx="19">
                  <c:v>2366.6042339999999</c:v>
                </c:pt>
                <c:pt idx="20">
                  <c:v>1557.5134852000001</c:v>
                </c:pt>
                <c:pt idx="21">
                  <c:v>1841.9043652</c:v>
                </c:pt>
                <c:pt idx="22">
                  <c:v>1856.0941924000001</c:v>
                </c:pt>
                <c:pt idx="23">
                  <c:v>2410.6940129999998</c:v>
                </c:pt>
                <c:pt idx="24">
                  <c:v>1500.0328993999999</c:v>
                </c:pt>
                <c:pt idx="25">
                  <c:v>1784.8888543999999</c:v>
                </c:pt>
                <c:pt idx="26">
                  <c:v>1798.9201651999999</c:v>
                </c:pt>
                <c:pt idx="27">
                  <c:v>2354.6247056000002</c:v>
                </c:pt>
                <c:pt idx="28">
                  <c:v>1522.0249667999999</c:v>
                </c:pt>
                <c:pt idx="29">
                  <c:v>1806.8313816</c:v>
                </c:pt>
                <c:pt idx="30">
                  <c:v>1819.1002956</c:v>
                </c:pt>
                <c:pt idx="31">
                  <c:v>2376.4685304</c:v>
                </c:pt>
                <c:pt idx="32">
                  <c:v>1566.7541119999999</c:v>
                </c:pt>
                <c:pt idx="33">
                  <c:v>1851.6011071999999</c:v>
                </c:pt>
                <c:pt idx="34">
                  <c:v>1861.8112447999999</c:v>
                </c:pt>
                <c:pt idx="35">
                  <c:v>2421.3201728000004</c:v>
                </c:pt>
                <c:pt idx="36">
                  <c:v>1448.6192358000001</c:v>
                </c:pt>
                <c:pt idx="37">
                  <c:v>1723.7142192000001</c:v>
                </c:pt>
                <c:pt idx="38">
                  <c:v>1739.4489780000001</c:v>
                </c:pt>
                <c:pt idx="39">
                  <c:v>2273.9240627999998</c:v>
                </c:pt>
                <c:pt idx="40">
                  <c:v>1469.5765991999999</c:v>
                </c:pt>
                <c:pt idx="41">
                  <c:v>1744.5712004</c:v>
                </c:pt>
                <c:pt idx="42">
                  <c:v>1758.4020776000002</c:v>
                </c:pt>
                <c:pt idx="43">
                  <c:v>2294.5805915999999</c:v>
                </c:pt>
                <c:pt idx="44">
                  <c:v>1512.6566399999999</c:v>
                </c:pt>
                <c:pt idx="45">
                  <c:v>1787.6708928</c:v>
                </c:pt>
                <c:pt idx="46">
                  <c:v>1799.2151424000001</c:v>
                </c:pt>
                <c:pt idx="47">
                  <c:v>2337.7202112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A-4C50-8CDA-7C84504F11EB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('401.bzip2'!$I$86:$I$97,'401.bzip2'!$I$103:$I$114,'401.bzip2'!$I$122:$I$133,'401.bzip2'!$I$139:$I$150)</c:f>
              <c:numCache>
                <c:formatCode>General</c:formatCode>
                <c:ptCount val="48"/>
                <c:pt idx="0">
                  <c:v>1576.4559573000001</c:v>
                </c:pt>
                <c:pt idx="1">
                  <c:v>1872.7591158000002</c:v>
                </c:pt>
                <c:pt idx="2">
                  <c:v>1888.6651884000003</c:v>
                </c:pt>
                <c:pt idx="3">
                  <c:v>2465.3740379999999</c:v>
                </c:pt>
                <c:pt idx="4">
                  <c:v>1598.7376088999999</c:v>
                </c:pt>
                <c:pt idx="5">
                  <c:v>1894.8800051999999</c:v>
                </c:pt>
                <c:pt idx="6">
                  <c:v>1909.4102937</c:v>
                </c:pt>
                <c:pt idx="7">
                  <c:v>2487.1735349999999</c:v>
                </c:pt>
                <c:pt idx="8">
                  <c:v>1644.9149952</c:v>
                </c:pt>
                <c:pt idx="9">
                  <c:v>1941.0400079000001</c:v>
                </c:pt>
                <c:pt idx="10">
                  <c:v>1953.8052251000001</c:v>
                </c:pt>
                <c:pt idx="11">
                  <c:v>2533.2990344999998</c:v>
                </c:pt>
                <c:pt idx="12">
                  <c:v>1514.6764544999999</c:v>
                </c:pt>
                <c:pt idx="13">
                  <c:v>1799.3700335999999</c:v>
                </c:pt>
                <c:pt idx="14">
                  <c:v>1817.0709535999999</c:v>
                </c:pt>
                <c:pt idx="15">
                  <c:v>2368.7617110000001</c:v>
                </c:pt>
                <c:pt idx="16">
                  <c:v>1535.5178807</c:v>
                </c:pt>
                <c:pt idx="17">
                  <c:v>1819.9528074000002</c:v>
                </c:pt>
                <c:pt idx="18">
                  <c:v>1836.3955427999999</c:v>
                </c:pt>
                <c:pt idx="19">
                  <c:v>2388.8258700000001</c:v>
                </c:pt>
                <c:pt idx="20">
                  <c:v>1579.7295908999999</c:v>
                </c:pt>
                <c:pt idx="21">
                  <c:v>1864.1227532</c:v>
                </c:pt>
                <c:pt idx="22">
                  <c:v>1878.4837484000002</c:v>
                </c:pt>
                <c:pt idx="23">
                  <c:v>2432.9123909999998</c:v>
                </c:pt>
                <c:pt idx="24">
                  <c:v>1522.2805092000001</c:v>
                </c:pt>
                <c:pt idx="25">
                  <c:v>1807.1418904</c:v>
                </c:pt>
                <c:pt idx="26">
                  <c:v>1821.3505911999998</c:v>
                </c:pt>
                <c:pt idx="27">
                  <c:v>2376.8801376000001</c:v>
                </c:pt>
                <c:pt idx="28">
                  <c:v>1544.2686046000001</c:v>
                </c:pt>
                <c:pt idx="29">
                  <c:v>1829.0805336000001</c:v>
                </c:pt>
                <c:pt idx="30">
                  <c:v>1841.5030085999999</c:v>
                </c:pt>
                <c:pt idx="31">
                  <c:v>2398.7201083999998</c:v>
                </c:pt>
                <c:pt idx="32">
                  <c:v>1589.0007168</c:v>
                </c:pt>
                <c:pt idx="33">
                  <c:v>1873.8534021999999</c:v>
                </c:pt>
                <c:pt idx="34">
                  <c:v>1884.1887838</c:v>
                </c:pt>
                <c:pt idx="35">
                  <c:v>2443.5749538</c:v>
                </c:pt>
                <c:pt idx="36">
                  <c:v>1470.1059467999999</c:v>
                </c:pt>
                <c:pt idx="37">
                  <c:v>1745.2052911999999</c:v>
                </c:pt>
                <c:pt idx="38">
                  <c:v>1761.137868</c:v>
                </c:pt>
                <c:pt idx="39">
                  <c:v>2295.4167287999999</c:v>
                </c:pt>
                <c:pt idx="40">
                  <c:v>1491.0553912</c:v>
                </c:pt>
                <c:pt idx="41">
                  <c:v>1766.0544234000001</c:v>
                </c:pt>
                <c:pt idx="42">
                  <c:v>1780.0572756000001</c:v>
                </c:pt>
                <c:pt idx="43">
                  <c:v>2316.0654285999999</c:v>
                </c:pt>
                <c:pt idx="44">
                  <c:v>1534.136814</c:v>
                </c:pt>
                <c:pt idx="45">
                  <c:v>1809.1556378000002</c:v>
                </c:pt>
                <c:pt idx="46">
                  <c:v>1820.8403244000001</c:v>
                </c:pt>
                <c:pt idx="47">
                  <c:v>2359.2066101999999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A-4C50-8CDA-7C84504F11EB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('401.bzip2'!$J$86:$J$97,'401.bzip2'!$J$103:$J$114,'401.bzip2'!$J$122:$J$133,'401.bzip2'!$J$139:$J$150)</c:f>
              <c:numCache>
                <c:formatCode>General</c:formatCode>
                <c:ptCount val="48"/>
                <c:pt idx="0">
                  <c:v>1622.7499472</c:v>
                </c:pt>
                <c:pt idx="1">
                  <c:v>1919.0564108000001</c:v>
                </c:pt>
                <c:pt idx="2">
                  <c:v>1935.3565404000001</c:v>
                </c:pt>
                <c:pt idx="3">
                  <c:v>2511.6721419999999</c:v>
                </c:pt>
                <c:pt idx="4">
                  <c:v>1645.0064298000002</c:v>
                </c:pt>
                <c:pt idx="5">
                  <c:v>1941.1521822</c:v>
                </c:pt>
                <c:pt idx="6">
                  <c:v>1956.0381397000001</c:v>
                </c:pt>
                <c:pt idx="7">
                  <c:v>2533.446531</c:v>
                </c:pt>
                <c:pt idx="8">
                  <c:v>1691.1810000999999</c:v>
                </c:pt>
                <c:pt idx="9">
                  <c:v>1987.3094709</c:v>
                </c:pt>
                <c:pt idx="10">
                  <c:v>2000.3798431</c:v>
                </c:pt>
                <c:pt idx="11">
                  <c:v>2579.5693365000002</c:v>
                </c:pt>
                <c:pt idx="12">
                  <c:v>1559.1581714000001</c:v>
                </c:pt>
                <c:pt idx="13">
                  <c:v>1843.8530126000001</c:v>
                </c:pt>
                <c:pt idx="14">
                  <c:v>1861.9923615999999</c:v>
                </c:pt>
                <c:pt idx="15">
                  <c:v>2413.2454990000001</c:v>
                </c:pt>
                <c:pt idx="16">
                  <c:v>1579.9597415999999</c:v>
                </c:pt>
                <c:pt idx="17">
                  <c:v>1864.3952604000001</c:v>
                </c:pt>
                <c:pt idx="18">
                  <c:v>1881.2403667999999</c:v>
                </c:pt>
                <c:pt idx="19">
                  <c:v>2433.2691420000001</c:v>
                </c:pt>
                <c:pt idx="20">
                  <c:v>1624.1648938000001</c:v>
                </c:pt>
                <c:pt idx="21">
                  <c:v>1908.5586701999998</c:v>
                </c:pt>
                <c:pt idx="22">
                  <c:v>1923.2628604000001</c:v>
                </c:pt>
                <c:pt idx="23">
                  <c:v>2477.3491469999999</c:v>
                </c:pt>
                <c:pt idx="24">
                  <c:v>1566.7859328</c:v>
                </c:pt>
                <c:pt idx="25">
                  <c:v>1851.6519424000001</c:v>
                </c:pt>
                <c:pt idx="26">
                  <c:v>1866.2114431999998</c:v>
                </c:pt>
                <c:pt idx="27">
                  <c:v>2421.3910016</c:v>
                </c:pt>
                <c:pt idx="28">
                  <c:v>1588.7662392</c:v>
                </c:pt>
                <c:pt idx="29">
                  <c:v>1873.5828675999999</c:v>
                </c:pt>
                <c:pt idx="30">
                  <c:v>1886.3084345999998</c:v>
                </c:pt>
                <c:pt idx="31">
                  <c:v>2443.2232644000001</c:v>
                </c:pt>
                <c:pt idx="32">
                  <c:v>1633.5045954</c:v>
                </c:pt>
                <c:pt idx="33">
                  <c:v>1918.3621222000002</c:v>
                </c:pt>
                <c:pt idx="34">
                  <c:v>1928.9438617999999</c:v>
                </c:pt>
                <c:pt idx="35">
                  <c:v>2488.0845158000002</c:v>
                </c:pt>
                <c:pt idx="36">
                  <c:v>1513.0865024</c:v>
                </c:pt>
                <c:pt idx="37">
                  <c:v>1788.1898111999999</c:v>
                </c:pt>
                <c:pt idx="38">
                  <c:v>1804.5156480000001</c:v>
                </c:pt>
                <c:pt idx="39">
                  <c:v>2338.4020607999996</c:v>
                </c:pt>
                <c:pt idx="40">
                  <c:v>1534.0202178</c:v>
                </c:pt>
                <c:pt idx="41">
                  <c:v>1809.0232753999999</c:v>
                </c:pt>
                <c:pt idx="42">
                  <c:v>1823.3676716000002</c:v>
                </c:pt>
                <c:pt idx="43">
                  <c:v>2359.0351025999998</c:v>
                </c:pt>
                <c:pt idx="44">
                  <c:v>1577.1046226000001</c:v>
                </c:pt>
                <c:pt idx="45">
                  <c:v>1852.1275938000001</c:v>
                </c:pt>
                <c:pt idx="46">
                  <c:v>1864.0906884000001</c:v>
                </c:pt>
                <c:pt idx="47">
                  <c:v>2402.1794082000001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A-4C50-8CDA-7C84504F11EB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('401.bzip2'!$N$86:$N$97,'401.bzip2'!$N$103:$N$114,'401.bzip2'!$N$122:$N$133,'401.bzip2'!$N$139:$N$150)</c:f>
              <c:numCache>
                <c:formatCode>General</c:formatCode>
                <c:ptCount val="48"/>
                <c:pt idx="0">
                  <c:v>1570.1170731000002</c:v>
                </c:pt>
                <c:pt idx="1">
                  <c:v>1865.2281348000001</c:v>
                </c:pt>
                <c:pt idx="2">
                  <c:v>1879.4587683999998</c:v>
                </c:pt>
                <c:pt idx="3">
                  <c:v>2455.4588880000001</c:v>
                </c:pt>
                <c:pt idx="4">
                  <c:v>1592.5944807000001</c:v>
                </c:pt>
                <c:pt idx="5">
                  <c:v>1887.5990952</c:v>
                </c:pt>
                <c:pt idx="6">
                  <c:v>1900.3685337000002</c:v>
                </c:pt>
                <c:pt idx="7">
                  <c:v>2477.6146349999999</c:v>
                </c:pt>
                <c:pt idx="8">
                  <c:v>1638.7341300000001</c:v>
                </c:pt>
                <c:pt idx="9">
                  <c:v>1933.7465809</c:v>
                </c:pt>
                <c:pt idx="10">
                  <c:v>1944.6307601000001</c:v>
                </c:pt>
                <c:pt idx="11">
                  <c:v>2523.7780095000003</c:v>
                </c:pt>
                <c:pt idx="12">
                  <c:v>1508.1132488999999</c:v>
                </c:pt>
                <c:pt idx="13">
                  <c:v>1791.5707881999999</c:v>
                </c:pt>
                <c:pt idx="14">
                  <c:v>1807.5708666</c:v>
                </c:pt>
                <c:pt idx="15">
                  <c:v>2358.4944720000003</c:v>
                </c:pt>
                <c:pt idx="16">
                  <c:v>1529.3834591</c:v>
                </c:pt>
                <c:pt idx="17">
                  <c:v>1812.6787770000001</c:v>
                </c:pt>
                <c:pt idx="18">
                  <c:v>1827.1146348000002</c:v>
                </c:pt>
                <c:pt idx="19">
                  <c:v>2379.2781500000001</c:v>
                </c:pt>
                <c:pt idx="20">
                  <c:v>1573.5237695999999</c:v>
                </c:pt>
                <c:pt idx="21">
                  <c:v>1856.7963534999999</c:v>
                </c:pt>
                <c:pt idx="22">
                  <c:v>1869.1876284</c:v>
                </c:pt>
                <c:pt idx="23">
                  <c:v>2423.3505225000004</c:v>
                </c:pt>
                <c:pt idx="24">
                  <c:v>1522.4753123999999</c:v>
                </c:pt>
                <c:pt idx="25">
                  <c:v>1807.3643784000001</c:v>
                </c:pt>
                <c:pt idx="26">
                  <c:v>1821.5414111999999</c:v>
                </c:pt>
                <c:pt idx="27">
                  <c:v>2377.1695655999997</c:v>
                </c:pt>
                <c:pt idx="28">
                  <c:v>1544.4412717999999</c:v>
                </c:pt>
                <c:pt idx="29">
                  <c:v>1829.2761696</c:v>
                </c:pt>
                <c:pt idx="30">
                  <c:v>1841.6970005999999</c:v>
                </c:pt>
                <c:pt idx="31">
                  <c:v>2398.9734383999998</c:v>
                </c:pt>
                <c:pt idx="32">
                  <c:v>1589.1783600000001</c:v>
                </c:pt>
                <c:pt idx="33">
                  <c:v>1874.0537981999998</c:v>
                </c:pt>
                <c:pt idx="34">
                  <c:v>1884.3883377999998</c:v>
                </c:pt>
                <c:pt idx="35">
                  <c:v>2443.8329838</c:v>
                </c:pt>
                <c:pt idx="36">
                  <c:v>1470.1943880000001</c:v>
                </c:pt>
                <c:pt idx="37">
                  <c:v>1745.3029747999999</c:v>
                </c:pt>
                <c:pt idx="38">
                  <c:v>1761.2330344000002</c:v>
                </c:pt>
                <c:pt idx="39">
                  <c:v>2295.5430732</c:v>
                </c:pt>
                <c:pt idx="40">
                  <c:v>1491.1451254000001</c:v>
                </c:pt>
                <c:pt idx="41">
                  <c:v>1766.1533099999999</c:v>
                </c:pt>
                <c:pt idx="42">
                  <c:v>1780.1536139999998</c:v>
                </c:pt>
                <c:pt idx="43">
                  <c:v>2316.1929559999999</c:v>
                </c:pt>
                <c:pt idx="44">
                  <c:v>1534.2291341999999</c:v>
                </c:pt>
                <c:pt idx="45">
                  <c:v>1809.2569304000001</c:v>
                </c:pt>
                <c:pt idx="46">
                  <c:v>1820.9390068</c:v>
                </c:pt>
                <c:pt idx="47">
                  <c:v>2359.3365036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A-4C50-8CDA-7C84504F11EB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('401.bzip2'!$O$86:$O$97,'401.bzip2'!$O$103:$O$114,'401.bzip2'!$O$122:$O$133,'401.bzip2'!$O$139:$O$150)</c:f>
              <c:numCache>
                <c:formatCode>General</c:formatCode>
                <c:ptCount val="48"/>
                <c:pt idx="0">
                  <c:v>1593.1684252999999</c:v>
                </c:pt>
                <c:pt idx="1">
                  <c:v>1888.2824688000001</c:v>
                </c:pt>
                <c:pt idx="2">
                  <c:v>1902.6906443999999</c:v>
                </c:pt>
                <c:pt idx="3">
                  <c:v>2478.5148399999998</c:v>
                </c:pt>
                <c:pt idx="4">
                  <c:v>1615.6380918999998</c:v>
                </c:pt>
                <c:pt idx="5">
                  <c:v>1910.6442162000001</c:v>
                </c:pt>
                <c:pt idx="6">
                  <c:v>1923.5720567000001</c:v>
                </c:pt>
                <c:pt idx="7">
                  <c:v>2500.6622130000001</c:v>
                </c:pt>
                <c:pt idx="8">
                  <c:v>1661.7782482</c:v>
                </c:pt>
                <c:pt idx="9">
                  <c:v>1956.7922649000002</c:v>
                </c:pt>
                <c:pt idx="10">
                  <c:v>1967.8087191000002</c:v>
                </c:pt>
                <c:pt idx="11">
                  <c:v>2546.8262105000003</c:v>
                </c:pt>
                <c:pt idx="12">
                  <c:v>1530.2574359</c:v>
                </c:pt>
                <c:pt idx="13">
                  <c:v>1813.7154672000001</c:v>
                </c:pt>
                <c:pt idx="14">
                  <c:v>1829.9141406000001</c:v>
                </c:pt>
                <c:pt idx="15">
                  <c:v>2380.6399600000004</c:v>
                </c:pt>
                <c:pt idx="16">
                  <c:v>1551.5149581000001</c:v>
                </c:pt>
                <c:pt idx="17">
                  <c:v>1834.810778</c:v>
                </c:pt>
                <c:pt idx="18">
                  <c:v>1849.4237268000002</c:v>
                </c:pt>
                <c:pt idx="19">
                  <c:v>2401.4109699999999</c:v>
                </c:pt>
                <c:pt idx="20">
                  <c:v>1595.6534635999999</c:v>
                </c:pt>
                <c:pt idx="21">
                  <c:v>1878.9265695000001</c:v>
                </c:pt>
                <c:pt idx="22">
                  <c:v>1891.4663843999999</c:v>
                </c:pt>
                <c:pt idx="23">
                  <c:v>2445.4815775000002</c:v>
                </c:pt>
                <c:pt idx="24">
                  <c:v>1544.7248402</c:v>
                </c:pt>
                <c:pt idx="25">
                  <c:v>1829.6200944</c:v>
                </c:pt>
                <c:pt idx="26">
                  <c:v>1843.9741872</c:v>
                </c:pt>
                <c:pt idx="27">
                  <c:v>2399.4277075999998</c:v>
                </c:pt>
                <c:pt idx="28">
                  <c:v>1566.6864575999998</c:v>
                </c:pt>
                <c:pt idx="29">
                  <c:v>1851.5276415999999</c:v>
                </c:pt>
                <c:pt idx="30">
                  <c:v>1864.1020736</c:v>
                </c:pt>
                <c:pt idx="31">
                  <c:v>2421.2273663999999</c:v>
                </c:pt>
                <c:pt idx="32">
                  <c:v>1611.4264928</c:v>
                </c:pt>
                <c:pt idx="33">
                  <c:v>1896.3084131999999</c:v>
                </c:pt>
                <c:pt idx="34">
                  <c:v>1906.7682467999998</c:v>
                </c:pt>
                <c:pt idx="35">
                  <c:v>2466.0901148000003</c:v>
                </c:pt>
                <c:pt idx="36">
                  <c:v>1491.6822120000002</c:v>
                </c:pt>
                <c:pt idx="37">
                  <c:v>1766.7952098000001</c:v>
                </c:pt>
                <c:pt idx="38">
                  <c:v>1782.9230964000001</c:v>
                </c:pt>
                <c:pt idx="39">
                  <c:v>2317.0369221999999</c:v>
                </c:pt>
                <c:pt idx="40">
                  <c:v>1512.6250303999998</c:v>
                </c:pt>
                <c:pt idx="41">
                  <c:v>1787.637696</c:v>
                </c:pt>
                <c:pt idx="42">
                  <c:v>1801.8099839999998</c:v>
                </c:pt>
                <c:pt idx="43">
                  <c:v>2337.6789759999997</c:v>
                </c:pt>
                <c:pt idx="44">
                  <c:v>1555.7104211999999</c:v>
                </c:pt>
                <c:pt idx="45">
                  <c:v>1830.7428384000002</c:v>
                </c:pt>
                <c:pt idx="46">
                  <c:v>1842.5653608</c:v>
                </c:pt>
                <c:pt idx="47">
                  <c:v>2380.8240856000002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0A-4C50-8CDA-7C84504F11EB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('401.bzip2'!$P$86:$P$97,'401.bzip2'!$P$103:$P$114,'401.bzip2'!$P$122:$P$133,'401.bzip2'!$P$139:$P$150)</c:f>
              <c:numCache>
                <c:formatCode>General</c:formatCode>
                <c:ptCount val="48"/>
                <c:pt idx="0">
                  <c:v>1639.2796092000001</c:v>
                </c:pt>
                <c:pt idx="1">
                  <c:v>1934.3943727999999</c:v>
                </c:pt>
                <c:pt idx="2">
                  <c:v>1949.1543963999998</c:v>
                </c:pt>
                <c:pt idx="3">
                  <c:v>2524.6267440000001</c:v>
                </c:pt>
                <c:pt idx="4">
                  <c:v>1661.7318158000003</c:v>
                </c:pt>
                <c:pt idx="5">
                  <c:v>1956.7393721999999</c:v>
                </c:pt>
                <c:pt idx="6">
                  <c:v>1969.9791027000001</c:v>
                </c:pt>
                <c:pt idx="7">
                  <c:v>2546.7573689999999</c:v>
                </c:pt>
                <c:pt idx="8">
                  <c:v>1707.8731760999999</c:v>
                </c:pt>
                <c:pt idx="9">
                  <c:v>2002.8886669000001</c:v>
                </c:pt>
                <c:pt idx="10">
                  <c:v>2014.1646371000002</c:v>
                </c:pt>
                <c:pt idx="11">
                  <c:v>2592.9226125</c:v>
                </c:pt>
                <c:pt idx="12">
                  <c:v>1574.5456188000001</c:v>
                </c:pt>
                <c:pt idx="13">
                  <c:v>1858.0064432000001</c:v>
                </c:pt>
                <c:pt idx="14">
                  <c:v>1874.6006886000002</c:v>
                </c:pt>
                <c:pt idx="15">
                  <c:v>2424.9309360000002</c:v>
                </c:pt>
                <c:pt idx="16">
                  <c:v>1595.7777639999999</c:v>
                </c:pt>
                <c:pt idx="17">
                  <c:v>1879.0764179999999</c:v>
                </c:pt>
                <c:pt idx="18">
                  <c:v>1894.0419108000001</c:v>
                </c:pt>
                <c:pt idx="19">
                  <c:v>2445.67661</c:v>
                </c:pt>
                <c:pt idx="20">
                  <c:v>1639.9126575</c:v>
                </c:pt>
                <c:pt idx="21">
                  <c:v>1923.1886795</c:v>
                </c:pt>
                <c:pt idx="22">
                  <c:v>1936.0238964</c:v>
                </c:pt>
                <c:pt idx="23">
                  <c:v>2489.7436875000003</c:v>
                </c:pt>
                <c:pt idx="24">
                  <c:v>1589.2349088000001</c:v>
                </c:pt>
                <c:pt idx="25">
                  <c:v>1874.1355563999998</c:v>
                </c:pt>
                <c:pt idx="26">
                  <c:v>1888.8397391999999</c:v>
                </c:pt>
                <c:pt idx="27">
                  <c:v>2443.9439915999997</c:v>
                </c:pt>
                <c:pt idx="28">
                  <c:v>1611.1880072000001</c:v>
                </c:pt>
                <c:pt idx="29">
                  <c:v>1896.0346655999999</c:v>
                </c:pt>
                <c:pt idx="30">
                  <c:v>1908.9122196000001</c:v>
                </c:pt>
                <c:pt idx="31">
                  <c:v>2465.7352223999997</c:v>
                </c:pt>
                <c:pt idx="32">
                  <c:v>1655.9342663999998</c:v>
                </c:pt>
                <c:pt idx="33">
                  <c:v>1940.8218232000002</c:v>
                </c:pt>
                <c:pt idx="34">
                  <c:v>1951.5280647999998</c:v>
                </c:pt>
                <c:pt idx="35">
                  <c:v>2510.6043768</c:v>
                </c:pt>
                <c:pt idx="36">
                  <c:v>1534.6636745999999</c:v>
                </c:pt>
                <c:pt idx="37">
                  <c:v>1809.7820857999998</c:v>
                </c:pt>
                <c:pt idx="38">
                  <c:v>1826.3032204000001</c:v>
                </c:pt>
                <c:pt idx="39">
                  <c:v>2360.0246201999998</c:v>
                </c:pt>
                <c:pt idx="40">
                  <c:v>1555.5907440000001</c:v>
                </c:pt>
                <c:pt idx="41">
                  <c:v>1830.6089039999999</c:v>
                </c:pt>
                <c:pt idx="42">
                  <c:v>1845.1227239999998</c:v>
                </c:pt>
                <c:pt idx="43">
                  <c:v>2380.6510159999998</c:v>
                </c:pt>
                <c:pt idx="44">
                  <c:v>1598.6790768000001</c:v>
                </c:pt>
                <c:pt idx="45">
                  <c:v>1873.7171504</c:v>
                </c:pt>
                <c:pt idx="46">
                  <c:v>1885.8180688</c:v>
                </c:pt>
                <c:pt idx="47">
                  <c:v>2423.7992496000002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0A-4C50-8CDA-7C84504F11EB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('401.bzip2'!$T$86:$T$97,'401.bzip2'!$T$103:$T$114,'401.bzip2'!$T$122:$T$133,'401.bzip2'!$T$139:$T$150)</c:f>
              <c:numCache>
                <c:formatCode>General</c:formatCode>
                <c:ptCount val="48"/>
                <c:pt idx="0">
                  <c:v>1614.4177910999999</c:v>
                </c:pt>
                <c:pt idx="1">
                  <c:v>1909.1962847999998</c:v>
                </c:pt>
                <c:pt idx="2">
                  <c:v>1923.6933394</c:v>
                </c:pt>
                <c:pt idx="3">
                  <c:v>2498.7649820000001</c:v>
                </c:pt>
                <c:pt idx="4">
                  <c:v>1637.0132967000002</c:v>
                </c:pt>
                <c:pt idx="5">
                  <c:v>1931.7125932000001</c:v>
                </c:pt>
                <c:pt idx="6">
                  <c:v>1944.5539076999999</c:v>
                </c:pt>
                <c:pt idx="7">
                  <c:v>2521.1244959999999</c:v>
                </c:pt>
                <c:pt idx="8">
                  <c:v>1683.1998689999998</c:v>
                </c:pt>
                <c:pt idx="9">
                  <c:v>1977.9231778999999</c:v>
                </c:pt>
                <c:pt idx="10">
                  <c:v>1988.7283671</c:v>
                </c:pt>
                <c:pt idx="11">
                  <c:v>2567.3846165000004</c:v>
                </c:pt>
                <c:pt idx="12">
                  <c:v>1550.1109953</c:v>
                </c:pt>
                <c:pt idx="13">
                  <c:v>1833.1504567999998</c:v>
                </c:pt>
                <c:pt idx="14">
                  <c:v>1849.4388146000001</c:v>
                </c:pt>
                <c:pt idx="15">
                  <c:v>2399.2368470000001</c:v>
                </c:pt>
                <c:pt idx="16">
                  <c:v>1571.5724300999998</c:v>
                </c:pt>
                <c:pt idx="17">
                  <c:v>1854.4937179999999</c:v>
                </c:pt>
                <c:pt idx="18">
                  <c:v>1868.9070668000002</c:v>
                </c:pt>
                <c:pt idx="19">
                  <c:v>2420.3452949999996</c:v>
                </c:pt>
                <c:pt idx="20">
                  <c:v>1615.7879993000001</c:v>
                </c:pt>
                <c:pt idx="21">
                  <c:v>1898.7114377999999</c:v>
                </c:pt>
                <c:pt idx="22">
                  <c:v>1910.8717853999999</c:v>
                </c:pt>
                <c:pt idx="23">
                  <c:v>2464.5661179999997</c:v>
                </c:pt>
                <c:pt idx="24">
                  <c:v>1566.5063744000001</c:v>
                </c:pt>
                <c:pt idx="25">
                  <c:v>1851.3116544</c:v>
                </c:pt>
                <c:pt idx="26">
                  <c:v>1865.8228991999999</c:v>
                </c:pt>
                <c:pt idx="27">
                  <c:v>2420.9460095999998</c:v>
                </c:pt>
                <c:pt idx="28">
                  <c:v>1588.4405838</c:v>
                </c:pt>
                <c:pt idx="29">
                  <c:v>1873.1888116000002</c:v>
                </c:pt>
                <c:pt idx="30">
                  <c:v>1885.9160626</c:v>
                </c:pt>
                <c:pt idx="31">
                  <c:v>2442.7094004</c:v>
                </c:pt>
                <c:pt idx="32">
                  <c:v>1633.1698179999999</c:v>
                </c:pt>
                <c:pt idx="33">
                  <c:v>1917.9587062000001</c:v>
                </c:pt>
                <c:pt idx="34">
                  <c:v>1928.5430317999999</c:v>
                </c:pt>
                <c:pt idx="35">
                  <c:v>2487.5612918000002</c:v>
                </c:pt>
                <c:pt idx="36">
                  <c:v>1512.9176831999998</c:v>
                </c:pt>
                <c:pt idx="37">
                  <c:v>1787.9835584</c:v>
                </c:pt>
                <c:pt idx="38">
                  <c:v>1804.306816</c:v>
                </c:pt>
                <c:pt idx="39">
                  <c:v>2338.1323456</c:v>
                </c:pt>
                <c:pt idx="40">
                  <c:v>1533.8490006</c:v>
                </c:pt>
                <c:pt idx="41">
                  <c:v>1808.8145436000002</c:v>
                </c:pt>
                <c:pt idx="42">
                  <c:v>1823.1563295999997</c:v>
                </c:pt>
                <c:pt idx="43">
                  <c:v>2358.7629084</c:v>
                </c:pt>
                <c:pt idx="44">
                  <c:v>1576.9293434000001</c:v>
                </c:pt>
                <c:pt idx="45">
                  <c:v>1851.9147660000001</c:v>
                </c:pt>
                <c:pt idx="46">
                  <c:v>1863.8743264</c:v>
                </c:pt>
                <c:pt idx="47">
                  <c:v>2401.903374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0A-4C50-8CDA-7C84504F11EB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('401.bzip2'!$U$86:$U$97,'401.bzip2'!$U$103:$U$114,'401.bzip2'!$U$122:$U$133,'401.bzip2'!$U$139:$U$150)</c:f>
              <c:numCache>
                <c:formatCode>General</c:formatCode>
                <c:ptCount val="48"/>
                <c:pt idx="0">
                  <c:v>1637.4438783000001</c:v>
                </c:pt>
                <c:pt idx="1">
                  <c:v>1932.2247187999999</c:v>
                </c:pt>
                <c:pt idx="2">
                  <c:v>1946.8983254</c:v>
                </c:pt>
                <c:pt idx="3">
                  <c:v>2521.7950740000001</c:v>
                </c:pt>
                <c:pt idx="4">
                  <c:v>1660.0324909000001</c:v>
                </c:pt>
                <c:pt idx="5">
                  <c:v>1954.7348832</c:v>
                </c:pt>
                <c:pt idx="6">
                  <c:v>1967.7309507</c:v>
                </c:pt>
                <c:pt idx="7">
                  <c:v>2544.1484639999999</c:v>
                </c:pt>
                <c:pt idx="8">
                  <c:v>1706.2208201999999</c:v>
                </c:pt>
                <c:pt idx="9">
                  <c:v>2000.9481899000002</c:v>
                </c:pt>
                <c:pt idx="10">
                  <c:v>2011.8800360999999</c:v>
                </c:pt>
                <c:pt idx="11">
                  <c:v>2590.4104875000003</c:v>
                </c:pt>
                <c:pt idx="12">
                  <c:v>1572.2224262999998</c:v>
                </c:pt>
                <c:pt idx="13">
                  <c:v>1855.2624098000001</c:v>
                </c:pt>
                <c:pt idx="14">
                  <c:v>1871.7480886000001</c:v>
                </c:pt>
                <c:pt idx="15">
                  <c:v>2421.3496290000003</c:v>
                </c:pt>
                <c:pt idx="16">
                  <c:v>1593.6739580999999</c:v>
                </c:pt>
                <c:pt idx="17">
                  <c:v>1876.5964889999998</c:v>
                </c:pt>
                <c:pt idx="18">
                  <c:v>1891.1824788000001</c:v>
                </c:pt>
                <c:pt idx="19">
                  <c:v>2442.4489049999997</c:v>
                </c:pt>
                <c:pt idx="20">
                  <c:v>1637.8903203</c:v>
                </c:pt>
                <c:pt idx="21">
                  <c:v>1920.8143107999999</c:v>
                </c:pt>
                <c:pt idx="22">
                  <c:v>1933.1170913999999</c:v>
                </c:pt>
                <c:pt idx="23">
                  <c:v>2486.6698499999998</c:v>
                </c:pt>
                <c:pt idx="24">
                  <c:v>1588.7480322000001</c:v>
                </c:pt>
                <c:pt idx="25">
                  <c:v>1873.5629964</c:v>
                </c:pt>
                <c:pt idx="26">
                  <c:v>1888.2486551999998</c:v>
                </c:pt>
                <c:pt idx="27">
                  <c:v>2443.1973515999998</c:v>
                </c:pt>
                <c:pt idx="28">
                  <c:v>1610.6776596</c:v>
                </c:pt>
                <c:pt idx="29">
                  <c:v>1895.4357096000001</c:v>
                </c:pt>
                <c:pt idx="30">
                  <c:v>1908.3141155999999</c:v>
                </c:pt>
                <c:pt idx="31">
                  <c:v>2464.9562984000004</c:v>
                </c:pt>
                <c:pt idx="32">
                  <c:v>1655.4098207999998</c:v>
                </c:pt>
                <c:pt idx="33">
                  <c:v>1940.2088071999999</c:v>
                </c:pt>
                <c:pt idx="34">
                  <c:v>1950.9159207999999</c:v>
                </c:pt>
                <c:pt idx="35">
                  <c:v>2509.8113927999998</c:v>
                </c:pt>
                <c:pt idx="36">
                  <c:v>1534.4015651999998</c:v>
                </c:pt>
                <c:pt idx="37">
                  <c:v>1809.4737454000001</c:v>
                </c:pt>
                <c:pt idx="38">
                  <c:v>1825.9931960000001</c:v>
                </c:pt>
                <c:pt idx="39">
                  <c:v>2359.6225325999999</c:v>
                </c:pt>
                <c:pt idx="40">
                  <c:v>1555.3249636</c:v>
                </c:pt>
                <c:pt idx="41">
                  <c:v>1830.2969016000002</c:v>
                </c:pt>
                <c:pt idx="42">
                  <c:v>1844.8090175999998</c:v>
                </c:pt>
                <c:pt idx="43">
                  <c:v>2380.2452664000002</c:v>
                </c:pt>
                <c:pt idx="44">
                  <c:v>1598.4066983999999</c:v>
                </c:pt>
                <c:pt idx="45">
                  <c:v>1873.398696</c:v>
                </c:pt>
                <c:pt idx="46">
                  <c:v>1885.4969983999999</c:v>
                </c:pt>
                <c:pt idx="47">
                  <c:v>2423.3873039999999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0A-4C50-8CDA-7C84504F11EB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('401.bzip2'!$V$86:$V$97,'401.bzip2'!$V$103:$V$114,'401.bzip2'!$V$122:$V$133,'401.bzip2'!$V$139:$V$150)</c:f>
              <c:numCache>
                <c:formatCode>General</c:formatCode>
                <c:ptCount val="48"/>
                <c:pt idx="0">
                  <c:v>1683.5011871999998</c:v>
                </c:pt>
                <c:pt idx="1">
                  <c:v>1978.2849028000001</c:v>
                </c:pt>
                <c:pt idx="2">
                  <c:v>1993.3082974000001</c:v>
                </c:pt>
                <c:pt idx="3">
                  <c:v>2567.855258</c:v>
                </c:pt>
                <c:pt idx="4">
                  <c:v>1706.0775108</c:v>
                </c:pt>
                <c:pt idx="5">
                  <c:v>2000.7828191999999</c:v>
                </c:pt>
                <c:pt idx="6">
                  <c:v>2014.0850367</c:v>
                </c:pt>
                <c:pt idx="7">
                  <c:v>2590.1963999999998</c:v>
                </c:pt>
                <c:pt idx="8">
                  <c:v>1752.2703051000001</c:v>
                </c:pt>
                <c:pt idx="9">
                  <c:v>2046.9999319000001</c:v>
                </c:pt>
                <c:pt idx="10">
                  <c:v>2058.1833741</c:v>
                </c:pt>
                <c:pt idx="11">
                  <c:v>2636.4622295000004</c:v>
                </c:pt>
                <c:pt idx="12">
                  <c:v>1616.4458262000001</c:v>
                </c:pt>
                <c:pt idx="13">
                  <c:v>1899.4879738000002</c:v>
                </c:pt>
                <c:pt idx="14">
                  <c:v>1916.3666366</c:v>
                </c:pt>
                <c:pt idx="15">
                  <c:v>2465.5751930000001</c:v>
                </c:pt>
                <c:pt idx="16">
                  <c:v>1637.8789830000001</c:v>
                </c:pt>
                <c:pt idx="17">
                  <c:v>1920.8037089999998</c:v>
                </c:pt>
                <c:pt idx="18">
                  <c:v>1935.7333028</c:v>
                </c:pt>
                <c:pt idx="19">
                  <c:v>2486.656125</c:v>
                </c:pt>
                <c:pt idx="20">
                  <c:v>1682.0955272000001</c:v>
                </c:pt>
                <c:pt idx="21">
                  <c:v>1965.0217747999998</c:v>
                </c:pt>
                <c:pt idx="22">
                  <c:v>1977.6077034</c:v>
                </c:pt>
                <c:pt idx="23">
                  <c:v>2530.8773139999998</c:v>
                </c:pt>
                <c:pt idx="24">
                  <c:v>1633.2485027999999</c:v>
                </c:pt>
                <c:pt idx="25">
                  <c:v>1918.0656803999998</c:v>
                </c:pt>
                <c:pt idx="26">
                  <c:v>1933.1001672</c:v>
                </c:pt>
                <c:pt idx="27">
                  <c:v>2487.7000355999999</c:v>
                </c:pt>
                <c:pt idx="28">
                  <c:v>1655.1692112000001</c:v>
                </c:pt>
                <c:pt idx="29">
                  <c:v>1939.9295056000001</c:v>
                </c:pt>
                <c:pt idx="30">
                  <c:v>1953.1102215999999</c:v>
                </c:pt>
                <c:pt idx="31">
                  <c:v>2509.4500944000001</c:v>
                </c:pt>
                <c:pt idx="32">
                  <c:v>1699.9077164</c:v>
                </c:pt>
                <c:pt idx="33">
                  <c:v>1984.7090092000001</c:v>
                </c:pt>
                <c:pt idx="34">
                  <c:v>1995.6616987999998</c:v>
                </c:pt>
                <c:pt idx="35">
                  <c:v>2554.3115948</c:v>
                </c:pt>
                <c:pt idx="36">
                  <c:v>1577.3811937999999</c:v>
                </c:pt>
                <c:pt idx="37">
                  <c:v>1852.4541194000001</c:v>
                </c:pt>
                <c:pt idx="38">
                  <c:v>1869.3659560000001</c:v>
                </c:pt>
                <c:pt idx="39">
                  <c:v>2402.6029066000001</c:v>
                </c:pt>
                <c:pt idx="40">
                  <c:v>1598.2889232</c:v>
                </c:pt>
                <c:pt idx="41">
                  <c:v>1873.2616176000001</c:v>
                </c:pt>
                <c:pt idx="42">
                  <c:v>1888.1143935999999</c:v>
                </c:pt>
                <c:pt idx="43">
                  <c:v>2423.2099824000002</c:v>
                </c:pt>
                <c:pt idx="44">
                  <c:v>1641.3737799999999</c:v>
                </c:pt>
                <c:pt idx="45">
                  <c:v>1916.3665559999999</c:v>
                </c:pt>
                <c:pt idx="46">
                  <c:v>1928.7423424000001</c:v>
                </c:pt>
                <c:pt idx="47">
                  <c:v>2466.3551640000001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0A-4C50-8CDA-7C84504F1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254000"/>
        <c:axId val="1143797568"/>
      </c:lineChart>
      <c:catAx>
        <c:axId val="119525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797568"/>
        <c:crosses val="autoZero"/>
        <c:auto val="1"/>
        <c:lblAlgn val="ctr"/>
        <c:lblOffset val="100"/>
        <c:noMultiLvlLbl val="0"/>
      </c:catAx>
      <c:valAx>
        <c:axId val="1143797568"/>
        <c:scaling>
          <c:orientation val="minMax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2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470.lbm CPI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('470.lbm'!$B$4:$B$12,'470.lbm'!$B$18:$B$26,'470.lbm'!$B$34:$B$42,'470.lbm'!$B$48:$B$56)</c:f>
              <c:numCache>
                <c:formatCode>General</c:formatCode>
                <c:ptCount val="36"/>
                <c:pt idx="0">
                  <c:v>1.84378705</c:v>
                </c:pt>
                <c:pt idx="1">
                  <c:v>1.8437874000000001</c:v>
                </c:pt>
                <c:pt idx="2">
                  <c:v>1.8437869500000001</c:v>
                </c:pt>
                <c:pt idx="3">
                  <c:v>1.8437869500000001</c:v>
                </c:pt>
                <c:pt idx="4">
                  <c:v>1.8437874000000001</c:v>
                </c:pt>
                <c:pt idx="5">
                  <c:v>1.8437869500000001</c:v>
                </c:pt>
                <c:pt idx="6">
                  <c:v>1.8437869500000001</c:v>
                </c:pt>
                <c:pt idx="7">
                  <c:v>1.8437874000000001</c:v>
                </c:pt>
                <c:pt idx="8">
                  <c:v>1.8437869500000001</c:v>
                </c:pt>
                <c:pt idx="9">
                  <c:v>1.4219469499999999</c:v>
                </c:pt>
                <c:pt idx="10">
                  <c:v>1.4219473</c:v>
                </c:pt>
                <c:pt idx="11">
                  <c:v>1.4219468499999999</c:v>
                </c:pt>
                <c:pt idx="12">
                  <c:v>1.4219468499999999</c:v>
                </c:pt>
                <c:pt idx="13">
                  <c:v>1.4219473</c:v>
                </c:pt>
                <c:pt idx="14">
                  <c:v>1.4219468499999999</c:v>
                </c:pt>
                <c:pt idx="15">
                  <c:v>1.4219468499999999</c:v>
                </c:pt>
                <c:pt idx="16">
                  <c:v>1.4219473</c:v>
                </c:pt>
                <c:pt idx="17">
                  <c:v>1.4219468499999999</c:v>
                </c:pt>
                <c:pt idx="18">
                  <c:v>1.84378705</c:v>
                </c:pt>
                <c:pt idx="19">
                  <c:v>1.8437874000000001</c:v>
                </c:pt>
                <c:pt idx="20">
                  <c:v>1.8437869500000001</c:v>
                </c:pt>
                <c:pt idx="21">
                  <c:v>1.8437869500000001</c:v>
                </c:pt>
                <c:pt idx="22">
                  <c:v>1.8437874000000001</c:v>
                </c:pt>
                <c:pt idx="23">
                  <c:v>1.8437869500000001</c:v>
                </c:pt>
                <c:pt idx="24">
                  <c:v>1.8437869500000001</c:v>
                </c:pt>
                <c:pt idx="25">
                  <c:v>1.8437874000000001</c:v>
                </c:pt>
                <c:pt idx="26">
                  <c:v>1.8437869500000001</c:v>
                </c:pt>
                <c:pt idx="27">
                  <c:v>1.4219469499999999</c:v>
                </c:pt>
                <c:pt idx="28">
                  <c:v>1.4219473</c:v>
                </c:pt>
                <c:pt idx="29">
                  <c:v>1.4219468499999999</c:v>
                </c:pt>
                <c:pt idx="30">
                  <c:v>1.4219468499999999</c:v>
                </c:pt>
                <c:pt idx="31">
                  <c:v>1.4219473</c:v>
                </c:pt>
                <c:pt idx="32">
                  <c:v>1.4219468499999999</c:v>
                </c:pt>
                <c:pt idx="33">
                  <c:v>1.4219468499999999</c:v>
                </c:pt>
                <c:pt idx="34">
                  <c:v>1.4219473</c:v>
                </c:pt>
                <c:pt idx="35">
                  <c:v>1.4219468499999999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3-4096-A7BB-B1E759ACFA21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('470.lbm'!$C$4:$C$12,'470.lbm'!$C$18:$C$26,'470.lbm'!$C$34:$C$42,'470.lbm'!$C$48:$C$56)</c:f>
              <c:numCache>
                <c:formatCode>General</c:formatCode>
                <c:ptCount val="36"/>
                <c:pt idx="0">
                  <c:v>1.84378705</c:v>
                </c:pt>
                <c:pt idx="1">
                  <c:v>1.8437869999999998</c:v>
                </c:pt>
                <c:pt idx="2">
                  <c:v>1.8437869500000001</c:v>
                </c:pt>
                <c:pt idx="3">
                  <c:v>1.8437869500000001</c:v>
                </c:pt>
                <c:pt idx="4">
                  <c:v>1.8437869999999998</c:v>
                </c:pt>
                <c:pt idx="5">
                  <c:v>1.8437869500000001</c:v>
                </c:pt>
                <c:pt idx="6">
                  <c:v>1.8437869500000001</c:v>
                </c:pt>
                <c:pt idx="7">
                  <c:v>1.8437869999999998</c:v>
                </c:pt>
                <c:pt idx="8">
                  <c:v>1.8437869500000001</c:v>
                </c:pt>
                <c:pt idx="9">
                  <c:v>1.4219469499999999</c:v>
                </c:pt>
                <c:pt idx="10">
                  <c:v>1.4219469</c:v>
                </c:pt>
                <c:pt idx="11">
                  <c:v>1.4219468499999999</c:v>
                </c:pt>
                <c:pt idx="12">
                  <c:v>1.4219468499999999</c:v>
                </c:pt>
                <c:pt idx="13">
                  <c:v>1.4219468499999999</c:v>
                </c:pt>
                <c:pt idx="14">
                  <c:v>1.4219468499999999</c:v>
                </c:pt>
                <c:pt idx="15">
                  <c:v>1.4219468499999999</c:v>
                </c:pt>
                <c:pt idx="16">
                  <c:v>1.4219469</c:v>
                </c:pt>
                <c:pt idx="17">
                  <c:v>1.4219468499999999</c:v>
                </c:pt>
                <c:pt idx="18">
                  <c:v>1.84378705</c:v>
                </c:pt>
                <c:pt idx="19">
                  <c:v>1.8437869999999998</c:v>
                </c:pt>
                <c:pt idx="20">
                  <c:v>1.8437869500000001</c:v>
                </c:pt>
                <c:pt idx="21">
                  <c:v>1.8437869500000001</c:v>
                </c:pt>
                <c:pt idx="22">
                  <c:v>1.8437869999999998</c:v>
                </c:pt>
                <c:pt idx="23">
                  <c:v>1.8437869500000001</c:v>
                </c:pt>
                <c:pt idx="24">
                  <c:v>1.8437869500000001</c:v>
                </c:pt>
                <c:pt idx="25">
                  <c:v>1.8437869999999998</c:v>
                </c:pt>
                <c:pt idx="26">
                  <c:v>1.8437869500000001</c:v>
                </c:pt>
                <c:pt idx="27">
                  <c:v>1.4219469499999999</c:v>
                </c:pt>
                <c:pt idx="28">
                  <c:v>1.4219469</c:v>
                </c:pt>
                <c:pt idx="29">
                  <c:v>1.4219468499999999</c:v>
                </c:pt>
                <c:pt idx="30">
                  <c:v>1.4219468499999999</c:v>
                </c:pt>
                <c:pt idx="31">
                  <c:v>1.4219469</c:v>
                </c:pt>
                <c:pt idx="32">
                  <c:v>1.4219468499999999</c:v>
                </c:pt>
                <c:pt idx="33">
                  <c:v>1.4219468499999999</c:v>
                </c:pt>
                <c:pt idx="34">
                  <c:v>1.4219469</c:v>
                </c:pt>
                <c:pt idx="35">
                  <c:v>1.4219468499999999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3-4096-A7BB-B1E759ACFA21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('470.lbm'!$D$4:$D$12,'470.lbm'!$D$18:$D$26,'470.lbm'!$D$34:$D$42,'470.lbm'!$D$48:$D$56)</c:f>
              <c:numCache>
                <c:formatCode>General</c:formatCode>
                <c:ptCount val="36"/>
                <c:pt idx="0">
                  <c:v>1.84378705</c:v>
                </c:pt>
                <c:pt idx="1">
                  <c:v>1.8437869500000001</c:v>
                </c:pt>
                <c:pt idx="2">
                  <c:v>1.8437869500000001</c:v>
                </c:pt>
                <c:pt idx="3">
                  <c:v>1.8437869500000001</c:v>
                </c:pt>
                <c:pt idx="4">
                  <c:v>1.8437869500000001</c:v>
                </c:pt>
                <c:pt idx="5">
                  <c:v>1.8437869500000001</c:v>
                </c:pt>
                <c:pt idx="6">
                  <c:v>1.8437869500000001</c:v>
                </c:pt>
                <c:pt idx="7">
                  <c:v>1.8437869500000001</c:v>
                </c:pt>
                <c:pt idx="8">
                  <c:v>1.8437869500000001</c:v>
                </c:pt>
                <c:pt idx="9">
                  <c:v>1.4219469499999999</c:v>
                </c:pt>
                <c:pt idx="10">
                  <c:v>1.4219468499999999</c:v>
                </c:pt>
                <c:pt idx="11">
                  <c:v>1.4219468499999999</c:v>
                </c:pt>
                <c:pt idx="12">
                  <c:v>1.4219468499999999</c:v>
                </c:pt>
                <c:pt idx="13">
                  <c:v>1.4219468499999999</c:v>
                </c:pt>
                <c:pt idx="14">
                  <c:v>1.4219468499999999</c:v>
                </c:pt>
                <c:pt idx="15">
                  <c:v>1.4219468499999999</c:v>
                </c:pt>
                <c:pt idx="16">
                  <c:v>1.4219468499999999</c:v>
                </c:pt>
                <c:pt idx="17">
                  <c:v>1.4219468499999999</c:v>
                </c:pt>
                <c:pt idx="18">
                  <c:v>1.84378705</c:v>
                </c:pt>
                <c:pt idx="19">
                  <c:v>1.8437869500000001</c:v>
                </c:pt>
                <c:pt idx="20">
                  <c:v>1.8437869500000001</c:v>
                </c:pt>
                <c:pt idx="21">
                  <c:v>1.8437869500000001</c:v>
                </c:pt>
                <c:pt idx="22">
                  <c:v>1.8437869500000001</c:v>
                </c:pt>
                <c:pt idx="23">
                  <c:v>1.8437869500000001</c:v>
                </c:pt>
                <c:pt idx="24">
                  <c:v>1.8437869500000001</c:v>
                </c:pt>
                <c:pt idx="25">
                  <c:v>1.8437869500000001</c:v>
                </c:pt>
                <c:pt idx="26">
                  <c:v>1.8437869500000001</c:v>
                </c:pt>
                <c:pt idx="27">
                  <c:v>1.4219469499999999</c:v>
                </c:pt>
                <c:pt idx="28">
                  <c:v>1.4219468499999999</c:v>
                </c:pt>
                <c:pt idx="29">
                  <c:v>1.4219468499999999</c:v>
                </c:pt>
                <c:pt idx="30">
                  <c:v>1.4219468499999999</c:v>
                </c:pt>
                <c:pt idx="31">
                  <c:v>1.4219468499999999</c:v>
                </c:pt>
                <c:pt idx="32">
                  <c:v>1.4219468499999999</c:v>
                </c:pt>
                <c:pt idx="33">
                  <c:v>1.4219468499999999</c:v>
                </c:pt>
                <c:pt idx="34">
                  <c:v>1.4219468499999999</c:v>
                </c:pt>
                <c:pt idx="35">
                  <c:v>1.4219468499999999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3-4096-A7BB-B1E759ACFA21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('470.lbm'!$H$4:$H$12,'470.lbm'!$H$18:$H$26,'470.lbm'!$H$34:$H$42,'470.lbm'!$H$48:$H$56)</c:f>
              <c:numCache>
                <c:formatCode>General</c:formatCode>
                <c:ptCount val="36"/>
                <c:pt idx="0">
                  <c:v>1.84378705</c:v>
                </c:pt>
                <c:pt idx="1">
                  <c:v>1.8437874000000001</c:v>
                </c:pt>
                <c:pt idx="2">
                  <c:v>1.8437869500000001</c:v>
                </c:pt>
                <c:pt idx="3">
                  <c:v>1.8437869500000001</c:v>
                </c:pt>
                <c:pt idx="4">
                  <c:v>1.8437874000000001</c:v>
                </c:pt>
                <c:pt idx="5">
                  <c:v>1.8437869500000001</c:v>
                </c:pt>
                <c:pt idx="6">
                  <c:v>1.8437869500000001</c:v>
                </c:pt>
                <c:pt idx="7">
                  <c:v>1.8437874000000001</c:v>
                </c:pt>
                <c:pt idx="8">
                  <c:v>1.8437869499999999</c:v>
                </c:pt>
                <c:pt idx="9">
                  <c:v>1.4219469499999999</c:v>
                </c:pt>
                <c:pt idx="10">
                  <c:v>1.4219473</c:v>
                </c:pt>
                <c:pt idx="11">
                  <c:v>1.4219468499999999</c:v>
                </c:pt>
                <c:pt idx="12">
                  <c:v>1.4219468499999999</c:v>
                </c:pt>
                <c:pt idx="13">
                  <c:v>1.4219473</c:v>
                </c:pt>
                <c:pt idx="14">
                  <c:v>1.4219468499999999</c:v>
                </c:pt>
                <c:pt idx="15">
                  <c:v>1.4219468499999999</c:v>
                </c:pt>
                <c:pt idx="16">
                  <c:v>1.4219473</c:v>
                </c:pt>
                <c:pt idx="17">
                  <c:v>1.4219468499999999</c:v>
                </c:pt>
                <c:pt idx="18">
                  <c:v>1.84378705</c:v>
                </c:pt>
                <c:pt idx="19">
                  <c:v>1.8437874000000001</c:v>
                </c:pt>
                <c:pt idx="20">
                  <c:v>1.8437869500000001</c:v>
                </c:pt>
                <c:pt idx="21">
                  <c:v>1.8437869500000001</c:v>
                </c:pt>
                <c:pt idx="22">
                  <c:v>1.8437874000000001</c:v>
                </c:pt>
                <c:pt idx="23">
                  <c:v>1.8437869500000001</c:v>
                </c:pt>
                <c:pt idx="24">
                  <c:v>1.8437869500000001</c:v>
                </c:pt>
                <c:pt idx="25">
                  <c:v>1.8437874000000001</c:v>
                </c:pt>
                <c:pt idx="26">
                  <c:v>1.8437869500000001</c:v>
                </c:pt>
                <c:pt idx="27">
                  <c:v>1.4219469499999999</c:v>
                </c:pt>
                <c:pt idx="28">
                  <c:v>1.4219473</c:v>
                </c:pt>
                <c:pt idx="29">
                  <c:v>1.4219468499999999</c:v>
                </c:pt>
                <c:pt idx="30">
                  <c:v>1.4219468499999999</c:v>
                </c:pt>
                <c:pt idx="31">
                  <c:v>1.4219468499999999</c:v>
                </c:pt>
                <c:pt idx="32">
                  <c:v>1.4219468499999999</c:v>
                </c:pt>
                <c:pt idx="33">
                  <c:v>1.4219468499999999</c:v>
                </c:pt>
                <c:pt idx="34">
                  <c:v>1.4219473</c:v>
                </c:pt>
                <c:pt idx="35">
                  <c:v>1.4219468499999999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3-4096-A7BB-B1E759ACFA21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('470.lbm'!$I$4:$I$12,'470.lbm'!$I$18:$I$26,'470.lbm'!$I$34:$I$42,'470.lbm'!$I$48:$I$56)</c:f>
              <c:numCache>
                <c:formatCode>General</c:formatCode>
                <c:ptCount val="36"/>
                <c:pt idx="0">
                  <c:v>1.84378705</c:v>
                </c:pt>
                <c:pt idx="1">
                  <c:v>1.8437869999999998</c:v>
                </c:pt>
                <c:pt idx="2">
                  <c:v>1.8437869500000001</c:v>
                </c:pt>
                <c:pt idx="3">
                  <c:v>1.8437869500000001</c:v>
                </c:pt>
                <c:pt idx="4">
                  <c:v>1.8437869999999998</c:v>
                </c:pt>
                <c:pt idx="5">
                  <c:v>1.8437869500000001</c:v>
                </c:pt>
                <c:pt idx="6">
                  <c:v>1.8437869500000001</c:v>
                </c:pt>
                <c:pt idx="7">
                  <c:v>1.8437869999999998</c:v>
                </c:pt>
                <c:pt idx="8">
                  <c:v>1.8437869500000001</c:v>
                </c:pt>
                <c:pt idx="9">
                  <c:v>1.4219469499999999</c:v>
                </c:pt>
                <c:pt idx="10">
                  <c:v>1.4219469</c:v>
                </c:pt>
                <c:pt idx="11">
                  <c:v>1.4219468499999999</c:v>
                </c:pt>
                <c:pt idx="12">
                  <c:v>1.4219468499999999</c:v>
                </c:pt>
                <c:pt idx="13">
                  <c:v>1.4219469</c:v>
                </c:pt>
                <c:pt idx="14">
                  <c:v>1.4219468499999999</c:v>
                </c:pt>
                <c:pt idx="15">
                  <c:v>1.4219468499999999</c:v>
                </c:pt>
                <c:pt idx="16">
                  <c:v>1.4219469</c:v>
                </c:pt>
                <c:pt idx="17">
                  <c:v>1.4219468499999999</c:v>
                </c:pt>
                <c:pt idx="18">
                  <c:v>1.84378705</c:v>
                </c:pt>
                <c:pt idx="19">
                  <c:v>1.8437869999999998</c:v>
                </c:pt>
                <c:pt idx="20">
                  <c:v>1.8437869500000001</c:v>
                </c:pt>
                <c:pt idx="21">
                  <c:v>1.8437869500000001</c:v>
                </c:pt>
                <c:pt idx="22">
                  <c:v>1.8437869999999998</c:v>
                </c:pt>
                <c:pt idx="23">
                  <c:v>1.8437869500000001</c:v>
                </c:pt>
                <c:pt idx="24">
                  <c:v>1.8437869500000001</c:v>
                </c:pt>
                <c:pt idx="25">
                  <c:v>1.8437869999999998</c:v>
                </c:pt>
                <c:pt idx="26">
                  <c:v>1.8437869500000001</c:v>
                </c:pt>
                <c:pt idx="27">
                  <c:v>1.4219469499999999</c:v>
                </c:pt>
                <c:pt idx="28">
                  <c:v>1.4219469</c:v>
                </c:pt>
                <c:pt idx="29">
                  <c:v>1.4219468499999999</c:v>
                </c:pt>
                <c:pt idx="30">
                  <c:v>1.4219468499999999</c:v>
                </c:pt>
                <c:pt idx="31">
                  <c:v>1.4219468499999999</c:v>
                </c:pt>
                <c:pt idx="32">
                  <c:v>1.4219468499999999</c:v>
                </c:pt>
                <c:pt idx="33">
                  <c:v>1.4219468499999999</c:v>
                </c:pt>
                <c:pt idx="34">
                  <c:v>1.4219469</c:v>
                </c:pt>
                <c:pt idx="35">
                  <c:v>1.4219468499999999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3-4096-A7BB-B1E759ACFA21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('470.lbm'!$J$4:$J$12,'470.lbm'!$J$18:$J$26,'470.lbm'!$J$34:$J$42,'470.lbm'!$J$48:$J$56)</c:f>
              <c:numCache>
                <c:formatCode>General</c:formatCode>
                <c:ptCount val="36"/>
                <c:pt idx="0">
                  <c:v>1.84378705</c:v>
                </c:pt>
                <c:pt idx="1">
                  <c:v>1.8437869500000001</c:v>
                </c:pt>
                <c:pt idx="2">
                  <c:v>1.8437869500000001</c:v>
                </c:pt>
                <c:pt idx="3">
                  <c:v>1.8437869500000001</c:v>
                </c:pt>
                <c:pt idx="4">
                  <c:v>1.8437869500000001</c:v>
                </c:pt>
                <c:pt idx="5">
                  <c:v>1.8437869500000001</c:v>
                </c:pt>
                <c:pt idx="6">
                  <c:v>1.8437869500000001</c:v>
                </c:pt>
                <c:pt idx="7">
                  <c:v>1.8437869500000001</c:v>
                </c:pt>
                <c:pt idx="8">
                  <c:v>1.8437869500000001</c:v>
                </c:pt>
                <c:pt idx="9">
                  <c:v>1.4219469499999999</c:v>
                </c:pt>
                <c:pt idx="10">
                  <c:v>1.4219468499999999</c:v>
                </c:pt>
                <c:pt idx="11">
                  <c:v>1.4219468499999999</c:v>
                </c:pt>
                <c:pt idx="12">
                  <c:v>1.4219468499999999</c:v>
                </c:pt>
                <c:pt idx="13">
                  <c:v>1.4219468499999999</c:v>
                </c:pt>
                <c:pt idx="14">
                  <c:v>1.4219468499999999</c:v>
                </c:pt>
                <c:pt idx="15">
                  <c:v>1.4219468499999999</c:v>
                </c:pt>
                <c:pt idx="16">
                  <c:v>1.4219468499999999</c:v>
                </c:pt>
                <c:pt idx="17">
                  <c:v>1.4219468499999999</c:v>
                </c:pt>
                <c:pt idx="18">
                  <c:v>1.84378705</c:v>
                </c:pt>
                <c:pt idx="19">
                  <c:v>1.8437869500000001</c:v>
                </c:pt>
                <c:pt idx="20">
                  <c:v>1.8437869500000001</c:v>
                </c:pt>
                <c:pt idx="21">
                  <c:v>1.8437869500000001</c:v>
                </c:pt>
                <c:pt idx="22">
                  <c:v>1.8437869500000001</c:v>
                </c:pt>
                <c:pt idx="23">
                  <c:v>1.8437869500000001</c:v>
                </c:pt>
                <c:pt idx="24">
                  <c:v>1.8437869500000001</c:v>
                </c:pt>
                <c:pt idx="25">
                  <c:v>1.8437869500000001</c:v>
                </c:pt>
                <c:pt idx="26">
                  <c:v>1.8437869500000001</c:v>
                </c:pt>
                <c:pt idx="27">
                  <c:v>1.4219469499999999</c:v>
                </c:pt>
                <c:pt idx="28">
                  <c:v>1.4219468499999999</c:v>
                </c:pt>
                <c:pt idx="29">
                  <c:v>1.4219468499999999</c:v>
                </c:pt>
                <c:pt idx="30">
                  <c:v>1.4219468499999999</c:v>
                </c:pt>
                <c:pt idx="31">
                  <c:v>1.4219468499999999</c:v>
                </c:pt>
                <c:pt idx="32">
                  <c:v>1.4219468499999999</c:v>
                </c:pt>
                <c:pt idx="33">
                  <c:v>1.4219468499999999</c:v>
                </c:pt>
                <c:pt idx="34">
                  <c:v>1.4219468499999999</c:v>
                </c:pt>
                <c:pt idx="35">
                  <c:v>1.4219468499999999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33-4096-A7BB-B1E759ACFA21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('470.lbm'!$N$4:$N$12,'470.lbm'!$N$18:$N$26,'470.lbm'!$N$34:$N$42,'470.lbm'!$N$48:$N$56)</c:f>
              <c:numCache>
                <c:formatCode>General</c:formatCode>
                <c:ptCount val="36"/>
                <c:pt idx="0">
                  <c:v>1.84378705</c:v>
                </c:pt>
                <c:pt idx="1">
                  <c:v>1.8437874000000001</c:v>
                </c:pt>
                <c:pt idx="2">
                  <c:v>1.8437869500000001</c:v>
                </c:pt>
                <c:pt idx="3">
                  <c:v>1.8437869500000001</c:v>
                </c:pt>
                <c:pt idx="4">
                  <c:v>1.8437874000000001</c:v>
                </c:pt>
                <c:pt idx="5">
                  <c:v>1.8437869500000001</c:v>
                </c:pt>
                <c:pt idx="6">
                  <c:v>1.8437869499999999</c:v>
                </c:pt>
                <c:pt idx="7">
                  <c:v>1.8437874000000001</c:v>
                </c:pt>
                <c:pt idx="8">
                  <c:v>1.8437869500000001</c:v>
                </c:pt>
                <c:pt idx="9">
                  <c:v>1.4219469499999999</c:v>
                </c:pt>
                <c:pt idx="10">
                  <c:v>1.4219473</c:v>
                </c:pt>
                <c:pt idx="11">
                  <c:v>1.4219468499999999</c:v>
                </c:pt>
                <c:pt idx="12">
                  <c:v>1.4219468499999999</c:v>
                </c:pt>
                <c:pt idx="13">
                  <c:v>1.4219473</c:v>
                </c:pt>
                <c:pt idx="14">
                  <c:v>1.4219468499999999</c:v>
                </c:pt>
                <c:pt idx="15">
                  <c:v>1.4219468499999999</c:v>
                </c:pt>
                <c:pt idx="16">
                  <c:v>1.4219473</c:v>
                </c:pt>
                <c:pt idx="17">
                  <c:v>1.4219468499999999</c:v>
                </c:pt>
                <c:pt idx="18">
                  <c:v>1.84378705</c:v>
                </c:pt>
                <c:pt idx="19">
                  <c:v>1.8437874000000001</c:v>
                </c:pt>
                <c:pt idx="20">
                  <c:v>1.8437869500000001</c:v>
                </c:pt>
                <c:pt idx="21">
                  <c:v>1.8437869500000001</c:v>
                </c:pt>
                <c:pt idx="22">
                  <c:v>1.8437874000000001</c:v>
                </c:pt>
                <c:pt idx="23">
                  <c:v>1.8437869500000001</c:v>
                </c:pt>
                <c:pt idx="24">
                  <c:v>1.8437869500000001</c:v>
                </c:pt>
                <c:pt idx="25">
                  <c:v>1.8437874000000001</c:v>
                </c:pt>
                <c:pt idx="26">
                  <c:v>1.8437869500000001</c:v>
                </c:pt>
                <c:pt idx="27">
                  <c:v>1.4219469499999999</c:v>
                </c:pt>
                <c:pt idx="28">
                  <c:v>1.4219473</c:v>
                </c:pt>
                <c:pt idx="29">
                  <c:v>1.4219468499999999</c:v>
                </c:pt>
                <c:pt idx="30">
                  <c:v>1.4219468499999999</c:v>
                </c:pt>
                <c:pt idx="31">
                  <c:v>1.4219468499999999</c:v>
                </c:pt>
                <c:pt idx="32">
                  <c:v>1.4219468499999999</c:v>
                </c:pt>
                <c:pt idx="33">
                  <c:v>1.4219468499999999</c:v>
                </c:pt>
                <c:pt idx="34">
                  <c:v>1.4219473</c:v>
                </c:pt>
                <c:pt idx="35">
                  <c:v>1.4219468499999999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33-4096-A7BB-B1E759ACFA21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('470.lbm'!$O$4:$O$12,'470.lbm'!$O$18:$O$26,'470.lbm'!$O$34:$O$42,'470.lbm'!$O$48:$O$56)</c:f>
              <c:numCache>
                <c:formatCode>General</c:formatCode>
                <c:ptCount val="36"/>
                <c:pt idx="0">
                  <c:v>1.84378705</c:v>
                </c:pt>
                <c:pt idx="1">
                  <c:v>1.8437869999999998</c:v>
                </c:pt>
                <c:pt idx="2">
                  <c:v>1.8437869500000001</c:v>
                </c:pt>
                <c:pt idx="3">
                  <c:v>1.8437869500000001</c:v>
                </c:pt>
                <c:pt idx="4">
                  <c:v>1.8437869999999998</c:v>
                </c:pt>
                <c:pt idx="5">
                  <c:v>1.8437869500000001</c:v>
                </c:pt>
                <c:pt idx="6">
                  <c:v>1.8437869500000001</c:v>
                </c:pt>
                <c:pt idx="7">
                  <c:v>1.8437869999999998</c:v>
                </c:pt>
                <c:pt idx="8">
                  <c:v>1.8437869500000001</c:v>
                </c:pt>
                <c:pt idx="9">
                  <c:v>1.4219469499999999</c:v>
                </c:pt>
                <c:pt idx="10">
                  <c:v>1.4219469</c:v>
                </c:pt>
                <c:pt idx="11">
                  <c:v>1.4219468499999999</c:v>
                </c:pt>
                <c:pt idx="12">
                  <c:v>1.4219468499999999</c:v>
                </c:pt>
                <c:pt idx="13">
                  <c:v>1.4219469</c:v>
                </c:pt>
                <c:pt idx="14">
                  <c:v>1.4219468499999999</c:v>
                </c:pt>
                <c:pt idx="15">
                  <c:v>1.4219468499999999</c:v>
                </c:pt>
                <c:pt idx="16">
                  <c:v>1.4219469</c:v>
                </c:pt>
                <c:pt idx="17">
                  <c:v>1.4219468499999999</c:v>
                </c:pt>
                <c:pt idx="18">
                  <c:v>1.84378705</c:v>
                </c:pt>
                <c:pt idx="19">
                  <c:v>1.8437869999999998</c:v>
                </c:pt>
                <c:pt idx="20">
                  <c:v>1.8437869500000001</c:v>
                </c:pt>
                <c:pt idx="21">
                  <c:v>1.8437869500000001</c:v>
                </c:pt>
                <c:pt idx="22">
                  <c:v>1.8437869999999998</c:v>
                </c:pt>
                <c:pt idx="23">
                  <c:v>1.8437869500000001</c:v>
                </c:pt>
                <c:pt idx="24">
                  <c:v>1.8437869500000001</c:v>
                </c:pt>
                <c:pt idx="25">
                  <c:v>1.8437869999999998</c:v>
                </c:pt>
                <c:pt idx="26">
                  <c:v>1.8437869500000001</c:v>
                </c:pt>
                <c:pt idx="27">
                  <c:v>1.4219469499999999</c:v>
                </c:pt>
                <c:pt idx="28">
                  <c:v>1.4219469</c:v>
                </c:pt>
                <c:pt idx="29">
                  <c:v>1.4219468499999999</c:v>
                </c:pt>
                <c:pt idx="30">
                  <c:v>1.4219468499999999</c:v>
                </c:pt>
                <c:pt idx="31">
                  <c:v>1.4219468499999999</c:v>
                </c:pt>
                <c:pt idx="32">
                  <c:v>1.4219468499999999</c:v>
                </c:pt>
                <c:pt idx="33">
                  <c:v>1.4219468499999999</c:v>
                </c:pt>
                <c:pt idx="34">
                  <c:v>1.4219469</c:v>
                </c:pt>
                <c:pt idx="35">
                  <c:v>1.4219468499999999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33-4096-A7BB-B1E759ACFA21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('470.lbm'!$P$4:$P$12,'470.lbm'!$P$18:$P$26,'470.lbm'!$P$34:$P$42,'470.lbm'!$P$48:$P$56)</c:f>
              <c:numCache>
                <c:formatCode>General</c:formatCode>
                <c:ptCount val="36"/>
                <c:pt idx="0">
                  <c:v>1.84378705</c:v>
                </c:pt>
                <c:pt idx="1">
                  <c:v>1.8437869500000001</c:v>
                </c:pt>
                <c:pt idx="2">
                  <c:v>1.8437869500000001</c:v>
                </c:pt>
                <c:pt idx="3">
                  <c:v>1.8437869500000001</c:v>
                </c:pt>
                <c:pt idx="4">
                  <c:v>1.8437869500000001</c:v>
                </c:pt>
                <c:pt idx="5">
                  <c:v>1.8437869500000001</c:v>
                </c:pt>
                <c:pt idx="6">
                  <c:v>1.8437869500000001</c:v>
                </c:pt>
                <c:pt idx="7">
                  <c:v>1.8437869500000001</c:v>
                </c:pt>
                <c:pt idx="8">
                  <c:v>1.8437869500000001</c:v>
                </c:pt>
                <c:pt idx="9">
                  <c:v>1.4219469499999999</c:v>
                </c:pt>
                <c:pt idx="10">
                  <c:v>1.4219468499999999</c:v>
                </c:pt>
                <c:pt idx="11">
                  <c:v>1.4219468499999999</c:v>
                </c:pt>
                <c:pt idx="12">
                  <c:v>1.4219468499999999</c:v>
                </c:pt>
                <c:pt idx="13">
                  <c:v>1.4219468499999999</c:v>
                </c:pt>
                <c:pt idx="14">
                  <c:v>1.4219468499999999</c:v>
                </c:pt>
                <c:pt idx="15">
                  <c:v>1.4219468499999999</c:v>
                </c:pt>
                <c:pt idx="16">
                  <c:v>1.4219468499999999</c:v>
                </c:pt>
                <c:pt idx="17">
                  <c:v>1.4219468499999999</c:v>
                </c:pt>
                <c:pt idx="18">
                  <c:v>1.84378705</c:v>
                </c:pt>
                <c:pt idx="19">
                  <c:v>1.8437869500000001</c:v>
                </c:pt>
                <c:pt idx="20">
                  <c:v>1.8437869500000001</c:v>
                </c:pt>
                <c:pt idx="21">
                  <c:v>1.8437869500000001</c:v>
                </c:pt>
                <c:pt idx="22">
                  <c:v>1.8437869500000001</c:v>
                </c:pt>
                <c:pt idx="23">
                  <c:v>1.8437869500000001</c:v>
                </c:pt>
                <c:pt idx="24">
                  <c:v>1.8437869500000001</c:v>
                </c:pt>
                <c:pt idx="25">
                  <c:v>1.8437869500000001</c:v>
                </c:pt>
                <c:pt idx="26">
                  <c:v>1.8437869500000001</c:v>
                </c:pt>
                <c:pt idx="27">
                  <c:v>1.4219469499999999</c:v>
                </c:pt>
                <c:pt idx="28">
                  <c:v>1.4219468499999999</c:v>
                </c:pt>
                <c:pt idx="29">
                  <c:v>1.4219468499999999</c:v>
                </c:pt>
                <c:pt idx="30">
                  <c:v>1.4219468499999999</c:v>
                </c:pt>
                <c:pt idx="31">
                  <c:v>1.4219468499999999</c:v>
                </c:pt>
                <c:pt idx="32">
                  <c:v>1.4219468499999999</c:v>
                </c:pt>
                <c:pt idx="33">
                  <c:v>1.4219468499999999</c:v>
                </c:pt>
                <c:pt idx="34">
                  <c:v>1.4219468499999999</c:v>
                </c:pt>
                <c:pt idx="35">
                  <c:v>1.4219468499999999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33-4096-A7BB-B1E759AC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388560"/>
        <c:axId val="1792142288"/>
      </c:lineChart>
      <c:catAx>
        <c:axId val="137538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142288"/>
        <c:crosses val="autoZero"/>
        <c:auto val="1"/>
        <c:lblAlgn val="ctr"/>
        <c:lblOffset val="100"/>
        <c:noMultiLvlLbl val="0"/>
      </c:catAx>
      <c:valAx>
        <c:axId val="1792142288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53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Fig.1</a:t>
            </a:r>
            <a:r>
              <a:rPr lang="en-US" altLang="zh-CN" baseline="0"/>
              <a:t> The relationship of cache capacity and CPI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Chart401!$B$7</c:f>
              <c:strCache>
                <c:ptCount val="1"/>
                <c:pt idx="0">
                  <c:v>DL1 cache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Chart401!$C$5:$F$5</c:f>
              <c:strCache>
                <c:ptCount val="4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</c:strCache>
            </c:strRef>
          </c:cat>
          <c:val>
            <c:numRef>
              <c:f>Chart401!$C$7:$F$7</c:f>
              <c:numCache>
                <c:formatCode>General</c:formatCode>
                <c:ptCount val="4"/>
                <c:pt idx="0">
                  <c:v>1.1752742</c:v>
                </c:pt>
                <c:pt idx="1">
                  <c:v>1.1660769499999999</c:v>
                </c:pt>
                <c:pt idx="2">
                  <c:v>1.15885215</c:v>
                </c:pt>
                <c:pt idx="3">
                  <c:v>1.1511984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4-421F-82BA-3B30328C2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09520"/>
        <c:axId val="1609102016"/>
      </c:lineChart>
      <c:lineChart>
        <c:grouping val="standard"/>
        <c:varyColors val="0"/>
        <c:ser>
          <c:idx val="0"/>
          <c:order val="0"/>
          <c:tx>
            <c:strRef>
              <c:f>Chart401!$B$6</c:f>
              <c:strCache>
                <c:ptCount val="1"/>
                <c:pt idx="0">
                  <c:v>IL1 cache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Chart401!$C$5:$F$5</c:f>
              <c:strCache>
                <c:ptCount val="4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</c:strCache>
            </c:strRef>
          </c:cat>
          <c:val>
            <c:numRef>
              <c:f>Chart401!$C$6:$F$6</c:f>
              <c:numCache>
                <c:formatCode>General</c:formatCode>
                <c:ptCount val="4"/>
                <c:pt idx="0">
                  <c:v>1.1512198</c:v>
                </c:pt>
                <c:pt idx="1">
                  <c:v>1.1512048500000001</c:v>
                </c:pt>
                <c:pt idx="2">
                  <c:v>1.1511994000000001</c:v>
                </c:pt>
                <c:pt idx="3">
                  <c:v>1.1511984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4-421F-82BA-3B30328C2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511648"/>
        <c:axId val="1792133136"/>
      </c:lineChart>
      <c:catAx>
        <c:axId val="20743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9102016"/>
        <c:crosses val="autoZero"/>
        <c:auto val="1"/>
        <c:lblAlgn val="ctr"/>
        <c:lblOffset val="100"/>
        <c:noMultiLvlLbl val="0"/>
      </c:catAx>
      <c:valAx>
        <c:axId val="16091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4309520"/>
        <c:crosses val="autoZero"/>
        <c:crossBetween val="between"/>
      </c:valAx>
      <c:valAx>
        <c:axId val="1792133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511648"/>
        <c:crosses val="max"/>
        <c:crossBetween val="between"/>
      </c:valAx>
      <c:catAx>
        <c:axId val="158151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21331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Fig.2 The relationship between</a:t>
            </a:r>
            <a:r>
              <a:rPr lang="en-US" altLang="zh-CN" baseline="0"/>
              <a:t> the Block Size and L2 cache Associativity with CPI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Chart401!$I$3</c:f>
              <c:strCache>
                <c:ptCount val="1"/>
                <c:pt idx="0">
                  <c:v>Block Size
=64bytes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Chart401!$J$2:$L$2</c:f>
              <c:strCache>
                <c:ptCount val="3"/>
                <c:pt idx="0">
                  <c:v>L2 cache_Associativity 2-way</c:v>
                </c:pt>
                <c:pt idx="1">
                  <c:v>L2 cache_Associativity 4-way</c:v>
                </c:pt>
                <c:pt idx="2">
                  <c:v>L2 cache_Associativity 8-way</c:v>
                </c:pt>
              </c:strCache>
            </c:strRef>
          </c:cat>
          <c:val>
            <c:numRef>
              <c:f>Chart401!$J$3:$L$3</c:f>
              <c:numCache>
                <c:formatCode>General</c:formatCode>
                <c:ptCount val="3"/>
                <c:pt idx="0">
                  <c:v>1.15675755</c:v>
                </c:pt>
                <c:pt idx="1">
                  <c:v>1.1524100500000001</c:v>
                </c:pt>
                <c:pt idx="2">
                  <c:v>1.1512935500000001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9-46C9-A061-A60B4836D711}"/>
            </c:ext>
          </c:extLst>
        </c:ser>
        <c:ser>
          <c:idx val="1"/>
          <c:order val="1"/>
          <c:tx>
            <c:strRef>
              <c:f>Chart401!$I$4</c:f>
              <c:strCache>
                <c:ptCount val="1"/>
                <c:pt idx="0">
                  <c:v>Block Size
=128bytes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Chart401!$J$2:$L$2</c:f>
              <c:strCache>
                <c:ptCount val="3"/>
                <c:pt idx="0">
                  <c:v>L2 cache_Associativity 2-way</c:v>
                </c:pt>
                <c:pt idx="1">
                  <c:v>L2 cache_Associativity 4-way</c:v>
                </c:pt>
                <c:pt idx="2">
                  <c:v>L2 cache_Associativity 8-way</c:v>
                </c:pt>
              </c:strCache>
            </c:strRef>
          </c:cat>
          <c:val>
            <c:numRef>
              <c:f>Chart401!$J$4:$L$4</c:f>
              <c:numCache>
                <c:formatCode>General</c:formatCode>
                <c:ptCount val="3"/>
                <c:pt idx="0">
                  <c:v>1.1109188999999999</c:v>
                </c:pt>
                <c:pt idx="1">
                  <c:v>1.1065527500000001</c:v>
                </c:pt>
                <c:pt idx="2">
                  <c:v>1.1051865999999999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9-46C9-A061-A60B4836D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367696"/>
        <c:axId val="2072373120"/>
      </c:lineChart>
      <c:catAx>
        <c:axId val="14243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2373120"/>
        <c:crosses val="autoZero"/>
        <c:auto val="1"/>
        <c:lblAlgn val="ctr"/>
        <c:lblOffset val="100"/>
        <c:noMultiLvlLbl val="0"/>
      </c:catAx>
      <c:valAx>
        <c:axId val="20723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3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Fig.3 The relationship of IL1 cache Associativity and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Chart401!$C$35</c:f>
              <c:strCache>
                <c:ptCount val="1"/>
                <c:pt idx="0">
                  <c:v>IL1 cache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Chart401!$D$34:$G$34</c:f>
              <c:strCache>
                <c:ptCount val="4"/>
                <c:pt idx="0">
                  <c:v>Associativity 1-way</c:v>
                </c:pt>
                <c:pt idx="1">
                  <c:v>Associativity 2-way</c:v>
                </c:pt>
                <c:pt idx="2">
                  <c:v>Associativity 4-way</c:v>
                </c:pt>
                <c:pt idx="3">
                  <c:v>Associativity 8-way</c:v>
                </c:pt>
              </c:strCache>
            </c:strRef>
          </c:cat>
          <c:val>
            <c:numRef>
              <c:f>Chart401!$D$35:$G$35</c:f>
              <c:numCache>
                <c:formatCode>General</c:formatCode>
                <c:ptCount val="4"/>
                <c:pt idx="0">
                  <c:v>1.1515070999999999</c:v>
                </c:pt>
                <c:pt idx="1">
                  <c:v>1.1515046</c:v>
                </c:pt>
                <c:pt idx="2">
                  <c:v>1.1515046</c:v>
                </c:pt>
                <c:pt idx="3">
                  <c:v>1.1515046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3-42BD-B568-84A09134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666848"/>
        <c:axId val="1795381520"/>
      </c:lineChart>
      <c:catAx>
        <c:axId val="17986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381520"/>
        <c:crosses val="autoZero"/>
        <c:auto val="1"/>
        <c:lblAlgn val="ctr"/>
        <c:lblOffset val="100"/>
        <c:noMultiLvlLbl val="0"/>
      </c:catAx>
      <c:valAx>
        <c:axId val="17953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866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baseline="0">
                <a:effectLst/>
              </a:rPr>
              <a:t>Fig.4 The relationship of DL1 cache</a:t>
            </a:r>
            <a:r>
              <a:rPr lang="en-US" altLang="zh-CN" sz="1200" b="0" i="0" baseline="0">
                <a:effectLst/>
              </a:rPr>
              <a:t> </a:t>
            </a:r>
            <a:r>
              <a:rPr lang="en-US" altLang="zh-CN" sz="1600" b="0" i="0" baseline="0">
                <a:effectLst/>
              </a:rPr>
              <a:t>Associativity and CPI</a:t>
            </a:r>
            <a:endParaRPr lang="zh-CN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Chart401!$I$35</c:f>
              <c:strCache>
                <c:ptCount val="1"/>
                <c:pt idx="0">
                  <c:v>DL1 cache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Chart401!$J$34:$M$34</c:f>
              <c:strCache>
                <c:ptCount val="4"/>
                <c:pt idx="0">
                  <c:v>Associativity 1-way</c:v>
                </c:pt>
                <c:pt idx="1">
                  <c:v>Associativity 2-way</c:v>
                </c:pt>
                <c:pt idx="2">
                  <c:v>Associativity 4-way</c:v>
                </c:pt>
                <c:pt idx="3">
                  <c:v>Associativity 8-way</c:v>
                </c:pt>
              </c:strCache>
            </c:strRef>
          </c:cat>
          <c:val>
            <c:numRef>
              <c:f>Chart401!$J$35:$M$35</c:f>
              <c:numCache>
                <c:formatCode>General</c:formatCode>
                <c:ptCount val="4"/>
                <c:pt idx="0">
                  <c:v>1.1530829</c:v>
                </c:pt>
                <c:pt idx="1">
                  <c:v>1.1515046</c:v>
                </c:pt>
                <c:pt idx="2">
                  <c:v>1.1511984</c:v>
                </c:pt>
                <c:pt idx="3">
                  <c:v>1.1512935500000001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9-45C1-9C99-AF3E05821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130352"/>
        <c:axId val="1799197808"/>
      </c:lineChart>
      <c:catAx>
        <c:axId val="20191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197808"/>
        <c:crosses val="autoZero"/>
        <c:auto val="1"/>
        <c:lblAlgn val="ctr"/>
        <c:lblOffset val="100"/>
        <c:noMultiLvlLbl val="0"/>
      </c:catAx>
      <c:valAx>
        <c:axId val="17991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13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Fig.5 The relationship of L2 cache capacity and CPI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Chart401!$C$58</c:f>
              <c:strCache>
                <c:ptCount val="1"/>
                <c:pt idx="0">
                  <c:v>L2 1MB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Chart401!$D$57:$F$57</c:f>
              <c:strCache>
                <c:ptCount val="3"/>
                <c:pt idx="0">
                  <c:v>L2 cache_Associativity 2-way</c:v>
                </c:pt>
                <c:pt idx="1">
                  <c:v>L2 cache_Associativity 4-way</c:v>
                </c:pt>
                <c:pt idx="2">
                  <c:v>L2 cache_Associativity 8-way</c:v>
                </c:pt>
              </c:strCache>
            </c:strRef>
          </c:cat>
          <c:val>
            <c:numRef>
              <c:f>Chart401!$D$58:$F$58</c:f>
              <c:numCache>
                <c:formatCode>General</c:formatCode>
                <c:ptCount val="3"/>
                <c:pt idx="0">
                  <c:v>1.1109188999999999</c:v>
                </c:pt>
                <c:pt idx="1">
                  <c:v>1.1065527500000001</c:v>
                </c:pt>
                <c:pt idx="2">
                  <c:v>1.1051865999999999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3-4D7C-8F95-BB793883FC07}"/>
            </c:ext>
          </c:extLst>
        </c:ser>
        <c:ser>
          <c:idx val="1"/>
          <c:order val="1"/>
          <c:tx>
            <c:strRef>
              <c:f>Chart401!$C$59</c:f>
              <c:strCache>
                <c:ptCount val="1"/>
                <c:pt idx="0">
                  <c:v>L2 4MB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Chart401!$D$57:$F$57</c:f>
              <c:strCache>
                <c:ptCount val="3"/>
                <c:pt idx="0">
                  <c:v>L2 cache_Associativity 2-way</c:v>
                </c:pt>
                <c:pt idx="1">
                  <c:v>L2 cache_Associativity 4-way</c:v>
                </c:pt>
                <c:pt idx="2">
                  <c:v>L2 cache_Associativity 8-way</c:v>
                </c:pt>
              </c:strCache>
            </c:strRef>
          </c:cat>
          <c:val>
            <c:numRef>
              <c:f>Chart401!$D$59:$F$59</c:f>
              <c:numCache>
                <c:formatCode>General</c:formatCode>
                <c:ptCount val="3"/>
                <c:pt idx="0">
                  <c:v>1.07431995</c:v>
                </c:pt>
                <c:pt idx="1">
                  <c:v>1.0743791</c:v>
                </c:pt>
                <c:pt idx="2">
                  <c:v>1.0741965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3-4D7C-8F95-BB793883F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730112"/>
        <c:axId val="1609106592"/>
      </c:barChart>
      <c:catAx>
        <c:axId val="20737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9106592"/>
        <c:crosses val="autoZero"/>
        <c:auto val="1"/>
        <c:lblAlgn val="ctr"/>
        <c:lblOffset val="100"/>
        <c:noMultiLvlLbl val="0"/>
      </c:catAx>
      <c:valAx>
        <c:axId val="16091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7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Fig.6 </a:t>
            </a:r>
            <a:r>
              <a:rPr lang="en-US" altLang="zh-CN" sz="1400" b="0" i="0" u="none" strike="noStrike" baseline="0">
                <a:effectLst/>
              </a:rPr>
              <a:t>The relationship of cache capacity and CPI</a:t>
            </a:r>
            <a:r>
              <a:rPr lang="en-US" altLang="zh-CN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Chart429!$B$6</c:f>
              <c:strCache>
                <c:ptCount val="1"/>
                <c:pt idx="0">
                  <c:v>IL1 cache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Chart429!$C$5:$F$5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Chart429!$C$6:$F$6</c:f>
              <c:numCache>
                <c:formatCode>General</c:formatCode>
                <c:ptCount val="4"/>
                <c:pt idx="0">
                  <c:v>1.066581</c:v>
                </c:pt>
                <c:pt idx="1">
                  <c:v>1.0511679</c:v>
                </c:pt>
                <c:pt idx="2">
                  <c:v>1.0495427500000001</c:v>
                </c:pt>
                <c:pt idx="3">
                  <c:v>1.0495426999999999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6-4E0F-A8FE-55ECCFB1E9BC}"/>
            </c:ext>
          </c:extLst>
        </c:ser>
        <c:ser>
          <c:idx val="1"/>
          <c:order val="1"/>
          <c:tx>
            <c:strRef>
              <c:f>Chart429!$B$7</c:f>
              <c:strCache>
                <c:ptCount val="1"/>
                <c:pt idx="0">
                  <c:v>DL1 cache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Chart429!$C$5:$F$5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Chart429!$C$7:$F$7</c:f>
              <c:numCache>
                <c:formatCode>General</c:formatCode>
                <c:ptCount val="4"/>
                <c:pt idx="0">
                  <c:v>1.0503358</c:v>
                </c:pt>
                <c:pt idx="1">
                  <c:v>1.04991035</c:v>
                </c:pt>
                <c:pt idx="2">
                  <c:v>1.0496874</c:v>
                </c:pt>
                <c:pt idx="3">
                  <c:v>1.0495426999999999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6-4E0F-A8FE-55ECCFB1E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336192"/>
        <c:axId val="1792122320"/>
      </c:lineChart>
      <c:catAx>
        <c:axId val="18013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122320"/>
        <c:crosses val="autoZero"/>
        <c:auto val="1"/>
        <c:lblAlgn val="ctr"/>
        <c:lblOffset val="100"/>
        <c:noMultiLvlLbl val="0"/>
      </c:catAx>
      <c:valAx>
        <c:axId val="17921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3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Fig7.</a:t>
            </a:r>
            <a:r>
              <a:rPr lang="en-US" altLang="zh-CN" baseline="0"/>
              <a:t> </a:t>
            </a:r>
            <a:r>
              <a:rPr lang="en-US" altLang="zh-CN" sz="1400" b="0" i="0" u="none" strike="noStrike" baseline="0">
                <a:effectLst/>
              </a:rPr>
              <a:t>The relationship between the Block Size and L2 cache Associativity with CPI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Chart429!$M$4</c:f>
              <c:strCache>
                <c:ptCount val="1"/>
                <c:pt idx="0">
                  <c:v>Block Size=64bytes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Chart429!$N$3:$P$3</c:f>
              <c:strCache>
                <c:ptCount val="3"/>
                <c:pt idx="0">
                  <c:v>L2 cache_Associativity 2-way</c:v>
                </c:pt>
                <c:pt idx="1">
                  <c:v>L2 cache_Associativity 4-way</c:v>
                </c:pt>
                <c:pt idx="2">
                  <c:v>L2 cache_Associativity 8-way</c:v>
                </c:pt>
              </c:strCache>
            </c:strRef>
          </c:cat>
          <c:val>
            <c:numRef>
              <c:f>Chart429!$N$4:$P$4</c:f>
              <c:numCache>
                <c:formatCode>General</c:formatCode>
                <c:ptCount val="3"/>
                <c:pt idx="0">
                  <c:v>1.0499276500000001</c:v>
                </c:pt>
                <c:pt idx="1">
                  <c:v>1.0497336500000001</c:v>
                </c:pt>
                <c:pt idx="2">
                  <c:v>1.04952815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1-4C8A-AF87-B76B507CC313}"/>
            </c:ext>
          </c:extLst>
        </c:ser>
        <c:ser>
          <c:idx val="1"/>
          <c:order val="1"/>
          <c:tx>
            <c:strRef>
              <c:f>Chart429!$M$5</c:f>
              <c:strCache>
                <c:ptCount val="1"/>
                <c:pt idx="0">
                  <c:v>Block Size=128bytes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Chart429!$N$3:$P$3</c:f>
              <c:strCache>
                <c:ptCount val="3"/>
                <c:pt idx="0">
                  <c:v>L2 cache_Associativity 2-way</c:v>
                </c:pt>
                <c:pt idx="1">
                  <c:v>L2 cache_Associativity 4-way</c:v>
                </c:pt>
                <c:pt idx="2">
                  <c:v>L2 cache_Associativity 8-way</c:v>
                </c:pt>
              </c:strCache>
            </c:strRef>
          </c:cat>
          <c:val>
            <c:numRef>
              <c:f>Chart429!$N$5:$P$5</c:f>
              <c:numCache>
                <c:formatCode>General</c:formatCode>
                <c:ptCount val="3"/>
                <c:pt idx="0">
                  <c:v>1.0275005500000001</c:v>
                </c:pt>
                <c:pt idx="1">
                  <c:v>1.0273580499999999</c:v>
                </c:pt>
                <c:pt idx="2">
                  <c:v>1.0272625500000001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1-4C8A-AF87-B76B507C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428288"/>
        <c:axId val="1792129808"/>
      </c:lineChart>
      <c:catAx>
        <c:axId val="105342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129808"/>
        <c:crosses val="autoZero"/>
        <c:auto val="1"/>
        <c:lblAlgn val="ctr"/>
        <c:lblOffset val="100"/>
        <c:noMultiLvlLbl val="0"/>
      </c:catAx>
      <c:valAx>
        <c:axId val="17921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4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Fig.9 </a:t>
            </a:r>
            <a:r>
              <a:rPr lang="en-US" altLang="zh-CN" sz="1400" b="0" i="0" u="none" strike="noStrike" baseline="0">
                <a:effectLst/>
              </a:rPr>
              <a:t>The relationship of DL1 cache Associativity and CPI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Chart429!$M$30:$P$30</c:f>
              <c:strCache>
                <c:ptCount val="4"/>
                <c:pt idx="0">
                  <c:v>Associativity 1-way</c:v>
                </c:pt>
                <c:pt idx="1">
                  <c:v>Associativity 2-way</c:v>
                </c:pt>
                <c:pt idx="2">
                  <c:v>Associativity 4-way</c:v>
                </c:pt>
                <c:pt idx="3">
                  <c:v>Associativity 8-way</c:v>
                </c:pt>
              </c:strCache>
            </c:strRef>
          </c:cat>
          <c:val>
            <c:numRef>
              <c:f>Chart429!$M$31:$P$31</c:f>
              <c:numCache>
                <c:formatCode>General</c:formatCode>
                <c:ptCount val="4"/>
                <c:pt idx="0">
                  <c:v>1.0500660500000001</c:v>
                </c:pt>
                <c:pt idx="1">
                  <c:v>1.0496729</c:v>
                </c:pt>
                <c:pt idx="2">
                  <c:v>1.0495426999999999</c:v>
                </c:pt>
                <c:pt idx="3">
                  <c:v>1.0495282500000001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D-4EFA-B0C7-D2F7E077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878224"/>
        <c:axId val="1799199888"/>
      </c:lineChart>
      <c:catAx>
        <c:axId val="20778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199888"/>
        <c:crosses val="autoZero"/>
        <c:auto val="1"/>
        <c:lblAlgn val="ctr"/>
        <c:lblOffset val="100"/>
        <c:noMultiLvlLbl val="0"/>
      </c:catAx>
      <c:valAx>
        <c:axId val="1799199888"/>
        <c:scaling>
          <c:orientation val="minMax"/>
          <c:max val="1.06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87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Fig.8 </a:t>
            </a:r>
            <a:r>
              <a:rPr lang="en-US" altLang="zh-CN" sz="1400" b="0" i="0" u="none" strike="noStrike" baseline="0">
                <a:effectLst/>
              </a:rPr>
              <a:t>The relationship of IL1 cache Associativity and CPI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Chart429!$C$30:$F$30</c:f>
              <c:strCache>
                <c:ptCount val="4"/>
                <c:pt idx="0">
                  <c:v>Associativity 1-way</c:v>
                </c:pt>
                <c:pt idx="1">
                  <c:v>Associativity 2-way</c:v>
                </c:pt>
                <c:pt idx="2">
                  <c:v>Associativity 4-way</c:v>
                </c:pt>
                <c:pt idx="3">
                  <c:v>Associativity 8-way</c:v>
                </c:pt>
              </c:strCache>
            </c:strRef>
          </c:cat>
          <c:val>
            <c:numRef>
              <c:f>Chart429!$C$31:$F$31</c:f>
              <c:numCache>
                <c:formatCode>General</c:formatCode>
                <c:ptCount val="4"/>
                <c:pt idx="0">
                  <c:v>1.0496729</c:v>
                </c:pt>
                <c:pt idx="1">
                  <c:v>1.0496729</c:v>
                </c:pt>
                <c:pt idx="2">
                  <c:v>1.0496728</c:v>
                </c:pt>
                <c:pt idx="3">
                  <c:v>1.0496728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E-4CE8-9F89-361C25E4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998528"/>
        <c:axId val="1611560224"/>
      </c:lineChart>
      <c:catAx>
        <c:axId val="207899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1560224"/>
        <c:crosses val="autoZero"/>
        <c:auto val="1"/>
        <c:lblAlgn val="ctr"/>
        <c:lblOffset val="100"/>
        <c:noMultiLvlLbl val="0"/>
      </c:catAx>
      <c:valAx>
        <c:axId val="1611560224"/>
        <c:scaling>
          <c:orientation val="minMax"/>
          <c:max val="1.05967292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89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401.bzip2 CPI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('401.bzip2'!$H$4:$H$15,'401.bzip2'!$H$21:$H$32,'401.bzip2'!$H$40:$H$51,'401.bzip2'!$H$57:$H$68)</c:f>
              <c:numCache>
                <c:formatCode>General</c:formatCode>
                <c:ptCount val="48"/>
                <c:pt idx="0">
                  <c:v>1.15745805</c:v>
                </c:pt>
                <c:pt idx="1">
                  <c:v>1.1574541</c:v>
                </c:pt>
                <c:pt idx="2">
                  <c:v>1.1672838000000001</c:v>
                </c:pt>
                <c:pt idx="3">
                  <c:v>1.1574526000000001</c:v>
                </c:pt>
                <c:pt idx="4">
                  <c:v>1.15682985</c:v>
                </c:pt>
                <c:pt idx="5">
                  <c:v>1.1568263999999999</c:v>
                </c:pt>
                <c:pt idx="6">
                  <c:v>1.16569615</c:v>
                </c:pt>
                <c:pt idx="7">
                  <c:v>1.1568248999999999</c:v>
                </c:pt>
                <c:pt idx="8">
                  <c:v>1.156763</c:v>
                </c:pt>
                <c:pt idx="9">
                  <c:v>1.15675905</c:v>
                </c:pt>
                <c:pt idx="10">
                  <c:v>1.16436545</c:v>
                </c:pt>
                <c:pt idx="11">
                  <c:v>1.15675755</c:v>
                </c:pt>
                <c:pt idx="12">
                  <c:v>1.1120987</c:v>
                </c:pt>
                <c:pt idx="13">
                  <c:v>1.1120952</c:v>
                </c:pt>
                <c:pt idx="14">
                  <c:v>1.1230351999999999</c:v>
                </c:pt>
                <c:pt idx="15">
                  <c:v>1.1120947000000001</c:v>
                </c:pt>
                <c:pt idx="16">
                  <c:v>1.1110854999999999</c:v>
                </c:pt>
                <c:pt idx="17">
                  <c:v>1.1110823000000001</c:v>
                </c:pt>
                <c:pt idx="18">
                  <c:v>1.1211206</c:v>
                </c:pt>
                <c:pt idx="19">
                  <c:v>1.1110818</c:v>
                </c:pt>
                <c:pt idx="20">
                  <c:v>1.1109226000000001</c:v>
                </c:pt>
                <c:pt idx="21">
                  <c:v>1.1109194</c:v>
                </c:pt>
                <c:pt idx="22">
                  <c:v>1.1194778000000001</c:v>
                </c:pt>
                <c:pt idx="23">
                  <c:v>1.1109188999999999</c:v>
                </c:pt>
                <c:pt idx="24">
                  <c:v>1.1127840499999999</c:v>
                </c:pt>
                <c:pt idx="25">
                  <c:v>1.1127735999999999</c:v>
                </c:pt>
                <c:pt idx="26">
                  <c:v>1.1215212999999999</c:v>
                </c:pt>
                <c:pt idx="27">
                  <c:v>1.1127716000000001</c:v>
                </c:pt>
                <c:pt idx="28">
                  <c:v>1.11259135</c:v>
                </c:pt>
                <c:pt idx="29">
                  <c:v>1.1125809</c:v>
                </c:pt>
                <c:pt idx="30">
                  <c:v>1.1201356499999999</c:v>
                </c:pt>
                <c:pt idx="31">
                  <c:v>1.1125788999999999</c:v>
                </c:pt>
                <c:pt idx="32">
                  <c:v>1.1127514999999999</c:v>
                </c:pt>
                <c:pt idx="33">
                  <c:v>1.1127410499999999</c:v>
                </c:pt>
                <c:pt idx="34">
                  <c:v>1.11887695</c:v>
                </c:pt>
                <c:pt idx="35">
                  <c:v>1.1127390500000001</c:v>
                </c:pt>
                <c:pt idx="36">
                  <c:v>1.0746433500000001</c:v>
                </c:pt>
                <c:pt idx="37">
                  <c:v>1.0746348000000001</c:v>
                </c:pt>
                <c:pt idx="38">
                  <c:v>1.0844445</c:v>
                </c:pt>
                <c:pt idx="39">
                  <c:v>1.0746332999999999</c:v>
                </c:pt>
                <c:pt idx="40">
                  <c:v>1.0742518999999999</c:v>
                </c:pt>
                <c:pt idx="41">
                  <c:v>1.0742433499999999</c:v>
                </c:pt>
                <c:pt idx="42">
                  <c:v>1.0827599000000001</c:v>
                </c:pt>
                <c:pt idx="43">
                  <c:v>1.0742418499999999</c:v>
                </c:pt>
                <c:pt idx="44">
                  <c:v>1.07433</c:v>
                </c:pt>
                <c:pt idx="45">
                  <c:v>1.07432145</c:v>
                </c:pt>
                <c:pt idx="46">
                  <c:v>1.0812591</c:v>
                </c:pt>
                <c:pt idx="47">
                  <c:v>1.07431995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5-4D97-AF6C-E3AED0749A95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('401.bzip2'!$I$4:$I$15,'401.bzip2'!$I$21:$I$32,'401.bzip2'!$I$40:$I$51,'401.bzip2'!$I$57:$I$68)</c:f>
              <c:numCache>
                <c:formatCode>General</c:formatCode>
                <c:ptCount val="48"/>
                <c:pt idx="0">
                  <c:v>1.1574566500000001</c:v>
                </c:pt>
                <c:pt idx="1">
                  <c:v>1.1574531000000001</c:v>
                </c:pt>
                <c:pt idx="2">
                  <c:v>1.1672838000000001</c:v>
                </c:pt>
                <c:pt idx="3">
                  <c:v>1.1574526000000001</c:v>
                </c:pt>
                <c:pt idx="4">
                  <c:v>1.15682895</c:v>
                </c:pt>
                <c:pt idx="5">
                  <c:v>1.1568254</c:v>
                </c:pt>
                <c:pt idx="6">
                  <c:v>1.16569615</c:v>
                </c:pt>
                <c:pt idx="7">
                  <c:v>1.1568248999999999</c:v>
                </c:pt>
                <c:pt idx="8">
                  <c:v>1.1567616000000001</c:v>
                </c:pt>
                <c:pt idx="9">
                  <c:v>1.1567580500000001</c:v>
                </c:pt>
                <c:pt idx="10">
                  <c:v>1.16436545</c:v>
                </c:pt>
                <c:pt idx="11">
                  <c:v>1.15675755</c:v>
                </c:pt>
                <c:pt idx="12">
                  <c:v>1.1120972499999999</c:v>
                </c:pt>
                <c:pt idx="13">
                  <c:v>1.1120952</c:v>
                </c:pt>
                <c:pt idx="14">
                  <c:v>1.1230351999999999</c:v>
                </c:pt>
                <c:pt idx="15">
                  <c:v>1.1120947000000001</c:v>
                </c:pt>
                <c:pt idx="16">
                  <c:v>1.11108385</c:v>
                </c:pt>
                <c:pt idx="17">
                  <c:v>1.1110823000000001</c:v>
                </c:pt>
                <c:pt idx="18">
                  <c:v>1.1211206</c:v>
                </c:pt>
                <c:pt idx="19">
                  <c:v>1.1110818</c:v>
                </c:pt>
                <c:pt idx="20">
                  <c:v>1.1109209499999999</c:v>
                </c:pt>
                <c:pt idx="21">
                  <c:v>1.1109194</c:v>
                </c:pt>
                <c:pt idx="22">
                  <c:v>1.1194778000000001</c:v>
                </c:pt>
                <c:pt idx="23">
                  <c:v>1.1109188999999999</c:v>
                </c:pt>
                <c:pt idx="24">
                  <c:v>1.11277815</c:v>
                </c:pt>
                <c:pt idx="25">
                  <c:v>1.1127720999999999</c:v>
                </c:pt>
                <c:pt idx="26">
                  <c:v>1.1215212999999999</c:v>
                </c:pt>
                <c:pt idx="27">
                  <c:v>1.1127716000000001</c:v>
                </c:pt>
                <c:pt idx="28">
                  <c:v>1.1125854500000001</c:v>
                </c:pt>
                <c:pt idx="29">
                  <c:v>1.1125794</c:v>
                </c:pt>
                <c:pt idx="30">
                  <c:v>1.1201356499999999</c:v>
                </c:pt>
                <c:pt idx="31">
                  <c:v>1.1125788999999999</c:v>
                </c:pt>
                <c:pt idx="32">
                  <c:v>1.1127456</c:v>
                </c:pt>
                <c:pt idx="33">
                  <c:v>1.1127395499999999</c:v>
                </c:pt>
                <c:pt idx="34">
                  <c:v>1.11887695</c:v>
                </c:pt>
                <c:pt idx="35">
                  <c:v>1.1127390500000001</c:v>
                </c:pt>
                <c:pt idx="36">
                  <c:v>1.0746388499999999</c:v>
                </c:pt>
                <c:pt idx="37">
                  <c:v>1.0746338</c:v>
                </c:pt>
                <c:pt idx="38">
                  <c:v>1.0844445</c:v>
                </c:pt>
                <c:pt idx="39">
                  <c:v>1.0746332999999999</c:v>
                </c:pt>
                <c:pt idx="40">
                  <c:v>1.0742474</c:v>
                </c:pt>
                <c:pt idx="41">
                  <c:v>1.07424235</c:v>
                </c:pt>
                <c:pt idx="42">
                  <c:v>1.0827599000000001</c:v>
                </c:pt>
                <c:pt idx="43">
                  <c:v>1.0742418499999999</c:v>
                </c:pt>
                <c:pt idx="44">
                  <c:v>1.0743255</c:v>
                </c:pt>
                <c:pt idx="45">
                  <c:v>1.0743204500000001</c:v>
                </c:pt>
                <c:pt idx="46">
                  <c:v>1.0812591</c:v>
                </c:pt>
                <c:pt idx="47">
                  <c:v>1.07431995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5-4D97-AF6C-E3AED0749A95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('401.bzip2'!$J$4:$J$15,'401.bzip2'!$J$21:$J$32,'401.bzip2'!$J$40:$J$51,'401.bzip2'!$J$57:$J$68)</c:f>
              <c:numCache>
                <c:formatCode>General</c:formatCode>
                <c:ptCount val="48"/>
                <c:pt idx="0">
                  <c:v>1.1574536</c:v>
                </c:pt>
                <c:pt idx="1">
                  <c:v>1.1574526000000001</c:v>
                </c:pt>
                <c:pt idx="2">
                  <c:v>1.1672838000000001</c:v>
                </c:pt>
                <c:pt idx="3">
                  <c:v>1.1574526000000001</c:v>
                </c:pt>
                <c:pt idx="4">
                  <c:v>1.1568259000000001</c:v>
                </c:pt>
                <c:pt idx="5">
                  <c:v>1.1568248999999999</c:v>
                </c:pt>
                <c:pt idx="6">
                  <c:v>1.16569615</c:v>
                </c:pt>
                <c:pt idx="7">
                  <c:v>1.1568248999999999</c:v>
                </c:pt>
                <c:pt idx="8">
                  <c:v>1.1567585499999999</c:v>
                </c:pt>
                <c:pt idx="9">
                  <c:v>1.15675755</c:v>
                </c:pt>
                <c:pt idx="10">
                  <c:v>1.16436545</c:v>
                </c:pt>
                <c:pt idx="11">
                  <c:v>1.15675755</c:v>
                </c:pt>
                <c:pt idx="12">
                  <c:v>1.1120957</c:v>
                </c:pt>
                <c:pt idx="13">
                  <c:v>1.1120947000000001</c:v>
                </c:pt>
                <c:pt idx="14">
                  <c:v>1.1230351999999999</c:v>
                </c:pt>
                <c:pt idx="15">
                  <c:v>1.1120947000000001</c:v>
                </c:pt>
                <c:pt idx="16">
                  <c:v>1.1110827999999999</c:v>
                </c:pt>
                <c:pt idx="17">
                  <c:v>1.1110818</c:v>
                </c:pt>
                <c:pt idx="18">
                  <c:v>1.1211206</c:v>
                </c:pt>
                <c:pt idx="19">
                  <c:v>1.1110818</c:v>
                </c:pt>
                <c:pt idx="20">
                  <c:v>1.1109199000000001</c:v>
                </c:pt>
                <c:pt idx="21">
                  <c:v>1.1109188999999999</c:v>
                </c:pt>
                <c:pt idx="22">
                  <c:v>1.1194778000000001</c:v>
                </c:pt>
                <c:pt idx="23">
                  <c:v>1.1109188999999999</c:v>
                </c:pt>
                <c:pt idx="24">
                  <c:v>1.1127741</c:v>
                </c:pt>
                <c:pt idx="25">
                  <c:v>1.1127716000000001</c:v>
                </c:pt>
                <c:pt idx="26">
                  <c:v>1.1215212999999999</c:v>
                </c:pt>
                <c:pt idx="27">
                  <c:v>1.1127716000000001</c:v>
                </c:pt>
                <c:pt idx="28">
                  <c:v>1.1125814000000001</c:v>
                </c:pt>
                <c:pt idx="29">
                  <c:v>1.1125788999999999</c:v>
                </c:pt>
                <c:pt idx="30">
                  <c:v>1.1201356499999999</c:v>
                </c:pt>
                <c:pt idx="31">
                  <c:v>1.1125788999999999</c:v>
                </c:pt>
                <c:pt idx="32">
                  <c:v>1.11274155</c:v>
                </c:pt>
                <c:pt idx="33">
                  <c:v>1.1127390500000001</c:v>
                </c:pt>
                <c:pt idx="34">
                  <c:v>1.11887695</c:v>
                </c:pt>
                <c:pt idx="35">
                  <c:v>1.1127390500000001</c:v>
                </c:pt>
                <c:pt idx="36">
                  <c:v>1.0746353</c:v>
                </c:pt>
                <c:pt idx="37">
                  <c:v>1.0746332999999999</c:v>
                </c:pt>
                <c:pt idx="38">
                  <c:v>1.0844445</c:v>
                </c:pt>
                <c:pt idx="39">
                  <c:v>1.0746332999999999</c:v>
                </c:pt>
                <c:pt idx="40">
                  <c:v>1.07424385</c:v>
                </c:pt>
                <c:pt idx="41">
                  <c:v>1.0742418499999999</c:v>
                </c:pt>
                <c:pt idx="42">
                  <c:v>1.0827599000000001</c:v>
                </c:pt>
                <c:pt idx="43">
                  <c:v>1.0742418499999999</c:v>
                </c:pt>
                <c:pt idx="44">
                  <c:v>1.0743219500000001</c:v>
                </c:pt>
                <c:pt idx="45">
                  <c:v>1.07431995</c:v>
                </c:pt>
                <c:pt idx="46">
                  <c:v>1.0812591</c:v>
                </c:pt>
                <c:pt idx="47">
                  <c:v>1.07431995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5-4D97-AF6C-E3AED0749A95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('401.bzip2'!$N$4:$N$15,'401.bzip2'!$N$21:$N$32,'401.bzip2'!$N$40:$N$51,'401.bzip2'!$N$57:$N$68)</c:f>
              <c:numCache>
                <c:formatCode>General</c:formatCode>
                <c:ptCount val="48"/>
                <c:pt idx="0">
                  <c:v>1.1528025500000001</c:v>
                </c:pt>
                <c:pt idx="1">
                  <c:v>1.1527986000000001</c:v>
                </c:pt>
                <c:pt idx="2">
                  <c:v>1.1615937999999999</c:v>
                </c:pt>
                <c:pt idx="3">
                  <c:v>1.1527976</c:v>
                </c:pt>
                <c:pt idx="4">
                  <c:v>1.1523838500000001</c:v>
                </c:pt>
                <c:pt idx="5">
                  <c:v>1.1523804</c:v>
                </c:pt>
                <c:pt idx="6">
                  <c:v>1.1601761500000001</c:v>
                </c:pt>
                <c:pt idx="7">
                  <c:v>1.1523789</c:v>
                </c:pt>
                <c:pt idx="8">
                  <c:v>1.152415</c:v>
                </c:pt>
                <c:pt idx="9">
                  <c:v>1.1524115500000001</c:v>
                </c:pt>
                <c:pt idx="10">
                  <c:v>1.1588979500000001</c:v>
                </c:pt>
                <c:pt idx="11">
                  <c:v>1.1524100500000001</c:v>
                </c:pt>
                <c:pt idx="12">
                  <c:v>1.1072784499999999</c:v>
                </c:pt>
                <c:pt idx="13">
                  <c:v>1.1072749</c:v>
                </c:pt>
                <c:pt idx="14">
                  <c:v>1.1171637000000001</c:v>
                </c:pt>
                <c:pt idx="15">
                  <c:v>1.1072744000000001</c:v>
                </c:pt>
                <c:pt idx="16">
                  <c:v>1.10664505</c:v>
                </c:pt>
                <c:pt idx="17">
                  <c:v>1.1066415000000001</c:v>
                </c:pt>
                <c:pt idx="18">
                  <c:v>1.1154546000000001</c:v>
                </c:pt>
                <c:pt idx="19">
                  <c:v>1.106641</c:v>
                </c:pt>
                <c:pt idx="20">
                  <c:v>1.1065567999999999</c:v>
                </c:pt>
                <c:pt idx="21">
                  <c:v>1.1065532499999999</c:v>
                </c:pt>
                <c:pt idx="22">
                  <c:v>1.1139378</c:v>
                </c:pt>
                <c:pt idx="23">
                  <c:v>1.1065527500000001</c:v>
                </c:pt>
                <c:pt idx="24">
                  <c:v>1.1129205499999999</c:v>
                </c:pt>
                <c:pt idx="25">
                  <c:v>1.1129091</c:v>
                </c:pt>
                <c:pt idx="26">
                  <c:v>1.1216387999999999</c:v>
                </c:pt>
                <c:pt idx="27">
                  <c:v>1.1129070999999999</c:v>
                </c:pt>
                <c:pt idx="28">
                  <c:v>1.1127098499999999</c:v>
                </c:pt>
                <c:pt idx="29">
                  <c:v>1.1126984</c:v>
                </c:pt>
                <c:pt idx="30">
                  <c:v>1.12025365</c:v>
                </c:pt>
                <c:pt idx="31">
                  <c:v>1.1126963999999999</c:v>
                </c:pt>
                <c:pt idx="32">
                  <c:v>1.11287</c:v>
                </c:pt>
                <c:pt idx="33">
                  <c:v>1.1128585499999999</c:v>
                </c:pt>
                <c:pt idx="34">
                  <c:v>1.1189954499999999</c:v>
                </c:pt>
                <c:pt idx="35">
                  <c:v>1.1128565500000001</c:v>
                </c:pt>
                <c:pt idx="36">
                  <c:v>1.0747035</c:v>
                </c:pt>
                <c:pt idx="37">
                  <c:v>1.0746939499999999</c:v>
                </c:pt>
                <c:pt idx="38">
                  <c:v>1.0845031000000001</c:v>
                </c:pt>
                <c:pt idx="39">
                  <c:v>1.0746924499999999</c:v>
                </c:pt>
                <c:pt idx="40">
                  <c:v>1.0743120500000001</c:v>
                </c:pt>
                <c:pt idx="41">
                  <c:v>1.0743024999999999</c:v>
                </c:pt>
                <c:pt idx="42">
                  <c:v>1.0828184999999999</c:v>
                </c:pt>
                <c:pt idx="43">
                  <c:v>1.074301</c:v>
                </c:pt>
                <c:pt idx="44">
                  <c:v>1.0743901499999999</c:v>
                </c:pt>
                <c:pt idx="45">
                  <c:v>1.0743806</c:v>
                </c:pt>
                <c:pt idx="46">
                  <c:v>1.0813177</c:v>
                </c:pt>
                <c:pt idx="47">
                  <c:v>1.0743791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5-4D97-AF6C-E3AED0749A95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('401.bzip2'!$O$4:$O$15,'401.bzip2'!$O$21:$O$32,'401.bzip2'!$O$40:$O$51,'401.bzip2'!$O$57:$O$68)</c:f>
              <c:numCache>
                <c:formatCode>General</c:formatCode>
                <c:ptCount val="48"/>
                <c:pt idx="0">
                  <c:v>1.1527991499999999</c:v>
                </c:pt>
                <c:pt idx="1">
                  <c:v>1.1527976</c:v>
                </c:pt>
                <c:pt idx="2">
                  <c:v>1.1615937999999999</c:v>
                </c:pt>
                <c:pt idx="3">
                  <c:v>1.1527976</c:v>
                </c:pt>
                <c:pt idx="4">
                  <c:v>1.15238095</c:v>
                </c:pt>
                <c:pt idx="5">
                  <c:v>1.1523789</c:v>
                </c:pt>
                <c:pt idx="6">
                  <c:v>1.1601761500000001</c:v>
                </c:pt>
                <c:pt idx="7">
                  <c:v>1.1523789</c:v>
                </c:pt>
                <c:pt idx="8">
                  <c:v>1.1524121000000001</c:v>
                </c:pt>
                <c:pt idx="9">
                  <c:v>1.1524100500000001</c:v>
                </c:pt>
                <c:pt idx="10">
                  <c:v>1.1588979500000001</c:v>
                </c:pt>
                <c:pt idx="11">
                  <c:v>1.1524100500000001</c:v>
                </c:pt>
                <c:pt idx="12">
                  <c:v>1.10727745</c:v>
                </c:pt>
                <c:pt idx="13">
                  <c:v>1.1072744000000001</c:v>
                </c:pt>
                <c:pt idx="14">
                  <c:v>1.1171637000000001</c:v>
                </c:pt>
                <c:pt idx="15">
                  <c:v>1.1072744000000001</c:v>
                </c:pt>
                <c:pt idx="16">
                  <c:v>1.1066440500000001</c:v>
                </c:pt>
                <c:pt idx="17">
                  <c:v>1.106641</c:v>
                </c:pt>
                <c:pt idx="18">
                  <c:v>1.1154546000000001</c:v>
                </c:pt>
                <c:pt idx="19">
                  <c:v>1.106641</c:v>
                </c:pt>
                <c:pt idx="20">
                  <c:v>1.1065558</c:v>
                </c:pt>
                <c:pt idx="21">
                  <c:v>1.1065527500000001</c:v>
                </c:pt>
                <c:pt idx="22">
                  <c:v>1.1139378</c:v>
                </c:pt>
                <c:pt idx="23">
                  <c:v>1.1065527500000001</c:v>
                </c:pt>
                <c:pt idx="24">
                  <c:v>1.1129141499999999</c:v>
                </c:pt>
                <c:pt idx="25">
                  <c:v>1.1129076</c:v>
                </c:pt>
                <c:pt idx="26">
                  <c:v>1.1216387999999999</c:v>
                </c:pt>
                <c:pt idx="27">
                  <c:v>1.1129070999999999</c:v>
                </c:pt>
                <c:pt idx="28">
                  <c:v>1.1127034499999999</c:v>
                </c:pt>
                <c:pt idx="29">
                  <c:v>1.1126969</c:v>
                </c:pt>
                <c:pt idx="30">
                  <c:v>1.12025365</c:v>
                </c:pt>
                <c:pt idx="31">
                  <c:v>1.1126963999999999</c:v>
                </c:pt>
                <c:pt idx="32">
                  <c:v>1.1128636000000001</c:v>
                </c:pt>
                <c:pt idx="33">
                  <c:v>1.1128570499999999</c:v>
                </c:pt>
                <c:pt idx="34">
                  <c:v>1.1189954499999999</c:v>
                </c:pt>
                <c:pt idx="35">
                  <c:v>1.1128565500000001</c:v>
                </c:pt>
                <c:pt idx="36">
                  <c:v>1.0746990000000001</c:v>
                </c:pt>
                <c:pt idx="37">
                  <c:v>1.07469295</c:v>
                </c:pt>
                <c:pt idx="38">
                  <c:v>1.0845031000000001</c:v>
                </c:pt>
                <c:pt idx="39">
                  <c:v>1.0746924499999999</c:v>
                </c:pt>
                <c:pt idx="40">
                  <c:v>1.0743075499999999</c:v>
                </c:pt>
                <c:pt idx="41">
                  <c:v>1.0743015</c:v>
                </c:pt>
                <c:pt idx="42">
                  <c:v>1.0828184999999999</c:v>
                </c:pt>
                <c:pt idx="43">
                  <c:v>1.074301</c:v>
                </c:pt>
                <c:pt idx="44">
                  <c:v>1.07438565</c:v>
                </c:pt>
                <c:pt idx="45">
                  <c:v>1.0743796000000001</c:v>
                </c:pt>
                <c:pt idx="46">
                  <c:v>1.0813177</c:v>
                </c:pt>
                <c:pt idx="47">
                  <c:v>1.0743791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15-4D97-AF6C-E3AED0749A95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('401.bzip2'!$P$4:$P$15,'401.bzip2'!$P$21:$P$32,'401.bzip2'!$P$40:$P$51,'401.bzip2'!$P$57:$P$68)</c:f>
              <c:numCache>
                <c:formatCode>General</c:formatCode>
                <c:ptCount val="48"/>
                <c:pt idx="0">
                  <c:v>1.1527986000000001</c:v>
                </c:pt>
                <c:pt idx="1">
                  <c:v>1.1527976</c:v>
                </c:pt>
                <c:pt idx="2">
                  <c:v>1.1615937999999999</c:v>
                </c:pt>
                <c:pt idx="3">
                  <c:v>1.1527976</c:v>
                </c:pt>
                <c:pt idx="4">
                  <c:v>1.1523799000000001</c:v>
                </c:pt>
                <c:pt idx="5">
                  <c:v>1.1523789</c:v>
                </c:pt>
                <c:pt idx="6">
                  <c:v>1.1601761500000001</c:v>
                </c:pt>
                <c:pt idx="7">
                  <c:v>1.1523789</c:v>
                </c:pt>
                <c:pt idx="8">
                  <c:v>1.15241105</c:v>
                </c:pt>
                <c:pt idx="9">
                  <c:v>1.1524100500000001</c:v>
                </c:pt>
                <c:pt idx="10">
                  <c:v>1.1588979500000001</c:v>
                </c:pt>
                <c:pt idx="11">
                  <c:v>1.1524100500000001</c:v>
                </c:pt>
                <c:pt idx="12">
                  <c:v>1.1072754</c:v>
                </c:pt>
                <c:pt idx="13">
                  <c:v>1.1072744000000001</c:v>
                </c:pt>
                <c:pt idx="14">
                  <c:v>1.1171637000000001</c:v>
                </c:pt>
                <c:pt idx="15">
                  <c:v>1.1072744000000001</c:v>
                </c:pt>
                <c:pt idx="16">
                  <c:v>1.1066419999999999</c:v>
                </c:pt>
                <c:pt idx="17">
                  <c:v>1.106641</c:v>
                </c:pt>
                <c:pt idx="18">
                  <c:v>1.1154546000000001</c:v>
                </c:pt>
                <c:pt idx="19">
                  <c:v>1.106641</c:v>
                </c:pt>
                <c:pt idx="20">
                  <c:v>1.10655375</c:v>
                </c:pt>
                <c:pt idx="21">
                  <c:v>1.1065527500000001</c:v>
                </c:pt>
                <c:pt idx="22">
                  <c:v>1.1139378</c:v>
                </c:pt>
                <c:pt idx="23">
                  <c:v>1.1065527500000001</c:v>
                </c:pt>
                <c:pt idx="24">
                  <c:v>1.1129096000000001</c:v>
                </c:pt>
                <c:pt idx="25">
                  <c:v>1.1129070999999999</c:v>
                </c:pt>
                <c:pt idx="26">
                  <c:v>1.1216387999999999</c:v>
                </c:pt>
                <c:pt idx="27">
                  <c:v>1.1129070999999999</c:v>
                </c:pt>
                <c:pt idx="28">
                  <c:v>1.1126989</c:v>
                </c:pt>
                <c:pt idx="29">
                  <c:v>1.1126963999999999</c:v>
                </c:pt>
                <c:pt idx="30">
                  <c:v>1.12025365</c:v>
                </c:pt>
                <c:pt idx="31">
                  <c:v>1.1126963999999999</c:v>
                </c:pt>
                <c:pt idx="32">
                  <c:v>1.11285905</c:v>
                </c:pt>
                <c:pt idx="33">
                  <c:v>1.1128565500000001</c:v>
                </c:pt>
                <c:pt idx="34">
                  <c:v>1.1189954499999999</c:v>
                </c:pt>
                <c:pt idx="35">
                  <c:v>1.1128565500000001</c:v>
                </c:pt>
                <c:pt idx="36">
                  <c:v>1.07469445</c:v>
                </c:pt>
                <c:pt idx="37">
                  <c:v>1.0746924499999999</c:v>
                </c:pt>
                <c:pt idx="38">
                  <c:v>1.0845031000000001</c:v>
                </c:pt>
                <c:pt idx="39">
                  <c:v>1.0746924499999999</c:v>
                </c:pt>
                <c:pt idx="40">
                  <c:v>1.074303</c:v>
                </c:pt>
                <c:pt idx="41">
                  <c:v>1.074301</c:v>
                </c:pt>
                <c:pt idx="42">
                  <c:v>1.0828184999999999</c:v>
                </c:pt>
                <c:pt idx="43">
                  <c:v>1.074301</c:v>
                </c:pt>
                <c:pt idx="44">
                  <c:v>1.0743811000000001</c:v>
                </c:pt>
                <c:pt idx="45">
                  <c:v>1.0743791</c:v>
                </c:pt>
                <c:pt idx="46">
                  <c:v>1.0813177</c:v>
                </c:pt>
                <c:pt idx="47">
                  <c:v>1.0743791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15-4D97-AF6C-E3AED0749A95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('401.bzip2'!$T$4:$T$15,'401.bzip2'!$T$21:$T$32,'401.bzip2'!$T$40:$T$51,'401.bzip2'!$T$57:$T$68)</c:f>
              <c:numCache>
                <c:formatCode>General</c:formatCode>
                <c:ptCount val="48"/>
                <c:pt idx="0">
                  <c:v>1.15151055</c:v>
                </c:pt>
                <c:pt idx="1">
                  <c:v>1.1515055999999999</c:v>
                </c:pt>
                <c:pt idx="2">
                  <c:v>1.1602493</c:v>
                </c:pt>
                <c:pt idx="3">
                  <c:v>1.1515046</c:v>
                </c:pt>
                <c:pt idx="4">
                  <c:v>1.1512048500000001</c:v>
                </c:pt>
                <c:pt idx="5">
                  <c:v>1.1511994000000001</c:v>
                </c:pt>
                <c:pt idx="6">
                  <c:v>1.15885215</c:v>
                </c:pt>
                <c:pt idx="7">
                  <c:v>1.1511984</c:v>
                </c:pt>
                <c:pt idx="8">
                  <c:v>1.1512994999999999</c:v>
                </c:pt>
                <c:pt idx="9">
                  <c:v>1.15129405</c:v>
                </c:pt>
                <c:pt idx="10">
                  <c:v>1.15758345</c:v>
                </c:pt>
                <c:pt idx="11">
                  <c:v>1.1512935500000001</c:v>
                </c:pt>
                <c:pt idx="12">
                  <c:v>1.1056426500000001</c:v>
                </c:pt>
                <c:pt idx="13">
                  <c:v>1.1056395999999999</c:v>
                </c:pt>
                <c:pt idx="14">
                  <c:v>1.1154637000000001</c:v>
                </c:pt>
                <c:pt idx="15">
                  <c:v>1.1056391000000001</c:v>
                </c:pt>
                <c:pt idx="16">
                  <c:v>1.1051845499999999</c:v>
                </c:pt>
                <c:pt idx="17">
                  <c:v>1.105181</c:v>
                </c:pt>
                <c:pt idx="18">
                  <c:v>1.1137706000000001</c:v>
                </c:pt>
                <c:pt idx="19">
                  <c:v>1.1051804999999999</c:v>
                </c:pt>
                <c:pt idx="20">
                  <c:v>1.1051901500000001</c:v>
                </c:pt>
                <c:pt idx="21">
                  <c:v>1.1051871</c:v>
                </c:pt>
                <c:pt idx="22">
                  <c:v>1.1122653</c:v>
                </c:pt>
                <c:pt idx="23">
                  <c:v>1.1051865999999999</c:v>
                </c:pt>
                <c:pt idx="24">
                  <c:v>1.1125755500000001</c:v>
                </c:pt>
                <c:pt idx="25">
                  <c:v>1.1125670999999999</c:v>
                </c:pt>
                <c:pt idx="26">
                  <c:v>1.1212877999999999</c:v>
                </c:pt>
                <c:pt idx="27">
                  <c:v>1.1125670999999999</c:v>
                </c:pt>
                <c:pt idx="28">
                  <c:v>1.11235335</c:v>
                </c:pt>
                <c:pt idx="29">
                  <c:v>1.1123449000000001</c:v>
                </c:pt>
                <c:pt idx="30">
                  <c:v>1.11990265</c:v>
                </c:pt>
                <c:pt idx="31">
                  <c:v>1.1123449000000001</c:v>
                </c:pt>
                <c:pt idx="32">
                  <c:v>1.1125134999999999</c:v>
                </c:pt>
                <c:pt idx="33">
                  <c:v>1.11250505</c:v>
                </c:pt>
                <c:pt idx="34">
                  <c:v>1.1186444499999999</c:v>
                </c:pt>
                <c:pt idx="35">
                  <c:v>1.11250505</c:v>
                </c:pt>
                <c:pt idx="36">
                  <c:v>1.0745153999999999</c:v>
                </c:pt>
                <c:pt idx="37">
                  <c:v>1.07450935</c:v>
                </c:pt>
                <c:pt idx="38">
                  <c:v>1.084319</c:v>
                </c:pt>
                <c:pt idx="39">
                  <c:v>1.07450935</c:v>
                </c:pt>
                <c:pt idx="40">
                  <c:v>1.0741239499999999</c:v>
                </c:pt>
                <c:pt idx="41">
                  <c:v>1.0741179000000001</c:v>
                </c:pt>
                <c:pt idx="42">
                  <c:v>1.0826343999999999</c:v>
                </c:pt>
                <c:pt idx="43">
                  <c:v>1.0741179000000001</c:v>
                </c:pt>
                <c:pt idx="44">
                  <c:v>1.0742025500000001</c:v>
                </c:pt>
                <c:pt idx="45">
                  <c:v>1.0741965</c:v>
                </c:pt>
                <c:pt idx="46">
                  <c:v>1.0811336</c:v>
                </c:pt>
                <c:pt idx="47">
                  <c:v>1.0741965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15-4D97-AF6C-E3AED0749A95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('401.bzip2'!$U$4:$U$15,'401.bzip2'!$U$21:$U$32,'401.bzip2'!$U$40:$U$51,'401.bzip2'!$U$57:$U$68)</c:f>
              <c:numCache>
                <c:formatCode>General</c:formatCode>
                <c:ptCount val="48"/>
                <c:pt idx="0">
                  <c:v>1.1515076500000001</c:v>
                </c:pt>
                <c:pt idx="1">
                  <c:v>1.1515046</c:v>
                </c:pt>
                <c:pt idx="2">
                  <c:v>1.1602493</c:v>
                </c:pt>
                <c:pt idx="3">
                  <c:v>1.1515046</c:v>
                </c:pt>
                <c:pt idx="4">
                  <c:v>1.1512014500000001</c:v>
                </c:pt>
                <c:pt idx="5">
                  <c:v>1.1511984</c:v>
                </c:pt>
                <c:pt idx="6">
                  <c:v>1.15885215</c:v>
                </c:pt>
                <c:pt idx="7">
                  <c:v>1.1511984</c:v>
                </c:pt>
                <c:pt idx="8">
                  <c:v>1.1512960999999999</c:v>
                </c:pt>
                <c:pt idx="9">
                  <c:v>1.1512935500000001</c:v>
                </c:pt>
                <c:pt idx="10">
                  <c:v>1.15758345</c:v>
                </c:pt>
                <c:pt idx="11">
                  <c:v>1.1512935500000001</c:v>
                </c:pt>
                <c:pt idx="12">
                  <c:v>1.1056416499999999</c:v>
                </c:pt>
                <c:pt idx="13">
                  <c:v>1.1056391000000001</c:v>
                </c:pt>
                <c:pt idx="14">
                  <c:v>1.1154637000000001</c:v>
                </c:pt>
                <c:pt idx="15">
                  <c:v>1.1056391000000001</c:v>
                </c:pt>
                <c:pt idx="16">
                  <c:v>1.1051830499999999</c:v>
                </c:pt>
                <c:pt idx="17">
                  <c:v>1.1051804999999999</c:v>
                </c:pt>
                <c:pt idx="18">
                  <c:v>1.1137706000000001</c:v>
                </c:pt>
                <c:pt idx="19">
                  <c:v>1.1051804999999999</c:v>
                </c:pt>
                <c:pt idx="20">
                  <c:v>1.10518915</c:v>
                </c:pt>
                <c:pt idx="21">
                  <c:v>1.1051865999999999</c:v>
                </c:pt>
                <c:pt idx="22">
                  <c:v>1.1122653</c:v>
                </c:pt>
                <c:pt idx="23">
                  <c:v>1.1051865999999999</c:v>
                </c:pt>
                <c:pt idx="24">
                  <c:v>1.11256865</c:v>
                </c:pt>
                <c:pt idx="25">
                  <c:v>1.1125670999999999</c:v>
                </c:pt>
                <c:pt idx="26">
                  <c:v>1.1212877999999999</c:v>
                </c:pt>
                <c:pt idx="27">
                  <c:v>1.1125670999999999</c:v>
                </c:pt>
                <c:pt idx="28">
                  <c:v>1.11234645</c:v>
                </c:pt>
                <c:pt idx="29">
                  <c:v>1.1123449000000001</c:v>
                </c:pt>
                <c:pt idx="30">
                  <c:v>1.11990265</c:v>
                </c:pt>
                <c:pt idx="31">
                  <c:v>1.1123449000000001</c:v>
                </c:pt>
                <c:pt idx="32">
                  <c:v>1.1125065999999999</c:v>
                </c:pt>
                <c:pt idx="33">
                  <c:v>1.11250505</c:v>
                </c:pt>
                <c:pt idx="34">
                  <c:v>1.1186444499999999</c:v>
                </c:pt>
                <c:pt idx="35">
                  <c:v>1.11250505</c:v>
                </c:pt>
                <c:pt idx="36">
                  <c:v>1.0745108999999999</c:v>
                </c:pt>
                <c:pt idx="37">
                  <c:v>1.07450935</c:v>
                </c:pt>
                <c:pt idx="38">
                  <c:v>1.084319</c:v>
                </c:pt>
                <c:pt idx="39">
                  <c:v>1.07450935</c:v>
                </c:pt>
                <c:pt idx="40">
                  <c:v>1.07411945</c:v>
                </c:pt>
                <c:pt idx="41">
                  <c:v>1.0741179000000001</c:v>
                </c:pt>
                <c:pt idx="42">
                  <c:v>1.0826343999999999</c:v>
                </c:pt>
                <c:pt idx="43">
                  <c:v>1.0741179000000001</c:v>
                </c:pt>
                <c:pt idx="44">
                  <c:v>1.0741980499999999</c:v>
                </c:pt>
                <c:pt idx="45">
                  <c:v>1.0741965</c:v>
                </c:pt>
                <c:pt idx="46">
                  <c:v>1.0811336</c:v>
                </c:pt>
                <c:pt idx="47">
                  <c:v>1.0741965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15-4D97-AF6C-E3AED0749A95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('401.bzip2'!$V$4:$V$15,'401.bzip2'!$V$21:$V$32,'401.bzip2'!$V$40:$V$51,'401.bzip2'!$V$57:$V$68)</c:f>
              <c:numCache>
                <c:formatCode>General</c:formatCode>
                <c:ptCount val="48"/>
                <c:pt idx="0">
                  <c:v>1.1515055999999999</c:v>
                </c:pt>
                <c:pt idx="1">
                  <c:v>1.1515046</c:v>
                </c:pt>
                <c:pt idx="2">
                  <c:v>1.1602493</c:v>
                </c:pt>
                <c:pt idx="3">
                  <c:v>1.1515046</c:v>
                </c:pt>
                <c:pt idx="4">
                  <c:v>1.1511994000000001</c:v>
                </c:pt>
                <c:pt idx="5">
                  <c:v>1.1511984</c:v>
                </c:pt>
                <c:pt idx="6">
                  <c:v>1.15885215</c:v>
                </c:pt>
                <c:pt idx="7">
                  <c:v>1.1511984</c:v>
                </c:pt>
                <c:pt idx="8">
                  <c:v>1.15129455</c:v>
                </c:pt>
                <c:pt idx="9">
                  <c:v>1.1512935500000001</c:v>
                </c:pt>
                <c:pt idx="10">
                  <c:v>1.15758345</c:v>
                </c:pt>
                <c:pt idx="11">
                  <c:v>1.1512935500000001</c:v>
                </c:pt>
                <c:pt idx="12">
                  <c:v>1.1056401</c:v>
                </c:pt>
                <c:pt idx="13">
                  <c:v>1.1056391000000001</c:v>
                </c:pt>
                <c:pt idx="14">
                  <c:v>1.1154637000000001</c:v>
                </c:pt>
                <c:pt idx="15">
                  <c:v>1.1056391000000001</c:v>
                </c:pt>
                <c:pt idx="16">
                  <c:v>1.1051815</c:v>
                </c:pt>
                <c:pt idx="17">
                  <c:v>1.1051804999999999</c:v>
                </c:pt>
                <c:pt idx="18">
                  <c:v>1.1137706000000001</c:v>
                </c:pt>
                <c:pt idx="19">
                  <c:v>1.1051804999999999</c:v>
                </c:pt>
                <c:pt idx="20">
                  <c:v>1.1051876</c:v>
                </c:pt>
                <c:pt idx="21">
                  <c:v>1.1051865999999999</c:v>
                </c:pt>
                <c:pt idx="22">
                  <c:v>1.1122653</c:v>
                </c:pt>
                <c:pt idx="23">
                  <c:v>1.1051865999999999</c:v>
                </c:pt>
                <c:pt idx="24">
                  <c:v>1.1125670999999999</c:v>
                </c:pt>
                <c:pt idx="25">
                  <c:v>1.1125670999999999</c:v>
                </c:pt>
                <c:pt idx="26">
                  <c:v>1.1212877999999999</c:v>
                </c:pt>
                <c:pt idx="27">
                  <c:v>1.1125670999999999</c:v>
                </c:pt>
                <c:pt idx="28">
                  <c:v>1.1123449000000001</c:v>
                </c:pt>
                <c:pt idx="29">
                  <c:v>1.1123449000000001</c:v>
                </c:pt>
                <c:pt idx="30">
                  <c:v>1.11990265</c:v>
                </c:pt>
                <c:pt idx="31">
                  <c:v>1.1123449000000001</c:v>
                </c:pt>
                <c:pt idx="32">
                  <c:v>1.11250505</c:v>
                </c:pt>
                <c:pt idx="33">
                  <c:v>1.11250505</c:v>
                </c:pt>
                <c:pt idx="34">
                  <c:v>1.1186444499999999</c:v>
                </c:pt>
                <c:pt idx="35">
                  <c:v>1.11250505</c:v>
                </c:pt>
                <c:pt idx="36">
                  <c:v>1.0745103499999999</c:v>
                </c:pt>
                <c:pt idx="37">
                  <c:v>1.07450935</c:v>
                </c:pt>
                <c:pt idx="38">
                  <c:v>1.084319</c:v>
                </c:pt>
                <c:pt idx="39">
                  <c:v>1.07450935</c:v>
                </c:pt>
                <c:pt idx="40">
                  <c:v>1.0741189</c:v>
                </c:pt>
                <c:pt idx="41">
                  <c:v>1.0741179000000001</c:v>
                </c:pt>
                <c:pt idx="42">
                  <c:v>1.0826343999999999</c:v>
                </c:pt>
                <c:pt idx="43">
                  <c:v>1.0741179000000001</c:v>
                </c:pt>
                <c:pt idx="44">
                  <c:v>1.0741974999999999</c:v>
                </c:pt>
                <c:pt idx="45">
                  <c:v>1.0741965</c:v>
                </c:pt>
                <c:pt idx="46">
                  <c:v>1.0811336</c:v>
                </c:pt>
                <c:pt idx="47">
                  <c:v>1.0741965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15-4D97-AF6C-E3AED0749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524304"/>
        <c:axId val="2072388512"/>
      </c:lineChart>
      <c:catAx>
        <c:axId val="157052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2388512"/>
        <c:crosses val="autoZero"/>
        <c:auto val="1"/>
        <c:lblAlgn val="ctr"/>
        <c:lblOffset val="100"/>
        <c:noMultiLvlLbl val="0"/>
      </c:catAx>
      <c:valAx>
        <c:axId val="2072388512"/>
        <c:scaling>
          <c:orientation val="minMax"/>
          <c:min val="1.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5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Fig.10 </a:t>
            </a:r>
            <a:r>
              <a:rPr lang="en-US" altLang="zh-CN" sz="1400" b="0" i="0" u="none" strike="noStrike" baseline="0">
                <a:effectLst/>
              </a:rPr>
              <a:t>The relationship of L2 cache capacity and CPI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Chart429!$B$65</c:f>
              <c:strCache>
                <c:ptCount val="1"/>
                <c:pt idx="0">
                  <c:v>L2 1MB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Chart429!$C$64:$F$64</c:f>
              <c:strCache>
                <c:ptCount val="4"/>
                <c:pt idx="0">
                  <c:v>L2 cache_Associativity 1-way</c:v>
                </c:pt>
                <c:pt idx="1">
                  <c:v>L2 cache_Associativity 2-way</c:v>
                </c:pt>
                <c:pt idx="2">
                  <c:v>L2 cache_Associativity 4-way</c:v>
                </c:pt>
                <c:pt idx="3">
                  <c:v>L2 cache_Associativity 8-way</c:v>
                </c:pt>
              </c:strCache>
            </c:strRef>
          </c:cat>
          <c:val>
            <c:numRef>
              <c:f>Chart429!$C$65:$F$65</c:f>
              <c:numCache>
                <c:formatCode>General</c:formatCode>
                <c:ptCount val="4"/>
                <c:pt idx="0">
                  <c:v>1.02768945</c:v>
                </c:pt>
                <c:pt idx="1">
                  <c:v>1.0275005500000001</c:v>
                </c:pt>
                <c:pt idx="2">
                  <c:v>1.0273580499999999</c:v>
                </c:pt>
                <c:pt idx="3">
                  <c:v>1.0272625500000001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C-4E2D-86FB-EE69A43FEF32}"/>
            </c:ext>
          </c:extLst>
        </c:ser>
        <c:ser>
          <c:idx val="1"/>
          <c:order val="1"/>
          <c:tx>
            <c:strRef>
              <c:f>Chart429!$B$66</c:f>
              <c:strCache>
                <c:ptCount val="1"/>
                <c:pt idx="0">
                  <c:v>L2 4MB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Chart429!$C$64:$F$64</c:f>
              <c:strCache>
                <c:ptCount val="4"/>
                <c:pt idx="0">
                  <c:v>L2 cache_Associativity 1-way</c:v>
                </c:pt>
                <c:pt idx="1">
                  <c:v>L2 cache_Associativity 2-way</c:v>
                </c:pt>
                <c:pt idx="2">
                  <c:v>L2 cache_Associativity 4-way</c:v>
                </c:pt>
                <c:pt idx="3">
                  <c:v>L2 cache_Associativity 8-way</c:v>
                </c:pt>
              </c:strCache>
            </c:strRef>
          </c:cat>
          <c:val>
            <c:numRef>
              <c:f>Chart429!$C$66:$F$66</c:f>
              <c:numCache>
                <c:formatCode>General</c:formatCode>
                <c:ptCount val="4"/>
                <c:pt idx="0">
                  <c:v>1.02366545</c:v>
                </c:pt>
                <c:pt idx="1">
                  <c:v>1.02358145</c:v>
                </c:pt>
                <c:pt idx="2">
                  <c:v>1.0235539499999999</c:v>
                </c:pt>
                <c:pt idx="3">
                  <c:v>1.02360545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C-4E2D-86FB-EE69A43FE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456400"/>
        <c:axId val="1143843328"/>
      </c:lineChart>
      <c:catAx>
        <c:axId val="10554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843328"/>
        <c:crosses val="autoZero"/>
        <c:auto val="1"/>
        <c:lblAlgn val="ctr"/>
        <c:lblOffset val="100"/>
        <c:noMultiLvlLbl val="0"/>
      </c:catAx>
      <c:valAx>
        <c:axId val="1143843328"/>
        <c:scaling>
          <c:orientation val="minMax"/>
          <c:min val="1.02299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4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Fig.11 </a:t>
            </a:r>
            <a:r>
              <a:rPr lang="en-US" altLang="zh-CN" sz="1400" b="0" i="0" u="none" strike="noStrike" baseline="0">
                <a:effectLst/>
              </a:rPr>
              <a:t>The relationship of cache capacity and CPI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Chart456!$A$3</c:f>
              <c:strCache>
                <c:ptCount val="1"/>
                <c:pt idx="0">
                  <c:v>IL1 cache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Chart456!$B$2:$E$2</c:f>
              <c:strCache>
                <c:ptCount val="4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</c:strCache>
            </c:strRef>
          </c:cat>
          <c:val>
            <c:numRef>
              <c:f>Chart456!$B$3:$E$3</c:f>
              <c:numCache>
                <c:formatCode>General</c:formatCode>
                <c:ptCount val="4"/>
                <c:pt idx="0">
                  <c:v>1.0033821999999999</c:v>
                </c:pt>
                <c:pt idx="1">
                  <c:v>1.0033754500000001</c:v>
                </c:pt>
                <c:pt idx="2">
                  <c:v>1.003333</c:v>
                </c:pt>
                <c:pt idx="3">
                  <c:v>1.0033326499999999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F-4ED0-8ABA-DD3AF0F87069}"/>
            </c:ext>
          </c:extLst>
        </c:ser>
        <c:ser>
          <c:idx val="1"/>
          <c:order val="1"/>
          <c:tx>
            <c:strRef>
              <c:f>Chart456!$A$4</c:f>
              <c:strCache>
                <c:ptCount val="1"/>
                <c:pt idx="0">
                  <c:v>DL1 cache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Chart456!$B$2:$E$2</c:f>
              <c:strCache>
                <c:ptCount val="4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</c:strCache>
            </c:strRef>
          </c:cat>
          <c:val>
            <c:numRef>
              <c:f>Chart456!$B$4:$E$4</c:f>
              <c:numCache>
                <c:formatCode>General</c:formatCode>
                <c:ptCount val="4"/>
                <c:pt idx="0">
                  <c:v>1.0083479500000001</c:v>
                </c:pt>
                <c:pt idx="1">
                  <c:v>1.0072938</c:v>
                </c:pt>
                <c:pt idx="2">
                  <c:v>1.0049322000000001</c:v>
                </c:pt>
                <c:pt idx="3">
                  <c:v>1.0033326499999999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F-4ED0-8ABA-DD3AF0F87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821648"/>
        <c:axId val="1143829184"/>
      </c:lineChart>
      <c:catAx>
        <c:axId val="20668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829184"/>
        <c:crosses val="autoZero"/>
        <c:auto val="1"/>
        <c:lblAlgn val="ctr"/>
        <c:lblOffset val="100"/>
        <c:noMultiLvlLbl val="0"/>
      </c:catAx>
      <c:valAx>
        <c:axId val="11438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68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Fig.12 </a:t>
            </a:r>
            <a:r>
              <a:rPr lang="en-US" altLang="zh-CN" sz="1400" b="0" i="0" u="none" strike="noStrike" baseline="0">
                <a:effectLst/>
              </a:rPr>
              <a:t>The relationship between the Block Size and L2 cache Associativity with CPI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Chart456!$K$4</c:f>
              <c:strCache>
                <c:ptCount val="1"/>
                <c:pt idx="0">
                  <c:v>Block Size=64bytes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Chart456!$L$3:$O$3</c:f>
              <c:strCache>
                <c:ptCount val="4"/>
                <c:pt idx="0">
                  <c:v>L2 cache_Associativity 1-way</c:v>
                </c:pt>
                <c:pt idx="1">
                  <c:v>L2 cache_Associativity 2-way</c:v>
                </c:pt>
                <c:pt idx="2">
                  <c:v>L2 cache_Associativity 4-way</c:v>
                </c:pt>
                <c:pt idx="3">
                  <c:v>L2 cache_Associativity 8-way</c:v>
                </c:pt>
              </c:strCache>
            </c:strRef>
          </c:cat>
          <c:val>
            <c:numRef>
              <c:f>Chart456!$L$4:$O$4</c:f>
              <c:numCache>
                <c:formatCode>General</c:formatCode>
                <c:ptCount val="4"/>
                <c:pt idx="0">
                  <c:v>1.0033279500000001</c:v>
                </c:pt>
                <c:pt idx="1">
                  <c:v>1.0033279500000001</c:v>
                </c:pt>
                <c:pt idx="2">
                  <c:v>1.0033279500000001</c:v>
                </c:pt>
                <c:pt idx="3">
                  <c:v>1.0033279500000001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A-4082-9C9E-37D91851F693}"/>
            </c:ext>
          </c:extLst>
        </c:ser>
        <c:ser>
          <c:idx val="1"/>
          <c:order val="1"/>
          <c:tx>
            <c:strRef>
              <c:f>Chart456!$K$5</c:f>
              <c:strCache>
                <c:ptCount val="1"/>
                <c:pt idx="0">
                  <c:v>Block Size=128bytes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Chart456!$L$3:$O$3</c:f>
              <c:strCache>
                <c:ptCount val="4"/>
                <c:pt idx="0">
                  <c:v>L2 cache_Associativity 1-way</c:v>
                </c:pt>
                <c:pt idx="1">
                  <c:v>L2 cache_Associativity 2-way</c:v>
                </c:pt>
                <c:pt idx="2">
                  <c:v>L2 cache_Associativity 4-way</c:v>
                </c:pt>
                <c:pt idx="3">
                  <c:v>L2 cache_Associativity 8-way</c:v>
                </c:pt>
              </c:strCache>
            </c:strRef>
          </c:cat>
          <c:val>
            <c:numRef>
              <c:f>Chart456!$L$5:$O$5</c:f>
              <c:numCache>
                <c:formatCode>General</c:formatCode>
                <c:ptCount val="4"/>
                <c:pt idx="0">
                  <c:v>1.00177965</c:v>
                </c:pt>
                <c:pt idx="1">
                  <c:v>1.00177965</c:v>
                </c:pt>
                <c:pt idx="2">
                  <c:v>1.00177965</c:v>
                </c:pt>
                <c:pt idx="3">
                  <c:v>1.00177965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A-4082-9C9E-37D91851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577456"/>
        <c:axId val="1143849152"/>
      </c:lineChart>
      <c:catAx>
        <c:axId val="14275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849152"/>
        <c:crosses val="autoZero"/>
        <c:auto val="1"/>
        <c:lblAlgn val="ctr"/>
        <c:lblOffset val="100"/>
        <c:noMultiLvlLbl val="0"/>
      </c:catAx>
      <c:valAx>
        <c:axId val="11438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5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Fig.13 </a:t>
            </a:r>
            <a:r>
              <a:rPr lang="en-US" altLang="zh-CN" sz="1400" b="0" i="0" u="none" strike="noStrike" baseline="0">
                <a:effectLst/>
              </a:rPr>
              <a:t>The relationship of IL1 cache Associativity and CPI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Chart456!$B$33:$E$33</c:f>
              <c:strCache>
                <c:ptCount val="4"/>
                <c:pt idx="0">
                  <c:v>Associativity 1-way</c:v>
                </c:pt>
                <c:pt idx="1">
                  <c:v>Associativity 2-way</c:v>
                </c:pt>
                <c:pt idx="2">
                  <c:v>Associativity 4-way</c:v>
                </c:pt>
                <c:pt idx="3">
                  <c:v>Associativity 8-way</c:v>
                </c:pt>
              </c:strCache>
            </c:strRef>
          </c:cat>
          <c:val>
            <c:numRef>
              <c:f>Chart456!$B$34:$E$34</c:f>
              <c:numCache>
                <c:formatCode>General</c:formatCode>
                <c:ptCount val="4"/>
                <c:pt idx="0">
                  <c:v>1.00346365</c:v>
                </c:pt>
                <c:pt idx="1">
                  <c:v>1.00333425</c:v>
                </c:pt>
                <c:pt idx="2">
                  <c:v>1.0033341499999999</c:v>
                </c:pt>
                <c:pt idx="3">
                  <c:v>1.0033341499999999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B-4D9A-8A4A-5244C5CB2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88832"/>
        <c:axId val="1143856224"/>
      </c:lineChart>
      <c:catAx>
        <c:axId val="114788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856224"/>
        <c:crosses val="autoZero"/>
        <c:auto val="1"/>
        <c:lblAlgn val="ctr"/>
        <c:lblOffset val="100"/>
        <c:noMultiLvlLbl val="0"/>
      </c:catAx>
      <c:valAx>
        <c:axId val="1143856224"/>
        <c:scaling>
          <c:orientation val="minMax"/>
          <c:max val="1.0034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88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Fig.14 </a:t>
            </a:r>
            <a:r>
              <a:rPr lang="en-US" altLang="zh-CN" sz="1400" b="0" i="0" u="none" strike="noStrike" baseline="0">
                <a:effectLst/>
              </a:rPr>
              <a:t>The relationship of DL1 cache Associativity and CPI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Chart456!$L$33:$O$33</c:f>
              <c:strCache>
                <c:ptCount val="4"/>
                <c:pt idx="0">
                  <c:v>Associativity 1-way</c:v>
                </c:pt>
                <c:pt idx="1">
                  <c:v>Associativity 2-way</c:v>
                </c:pt>
                <c:pt idx="2">
                  <c:v>Associativity 4-way</c:v>
                </c:pt>
                <c:pt idx="3">
                  <c:v>Associativity 8-way</c:v>
                </c:pt>
              </c:strCache>
            </c:strRef>
          </c:cat>
          <c:val>
            <c:numRef>
              <c:f>Chart456!$L$34:$O$34</c:f>
              <c:numCache>
                <c:formatCode>General</c:formatCode>
                <c:ptCount val="4"/>
                <c:pt idx="0">
                  <c:v>1.0041746</c:v>
                </c:pt>
                <c:pt idx="1">
                  <c:v>1.00333425</c:v>
                </c:pt>
                <c:pt idx="2">
                  <c:v>1.0033326499999999</c:v>
                </c:pt>
                <c:pt idx="3">
                  <c:v>1.0033280499999999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C-4565-8126-50FF8DA9A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759584"/>
        <c:axId val="1143856640"/>
      </c:lineChart>
      <c:catAx>
        <c:axId val="156975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856640"/>
        <c:crosses val="autoZero"/>
        <c:auto val="1"/>
        <c:lblAlgn val="ctr"/>
        <c:lblOffset val="100"/>
        <c:noMultiLvlLbl val="0"/>
      </c:catAx>
      <c:valAx>
        <c:axId val="11438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75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Fig.15 </a:t>
            </a:r>
            <a:r>
              <a:rPr lang="en-US" altLang="zh-CN" sz="1400" b="0" i="0" u="none" strike="noStrike" baseline="0">
                <a:effectLst/>
              </a:rPr>
              <a:t>The relationship of L2 cache capacity and CPI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Chart456!$B$60</c:f>
              <c:strCache>
                <c:ptCount val="1"/>
                <c:pt idx="0">
                  <c:v>L2 1MB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Chart456!$C$59:$E$59</c:f>
              <c:strCache>
                <c:ptCount val="3"/>
                <c:pt idx="0">
                  <c:v>L2 cache_Associativity 2-way</c:v>
                </c:pt>
                <c:pt idx="1">
                  <c:v>L2 cache_Associativity 4-way</c:v>
                </c:pt>
                <c:pt idx="2">
                  <c:v>L2 cache_Associativity 8-way</c:v>
                </c:pt>
              </c:strCache>
            </c:strRef>
          </c:cat>
          <c:val>
            <c:numRef>
              <c:f>Chart456!$C$60:$E$60</c:f>
              <c:numCache>
                <c:formatCode>General</c:formatCode>
                <c:ptCount val="3"/>
                <c:pt idx="0">
                  <c:v>1.00177965</c:v>
                </c:pt>
                <c:pt idx="1">
                  <c:v>1.00177965</c:v>
                </c:pt>
                <c:pt idx="2">
                  <c:v>1.00177965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1-4A1B-AFDF-5EF7F58305A9}"/>
            </c:ext>
          </c:extLst>
        </c:ser>
        <c:ser>
          <c:idx val="1"/>
          <c:order val="1"/>
          <c:tx>
            <c:strRef>
              <c:f>Chart456!$B$61</c:f>
              <c:strCache>
                <c:ptCount val="1"/>
                <c:pt idx="0">
                  <c:v>L2 4MB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Chart456!$C$59:$E$59</c:f>
              <c:strCache>
                <c:ptCount val="3"/>
                <c:pt idx="0">
                  <c:v>L2 cache_Associativity 2-way</c:v>
                </c:pt>
                <c:pt idx="1">
                  <c:v>L2 cache_Associativity 4-way</c:v>
                </c:pt>
                <c:pt idx="2">
                  <c:v>L2 cache_Associativity 8-way</c:v>
                </c:pt>
              </c:strCache>
            </c:strRef>
          </c:cat>
          <c:val>
            <c:numRef>
              <c:f>Chart456!$C$61:$E$61</c:f>
              <c:numCache>
                <c:formatCode>General</c:formatCode>
                <c:ptCount val="3"/>
                <c:pt idx="0">
                  <c:v>1.00177965</c:v>
                </c:pt>
                <c:pt idx="1">
                  <c:v>1.00177965</c:v>
                </c:pt>
                <c:pt idx="2">
                  <c:v>1.00177965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1-4A1B-AFDF-5EF7F5830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460976"/>
        <c:axId val="1143844992"/>
      </c:barChart>
      <c:catAx>
        <c:axId val="180246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844992"/>
        <c:crosses val="autoZero"/>
        <c:auto val="1"/>
        <c:lblAlgn val="ctr"/>
        <c:lblOffset val="100"/>
        <c:noMultiLvlLbl val="0"/>
      </c:catAx>
      <c:valAx>
        <c:axId val="11438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4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Fig.16 </a:t>
            </a:r>
            <a:r>
              <a:rPr lang="en-US" altLang="zh-CN" sz="1400" b="0" i="0" u="none" strike="noStrike" baseline="0">
                <a:effectLst/>
              </a:rPr>
              <a:t>The relationship of cache capacity and CPI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Chart458!$A$3</c:f>
              <c:strCache>
                <c:ptCount val="1"/>
                <c:pt idx="0">
                  <c:v>IL1 cache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Chart458!$B$2:$E$2</c:f>
              <c:strCache>
                <c:ptCount val="4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</c:strCache>
            </c:strRef>
          </c:cat>
          <c:val>
            <c:numRef>
              <c:f>Chart458!$B$3:$E$3</c:f>
              <c:numCache>
                <c:formatCode>General</c:formatCode>
                <c:ptCount val="4"/>
                <c:pt idx="0">
                  <c:v>5.5722062000000001</c:v>
                </c:pt>
                <c:pt idx="1">
                  <c:v>5.5651051499999999</c:v>
                </c:pt>
                <c:pt idx="2">
                  <c:v>5.5632795000000002</c:v>
                </c:pt>
                <c:pt idx="3">
                  <c:v>5.5632463999999997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6-4CBF-8065-3CF4C8C42C73}"/>
            </c:ext>
          </c:extLst>
        </c:ser>
        <c:ser>
          <c:idx val="1"/>
          <c:order val="1"/>
          <c:tx>
            <c:strRef>
              <c:f>Chart458!$A$4</c:f>
              <c:strCache>
                <c:ptCount val="1"/>
                <c:pt idx="0">
                  <c:v>DL1 cache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Chart458!$B$2:$E$2</c:f>
              <c:strCache>
                <c:ptCount val="4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</c:strCache>
            </c:strRef>
          </c:cat>
          <c:val>
            <c:numRef>
              <c:f>Chart458!$B$4:$E$4</c:f>
              <c:numCache>
                <c:formatCode>General</c:formatCode>
                <c:ptCount val="4"/>
                <c:pt idx="0">
                  <c:v>5.5644275499999996</c:v>
                </c:pt>
                <c:pt idx="1">
                  <c:v>5.5636267999999998</c:v>
                </c:pt>
                <c:pt idx="2">
                  <c:v>5.5633196500000004</c:v>
                </c:pt>
                <c:pt idx="3">
                  <c:v>5.5632463999999997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6-4CBF-8065-3CF4C8C42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047952"/>
        <c:axId val="1143816288"/>
      </c:lineChart>
      <c:catAx>
        <c:axId val="208204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816288"/>
        <c:crosses val="autoZero"/>
        <c:auto val="1"/>
        <c:lblAlgn val="ctr"/>
        <c:lblOffset val="100"/>
        <c:noMultiLvlLbl val="0"/>
      </c:catAx>
      <c:valAx>
        <c:axId val="11438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04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Fig.17 </a:t>
            </a:r>
            <a:r>
              <a:rPr lang="en-US" altLang="zh-CN" sz="1400" b="0" i="0" u="none" strike="noStrike" baseline="0">
                <a:effectLst/>
              </a:rPr>
              <a:t>The relationship between the Block Size and L2 cache Associativity with CPI</a:t>
            </a:r>
            <a:r>
              <a:rPr lang="en-US" altLang="zh-CN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Chart458!$K$3:$L$3</c:f>
              <c:strCache>
                <c:ptCount val="2"/>
                <c:pt idx="0">
                  <c:v>Block Size=64bytes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Chart458!$M$2:$O$2</c:f>
              <c:strCache>
                <c:ptCount val="3"/>
                <c:pt idx="0">
                  <c:v>L2 cache_Associativity 2-way</c:v>
                </c:pt>
                <c:pt idx="1">
                  <c:v>L2 cache_Associativity 4-way</c:v>
                </c:pt>
                <c:pt idx="2">
                  <c:v>L2 cache_Associativity 8-way</c:v>
                </c:pt>
              </c:strCache>
            </c:strRef>
          </c:cat>
          <c:val>
            <c:numRef>
              <c:f>Chart458!$M$3:$O$3</c:f>
              <c:numCache>
                <c:formatCode>General</c:formatCode>
                <c:ptCount val="3"/>
                <c:pt idx="0">
                  <c:v>5.5632484</c:v>
                </c:pt>
                <c:pt idx="1">
                  <c:v>5.5632434000000002</c:v>
                </c:pt>
                <c:pt idx="2">
                  <c:v>5.5632378999999998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D-44D9-BBF8-7D12777109F0}"/>
            </c:ext>
          </c:extLst>
        </c:ser>
        <c:ser>
          <c:idx val="1"/>
          <c:order val="1"/>
          <c:tx>
            <c:strRef>
              <c:f>Chart458!$K$4:$L$4</c:f>
              <c:strCache>
                <c:ptCount val="2"/>
                <c:pt idx="0">
                  <c:v>Block Size=128bytes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Chart458!$M$2:$O$2</c:f>
              <c:strCache>
                <c:ptCount val="3"/>
                <c:pt idx="0">
                  <c:v>L2 cache_Associativity 2-way</c:v>
                </c:pt>
                <c:pt idx="1">
                  <c:v>L2 cache_Associativity 4-way</c:v>
                </c:pt>
                <c:pt idx="2">
                  <c:v>L2 cache_Associativity 8-way</c:v>
                </c:pt>
              </c:strCache>
            </c:strRef>
          </c:cat>
          <c:val>
            <c:numRef>
              <c:f>Chart458!$M$4:$O$4</c:f>
              <c:numCache>
                <c:formatCode>General</c:formatCode>
                <c:ptCount val="3"/>
                <c:pt idx="0">
                  <c:v>3.28320145</c:v>
                </c:pt>
                <c:pt idx="1">
                  <c:v>3.2831739500000001</c:v>
                </c:pt>
                <c:pt idx="2">
                  <c:v>3.2831644500000001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D-44D9-BBF8-7D1277710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23136"/>
        <c:axId val="1143804224"/>
      </c:lineChart>
      <c:catAx>
        <c:axId val="16153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804224"/>
        <c:crosses val="autoZero"/>
        <c:auto val="1"/>
        <c:lblAlgn val="ctr"/>
        <c:lblOffset val="100"/>
        <c:noMultiLvlLbl val="0"/>
      </c:catAx>
      <c:valAx>
        <c:axId val="114380422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53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Fig.18 </a:t>
            </a:r>
            <a:r>
              <a:rPr lang="en-US" altLang="zh-CN" sz="1400" b="0" i="0" u="none" strike="noStrike" baseline="0">
                <a:effectLst/>
              </a:rPr>
              <a:t>The relationship of IL1 cache Associativity and CPI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Chart458!$B$31:$E$31</c:f>
              <c:strCache>
                <c:ptCount val="4"/>
                <c:pt idx="0">
                  <c:v>Associativity 1-way</c:v>
                </c:pt>
                <c:pt idx="1">
                  <c:v>Associativity 2-way</c:v>
                </c:pt>
                <c:pt idx="2">
                  <c:v>Associativity 4-way</c:v>
                </c:pt>
                <c:pt idx="3">
                  <c:v>Associativity 8-way</c:v>
                </c:pt>
              </c:strCache>
            </c:strRef>
          </c:cat>
          <c:val>
            <c:numRef>
              <c:f>Chart458!$B$32:$E$32</c:f>
              <c:numCache>
                <c:formatCode>General</c:formatCode>
                <c:ptCount val="4"/>
                <c:pt idx="0">
                  <c:v>5.5633081500000001</c:v>
                </c:pt>
                <c:pt idx="1">
                  <c:v>5.5632707999999997</c:v>
                </c:pt>
                <c:pt idx="2">
                  <c:v>5.5632707999999997</c:v>
                </c:pt>
                <c:pt idx="3">
                  <c:v>5.5632707999999997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C-4462-911E-0A4D302F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333536"/>
        <c:axId val="1143796736"/>
      </c:lineChart>
      <c:catAx>
        <c:axId val="16153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796736"/>
        <c:crosses val="autoZero"/>
        <c:auto val="1"/>
        <c:lblAlgn val="ctr"/>
        <c:lblOffset val="100"/>
        <c:noMultiLvlLbl val="0"/>
      </c:catAx>
      <c:valAx>
        <c:axId val="11437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533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Fig.19 </a:t>
            </a:r>
            <a:r>
              <a:rPr lang="en-US" altLang="zh-CN" sz="1400" b="0" i="0" u="none" strike="noStrike" baseline="0">
                <a:effectLst/>
              </a:rPr>
              <a:t>The relationship of DL1 cache Associativity and CPI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Chart458!$L$32:$O$32</c:f>
              <c:strCache>
                <c:ptCount val="4"/>
                <c:pt idx="0">
                  <c:v>Associativity 1-way</c:v>
                </c:pt>
                <c:pt idx="1">
                  <c:v>Associativity 2-way</c:v>
                </c:pt>
                <c:pt idx="2">
                  <c:v>Associativity 4-way</c:v>
                </c:pt>
                <c:pt idx="3">
                  <c:v>Associativity 8-way</c:v>
                </c:pt>
              </c:strCache>
            </c:strRef>
          </c:cat>
          <c:val>
            <c:numRef>
              <c:f>Chart458!$L$33:$O$33</c:f>
              <c:numCache>
                <c:formatCode>General</c:formatCode>
                <c:ptCount val="4"/>
                <c:pt idx="0">
                  <c:v>5.5636868000000002</c:v>
                </c:pt>
                <c:pt idx="1">
                  <c:v>5.5632707999999997</c:v>
                </c:pt>
                <c:pt idx="2">
                  <c:v>5.5632463999999997</c:v>
                </c:pt>
                <c:pt idx="3">
                  <c:v>5.5632378999999998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5-44BF-9AB0-2C060B12E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90432"/>
        <c:axId val="1143800480"/>
      </c:lineChart>
      <c:catAx>
        <c:axId val="11478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800480"/>
        <c:crosses val="autoZero"/>
        <c:auto val="1"/>
        <c:lblAlgn val="ctr"/>
        <c:lblOffset val="100"/>
        <c:noMultiLvlLbl val="0"/>
      </c:catAx>
      <c:valAx>
        <c:axId val="11438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89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429.mcf Total cost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('429.mcf'!$B$89:$B$103,'429.mcf'!$B$109:$B$120,'429.mcf'!$B$127:$B$138,'429.mcf'!$B$144:$B$155)</c:f>
              <c:numCache>
                <c:formatCode>General</c:formatCode>
                <c:ptCount val="51"/>
                <c:pt idx="0">
                  <c:v>1284.8283727999999</c:v>
                </c:pt>
                <c:pt idx="1">
                  <c:v>1400.8945031999999</c:v>
                </c:pt>
                <c:pt idx="2">
                  <c:v>1667.5547506</c:v>
                </c:pt>
                <c:pt idx="3">
                  <c:v>1667.8346356</c:v>
                </c:pt>
                <c:pt idx="4">
                  <c:v>2205.2045400000002</c:v>
                </c:pt>
                <c:pt idx="5">
                  <c:v>1305.9822959999999</c:v>
                </c:pt>
                <c:pt idx="6">
                  <c:v>1421.7211527999998</c:v>
                </c:pt>
                <c:pt idx="7">
                  <c:v>1688.3095499999999</c:v>
                </c:pt>
                <c:pt idx="8">
                  <c:v>1688.6032511999999</c:v>
                </c:pt>
                <c:pt idx="9">
                  <c:v>2225.8806439999998</c:v>
                </c:pt>
                <c:pt idx="10">
                  <c:v>1348.6412952000001</c:v>
                </c:pt>
                <c:pt idx="11">
                  <c:v>1463.7617064000001</c:v>
                </c:pt>
                <c:pt idx="12">
                  <c:v>1730.2810144000002</c:v>
                </c:pt>
                <c:pt idx="13">
                  <c:v>1730.4442488000002</c:v>
                </c:pt>
                <c:pt idx="14">
                  <c:v>2267.8439399999997</c:v>
                </c:pt>
                <c:pt idx="15">
                  <c:v>1254.7653356000001</c:v>
                </c:pt>
                <c:pt idx="16">
                  <c:v>1371.6105497999999</c:v>
                </c:pt>
                <c:pt idx="17">
                  <c:v>1631.6887384000001</c:v>
                </c:pt>
                <c:pt idx="18">
                  <c:v>1631.9353547999999</c:v>
                </c:pt>
                <c:pt idx="19">
                  <c:v>1275.4241568</c:v>
                </c:pt>
                <c:pt idx="20">
                  <c:v>1392.0035844000001</c:v>
                </c:pt>
                <c:pt idx="21">
                  <c:v>1652.0006687999999</c:v>
                </c:pt>
                <c:pt idx="22">
                  <c:v>1652.3457456000001</c:v>
                </c:pt>
                <c:pt idx="23">
                  <c:v>1317.0731479999999</c:v>
                </c:pt>
                <c:pt idx="24">
                  <c:v>1433.1537840000001</c:v>
                </c:pt>
                <c:pt idx="25">
                  <c:v>1693.0557432000001</c:v>
                </c:pt>
                <c:pt idx="26">
                  <c:v>1693.3209064</c:v>
                </c:pt>
                <c:pt idx="27">
                  <c:v>1464.8559948</c:v>
                </c:pt>
                <c:pt idx="28">
                  <c:v>1730.4097552999999</c:v>
                </c:pt>
                <c:pt idx="29">
                  <c:v>1730.6160918</c:v>
                </c:pt>
                <c:pt idx="30">
                  <c:v>2266.0624853999998</c:v>
                </c:pt>
                <c:pt idx="31">
                  <c:v>1422.8654132000001</c:v>
                </c:pt>
                <c:pt idx="32">
                  <c:v>1688.4695565</c:v>
                </c:pt>
                <c:pt idx="33">
                  <c:v>1688.6352335999998</c:v>
                </c:pt>
                <c:pt idx="34">
                  <c:v>2224.0930021999998</c:v>
                </c:pt>
                <c:pt idx="35">
                  <c:v>1464.7593231000001</c:v>
                </c:pt>
                <c:pt idx="36">
                  <c:v>1730.2953812000001</c:v>
                </c:pt>
                <c:pt idx="37">
                  <c:v>1730.4253029000001</c:v>
                </c:pt>
                <c:pt idx="38">
                  <c:v>2265.9127064999998</c:v>
                </c:pt>
                <c:pt idx="39">
                  <c:v>1431.0740936999998</c:v>
                </c:pt>
                <c:pt idx="40">
                  <c:v>1693.1304974</c:v>
                </c:pt>
                <c:pt idx="41">
                  <c:v>1693.3579223999998</c:v>
                </c:pt>
                <c:pt idx="42">
                  <c:v>2217.2434446000002</c:v>
                </c:pt>
                <c:pt idx="43">
                  <c:v>1390.0426210999999</c:v>
                </c:pt>
                <c:pt idx="44">
                  <c:v>1652.0829756000001</c:v>
                </c:pt>
                <c:pt idx="45">
                  <c:v>1652.2755258</c:v>
                </c:pt>
                <c:pt idx="46">
                  <c:v>2176.1638204000001</c:v>
                </c:pt>
                <c:pt idx="47">
                  <c:v>1430.9669369999999</c:v>
                </c:pt>
                <c:pt idx="48">
                  <c:v>1693.0037182999999</c:v>
                </c:pt>
                <c:pt idx="49">
                  <c:v>1693.1626676999999</c:v>
                </c:pt>
                <c:pt idx="50">
                  <c:v>2217.0774206999999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A-42FC-A359-5EAF43593EFA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('429.mcf'!$C$89:$C$103,'429.mcf'!$C$109:$C$120,'429.mcf'!$C$127:$C$138,'429.mcf'!$C$144:$C$155)</c:f>
              <c:numCache>
                <c:formatCode>General</c:formatCode>
                <c:ptCount val="51"/>
                <c:pt idx="0">
                  <c:v>1274.8456193</c:v>
                </c:pt>
                <c:pt idx="1">
                  <c:v>1409.2305765999999</c:v>
                </c:pt>
                <c:pt idx="2">
                  <c:v>1678.0554854</c:v>
                </c:pt>
                <c:pt idx="3">
                  <c:v>1678.3373726</c:v>
                </c:pt>
                <c:pt idx="4">
                  <c:v>2215.7053030000002</c:v>
                </c:pt>
                <c:pt idx="5">
                  <c:v>1295.6583525000001</c:v>
                </c:pt>
                <c:pt idx="6">
                  <c:v>1430.0231831999999</c:v>
                </c:pt>
                <c:pt idx="7">
                  <c:v>1698.8087447999999</c:v>
                </c:pt>
                <c:pt idx="8">
                  <c:v>1699.1045151999999</c:v>
                </c:pt>
                <c:pt idx="9">
                  <c:v>2236.379868</c:v>
                </c:pt>
                <c:pt idx="10">
                  <c:v>1337.6366821999998</c:v>
                </c:pt>
                <c:pt idx="11">
                  <c:v>1471.9985653000001</c:v>
                </c:pt>
                <c:pt idx="12">
                  <c:v>1740.7800437000001</c:v>
                </c:pt>
                <c:pt idx="13">
                  <c:v>1740.9445173000001</c:v>
                </c:pt>
                <c:pt idx="14">
                  <c:v>2278.3430005</c:v>
                </c:pt>
                <c:pt idx="15">
                  <c:v>1247.4243943000001</c:v>
                </c:pt>
                <c:pt idx="16">
                  <c:v>1378.9206343000001</c:v>
                </c:pt>
                <c:pt idx="17">
                  <c:v>1641.9635367999999</c:v>
                </c:pt>
                <c:pt idx="18">
                  <c:v>1642.2120258</c:v>
                </c:pt>
                <c:pt idx="19">
                  <c:v>1267.7915475</c:v>
                </c:pt>
                <c:pt idx="20">
                  <c:v>1399.2690189</c:v>
                </c:pt>
                <c:pt idx="21">
                  <c:v>1662.2739812</c:v>
                </c:pt>
                <c:pt idx="22">
                  <c:v>1662.6215276</c:v>
                </c:pt>
                <c:pt idx="23">
                  <c:v>1308.8557482000001</c:v>
                </c:pt>
                <c:pt idx="24">
                  <c:v>1440.3299790000001</c:v>
                </c:pt>
                <c:pt idx="25">
                  <c:v>1703.3288080999998</c:v>
                </c:pt>
                <c:pt idx="26">
                  <c:v>1703.5959119000001</c:v>
                </c:pt>
                <c:pt idx="27">
                  <c:v>1473.0450943999999</c:v>
                </c:pt>
                <c:pt idx="28">
                  <c:v>1740.8714751999998</c:v>
                </c:pt>
                <c:pt idx="29">
                  <c:v>1741.0793088</c:v>
                </c:pt>
                <c:pt idx="30">
                  <c:v>2276.5242367999999</c:v>
                </c:pt>
                <c:pt idx="31">
                  <c:v>1431.1189728000002</c:v>
                </c:pt>
                <c:pt idx="32">
                  <c:v>1698.9307104000002</c:v>
                </c:pt>
                <c:pt idx="33">
                  <c:v>1699.0976575999998</c:v>
                </c:pt>
                <c:pt idx="34">
                  <c:v>2234.5541856</c:v>
                </c:pt>
                <c:pt idx="35">
                  <c:v>1472.9477312000001</c:v>
                </c:pt>
                <c:pt idx="36">
                  <c:v>1740.7564096000001</c:v>
                </c:pt>
                <c:pt idx="37">
                  <c:v>1740.8873664</c:v>
                </c:pt>
                <c:pt idx="38">
                  <c:v>2276.3737664</c:v>
                </c:pt>
                <c:pt idx="39">
                  <c:v>1441.3106048</c:v>
                </c:pt>
                <c:pt idx="40">
                  <c:v>1703.3670784000001</c:v>
                </c:pt>
                <c:pt idx="41">
                  <c:v>1703.5958783999999</c:v>
                </c:pt>
                <c:pt idx="42">
                  <c:v>2227.4800255999999</c:v>
                </c:pt>
                <c:pt idx="43">
                  <c:v>1400.2785072000001</c:v>
                </c:pt>
                <c:pt idx="44">
                  <c:v>1662.3189296</c:v>
                </c:pt>
                <c:pt idx="45">
                  <c:v>1662.5126728</c:v>
                </c:pt>
                <c:pt idx="46">
                  <c:v>2186.3997744000003</c:v>
                </c:pt>
                <c:pt idx="47">
                  <c:v>1441.2026816</c:v>
                </c:pt>
                <c:pt idx="48">
                  <c:v>1703.2395328</c:v>
                </c:pt>
                <c:pt idx="49">
                  <c:v>1703.3994432</c:v>
                </c:pt>
                <c:pt idx="50">
                  <c:v>2227.3132352000002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A-42FC-A359-5EAF43593EFA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('429.mcf'!$D$89:$D$103,'429.mcf'!$D$109:$D$120,'429.mcf'!$D$127:$D$138,'429.mcf'!$D$144:$D$155)</c:f>
              <c:numCache>
                <c:formatCode>General</c:formatCode>
                <c:ptCount val="51"/>
                <c:pt idx="0">
                  <c:v>1295.8201916</c:v>
                </c:pt>
                <c:pt idx="1">
                  <c:v>1430.2325226</c:v>
                </c:pt>
                <c:pt idx="2">
                  <c:v>1699.0574314</c:v>
                </c:pt>
                <c:pt idx="3">
                  <c:v>1699.0574314</c:v>
                </c:pt>
                <c:pt idx="4">
                  <c:v>2237.082981</c:v>
                </c:pt>
                <c:pt idx="5">
                  <c:v>1316.6293998000001</c:v>
                </c:pt>
                <c:pt idx="6">
                  <c:v>1451.0220552000001</c:v>
                </c:pt>
                <c:pt idx="7">
                  <c:v>1719.8076168</c:v>
                </c:pt>
                <c:pt idx="8">
                  <c:v>1720.1070431999999</c:v>
                </c:pt>
                <c:pt idx="9">
                  <c:v>2257.3787400000001</c:v>
                </c:pt>
                <c:pt idx="10">
                  <c:v>1358.6065085</c:v>
                </c:pt>
                <c:pt idx="11">
                  <c:v>1492.9971183000002</c:v>
                </c:pt>
                <c:pt idx="12">
                  <c:v>1761.7785967000002</c:v>
                </c:pt>
                <c:pt idx="13">
                  <c:v>1761.9450543</c:v>
                </c:pt>
                <c:pt idx="14">
                  <c:v>2299.3415535000004</c:v>
                </c:pt>
                <c:pt idx="15">
                  <c:v>1267.9495612000001</c:v>
                </c:pt>
                <c:pt idx="16">
                  <c:v>1399.4707991999999</c:v>
                </c:pt>
                <c:pt idx="17">
                  <c:v>1662.5137688</c:v>
                </c:pt>
                <c:pt idx="18">
                  <c:v>1662.5137688</c:v>
                </c:pt>
                <c:pt idx="19">
                  <c:v>1288.3139543999998</c:v>
                </c:pt>
                <c:pt idx="20">
                  <c:v>1419.8162188000001</c:v>
                </c:pt>
                <c:pt idx="21">
                  <c:v>1682.8212492</c:v>
                </c:pt>
                <c:pt idx="22">
                  <c:v>1683.1730915999999</c:v>
                </c:pt>
                <c:pt idx="23">
                  <c:v>1329.3775071</c:v>
                </c:pt>
                <c:pt idx="24">
                  <c:v>1460.8766979</c:v>
                </c:pt>
                <c:pt idx="25">
                  <c:v>1723.8755970999998</c:v>
                </c:pt>
                <c:pt idx="26">
                  <c:v>1724.1459229000002</c:v>
                </c:pt>
                <c:pt idx="27">
                  <c:v>1493.9690303999998</c:v>
                </c:pt>
                <c:pt idx="28">
                  <c:v>1761.7954112</c:v>
                </c:pt>
                <c:pt idx="29">
                  <c:v>1762.0057428</c:v>
                </c:pt>
                <c:pt idx="30">
                  <c:v>2297.4481728000001</c:v>
                </c:pt>
                <c:pt idx="31">
                  <c:v>1452.0417648</c:v>
                </c:pt>
                <c:pt idx="32">
                  <c:v>1719.8535024</c:v>
                </c:pt>
                <c:pt idx="33">
                  <c:v>1720.0225055999999</c:v>
                </c:pt>
                <c:pt idx="34">
                  <c:v>2255.4769776000003</c:v>
                </c:pt>
                <c:pt idx="35">
                  <c:v>1493.8702842</c:v>
                </c:pt>
                <c:pt idx="36">
                  <c:v>1761.6789626000002</c:v>
                </c:pt>
                <c:pt idx="37">
                  <c:v>1761.8114934</c:v>
                </c:pt>
                <c:pt idx="38">
                  <c:v>2297.2963194000004</c:v>
                </c:pt>
                <c:pt idx="39">
                  <c:v>1461.7837668</c:v>
                </c:pt>
                <c:pt idx="40">
                  <c:v>1723.8402404000001</c:v>
                </c:pt>
                <c:pt idx="41">
                  <c:v>1724.0717903999998</c:v>
                </c:pt>
                <c:pt idx="42">
                  <c:v>2247.9531876000001</c:v>
                </c:pt>
                <c:pt idx="43">
                  <c:v>1420.7504152000001</c:v>
                </c:pt>
                <c:pt idx="44">
                  <c:v>1682.7908376</c:v>
                </c:pt>
                <c:pt idx="45">
                  <c:v>1682.9869667999999</c:v>
                </c:pt>
                <c:pt idx="46">
                  <c:v>2206.8716824000003</c:v>
                </c:pt>
                <c:pt idx="47">
                  <c:v>1461.6743105999999</c:v>
                </c:pt>
                <c:pt idx="48">
                  <c:v>1723.7111617999999</c:v>
                </c:pt>
                <c:pt idx="49">
                  <c:v>1723.8729942</c:v>
                </c:pt>
                <c:pt idx="50">
                  <c:v>2247.7848641999999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A-42FC-A359-5EAF43593EFA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('429.mcf'!$H$89:$H$103,'429.mcf'!$H$109:$H$120,'429.mcf'!$H$127:$H$138,'429.mcf'!$H$144:$H$155)</c:f>
              <c:numCache>
                <c:formatCode>General</c:formatCode>
                <c:ptCount val="51"/>
                <c:pt idx="0">
                  <c:v>1305.9023688</c:v>
                </c:pt>
                <c:pt idx="1">
                  <c:v>1400.6021291999998</c:v>
                </c:pt>
                <c:pt idx="2">
                  <c:v>1667.2061845999999</c:v>
                </c:pt>
                <c:pt idx="3">
                  <c:v>1667.3939656</c:v>
                </c:pt>
                <c:pt idx="4">
                  <c:v>2204.74359</c:v>
                </c:pt>
                <c:pt idx="5">
                  <c:v>1327.0792959999999</c:v>
                </c:pt>
                <c:pt idx="6">
                  <c:v>1421.4568367999998</c:v>
                </c:pt>
                <c:pt idx="7">
                  <c:v>1687.9951859999999</c:v>
                </c:pt>
                <c:pt idx="8">
                  <c:v>1688.2374312000002</c:v>
                </c:pt>
                <c:pt idx="9">
                  <c:v>2225.4661839999999</c:v>
                </c:pt>
                <c:pt idx="10">
                  <c:v>1369.7321022000001</c:v>
                </c:pt>
                <c:pt idx="11">
                  <c:v>1463.4916584</c:v>
                </c:pt>
                <c:pt idx="12">
                  <c:v>1729.9613024</c:v>
                </c:pt>
                <c:pt idx="13">
                  <c:v>1730.1088808000002</c:v>
                </c:pt>
                <c:pt idx="14">
                  <c:v>2267.4249</c:v>
                </c:pt>
                <c:pt idx="15">
                  <c:v>1275.4164456000001</c:v>
                </c:pt>
                <c:pt idx="16">
                  <c:v>1371.4040898000001</c:v>
                </c:pt>
                <c:pt idx="17">
                  <c:v>1631.4449803999998</c:v>
                </c:pt>
                <c:pt idx="18">
                  <c:v>1631.6177548000001</c:v>
                </c:pt>
                <c:pt idx="19">
                  <c:v>1296.1132748</c:v>
                </c:pt>
                <c:pt idx="20">
                  <c:v>1391.8399924</c:v>
                </c:pt>
                <c:pt idx="21">
                  <c:v>1651.8069048</c:v>
                </c:pt>
                <c:pt idx="22">
                  <c:v>1652.0611295999997</c:v>
                </c:pt>
                <c:pt idx="23">
                  <c:v>1337.7588330000001</c:v>
                </c:pt>
                <c:pt idx="24">
                  <c:v>1432.986048</c:v>
                </c:pt>
                <c:pt idx="25">
                  <c:v>1692.8579831999998</c:v>
                </c:pt>
                <c:pt idx="26">
                  <c:v>1693.0860663999999</c:v>
                </c:pt>
                <c:pt idx="27">
                  <c:v>1464.8126568</c:v>
                </c:pt>
                <c:pt idx="28">
                  <c:v>1730.3584813</c:v>
                </c:pt>
                <c:pt idx="29">
                  <c:v>1730.5714338</c:v>
                </c:pt>
                <c:pt idx="30">
                  <c:v>2265.9953394000004</c:v>
                </c:pt>
                <c:pt idx="31">
                  <c:v>1422.8491171999999</c:v>
                </c:pt>
                <c:pt idx="32">
                  <c:v>1688.4501885</c:v>
                </c:pt>
                <c:pt idx="33">
                  <c:v>1688.5916555999997</c:v>
                </c:pt>
                <c:pt idx="34">
                  <c:v>2224.0674902000001</c:v>
                </c:pt>
                <c:pt idx="35">
                  <c:v>1464.7453431000001</c:v>
                </c:pt>
                <c:pt idx="36">
                  <c:v>1730.2788412</c:v>
                </c:pt>
                <c:pt idx="37">
                  <c:v>1730.4004929</c:v>
                </c:pt>
                <c:pt idx="38">
                  <c:v>2265.8910465000004</c:v>
                </c:pt>
                <c:pt idx="39">
                  <c:v>1431.0090867000001</c:v>
                </c:pt>
                <c:pt idx="40">
                  <c:v>1693.0535863999999</c:v>
                </c:pt>
                <c:pt idx="41">
                  <c:v>1693.2892814000002</c:v>
                </c:pt>
                <c:pt idx="42">
                  <c:v>2217.1427255999997</c:v>
                </c:pt>
                <c:pt idx="43">
                  <c:v>1390.0012021</c:v>
                </c:pt>
                <c:pt idx="44">
                  <c:v>1652.0337486000001</c:v>
                </c:pt>
                <c:pt idx="45">
                  <c:v>1652.2037028</c:v>
                </c:pt>
                <c:pt idx="46">
                  <c:v>2176.0989774</c:v>
                </c:pt>
                <c:pt idx="47">
                  <c:v>1430.928492</c:v>
                </c:pt>
                <c:pt idx="48">
                  <c:v>1692.9582332999998</c:v>
                </c:pt>
                <c:pt idx="49">
                  <c:v>1693.0915456999999</c:v>
                </c:pt>
                <c:pt idx="50">
                  <c:v>2217.0178556999999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DA-42FC-A359-5EAF43593EFA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('429.mcf'!$I$89:$I$103,'429.mcf'!$I$109:$I$120,'429.mcf'!$I$127:$I$138,'429.mcf'!$I$144:$I$155)</c:f>
              <c:numCache>
                <c:formatCode>General</c:formatCode>
                <c:ptCount val="51"/>
                <c:pt idx="0">
                  <c:v>1295.5783892999998</c:v>
                </c:pt>
                <c:pt idx="1">
                  <c:v>1408.9360076</c:v>
                </c:pt>
                <c:pt idx="2">
                  <c:v>1677.7047244</c:v>
                </c:pt>
                <c:pt idx="3">
                  <c:v>1677.8939276000001</c:v>
                </c:pt>
                <c:pt idx="4">
                  <c:v>2215.242158</c:v>
                </c:pt>
                <c:pt idx="5">
                  <c:v>1316.4137744999998</c:v>
                </c:pt>
                <c:pt idx="6">
                  <c:v>1429.7569122</c:v>
                </c:pt>
                <c:pt idx="7">
                  <c:v>1698.4924257999999</c:v>
                </c:pt>
                <c:pt idx="8">
                  <c:v>1698.7364202000001</c:v>
                </c:pt>
                <c:pt idx="9">
                  <c:v>2235.9634529999998</c:v>
                </c:pt>
                <c:pt idx="10">
                  <c:v>1358.3859462</c:v>
                </c:pt>
                <c:pt idx="11">
                  <c:v>1471.7265773000001</c:v>
                </c:pt>
                <c:pt idx="12">
                  <c:v>1740.4583917000002</c:v>
                </c:pt>
                <c:pt idx="13">
                  <c:v>1740.6071143000001</c:v>
                </c:pt>
                <c:pt idx="14">
                  <c:v>2277.9220205000001</c:v>
                </c:pt>
                <c:pt idx="15">
                  <c:v>1267.7843903</c:v>
                </c:pt>
                <c:pt idx="16">
                  <c:v>1378.7146373</c:v>
                </c:pt>
                <c:pt idx="17">
                  <c:v>1641.7182438</c:v>
                </c:pt>
                <c:pt idx="18">
                  <c:v>1641.8924258</c:v>
                </c:pt>
                <c:pt idx="19">
                  <c:v>1288.1874885</c:v>
                </c:pt>
                <c:pt idx="20">
                  <c:v>1399.1048979</c:v>
                </c:pt>
                <c:pt idx="21">
                  <c:v>1662.0790122000001</c:v>
                </c:pt>
                <c:pt idx="22">
                  <c:v>1662.3351415999998</c:v>
                </c:pt>
                <c:pt idx="23">
                  <c:v>1329.2476541999999</c:v>
                </c:pt>
                <c:pt idx="24">
                  <c:v>1440.1617389999999</c:v>
                </c:pt>
                <c:pt idx="25">
                  <c:v>1703.1298481000001</c:v>
                </c:pt>
                <c:pt idx="26">
                  <c:v>1703.3596468999999</c:v>
                </c:pt>
                <c:pt idx="27">
                  <c:v>1473.0014464000001</c:v>
                </c:pt>
                <c:pt idx="28">
                  <c:v>1740.8198912</c:v>
                </c:pt>
                <c:pt idx="29">
                  <c:v>1741.0343808</c:v>
                </c:pt>
                <c:pt idx="30">
                  <c:v>2276.4567808000002</c:v>
                </c:pt>
                <c:pt idx="31">
                  <c:v>1431.1025568</c:v>
                </c:pt>
                <c:pt idx="32">
                  <c:v>1698.9112223999998</c:v>
                </c:pt>
                <c:pt idx="33">
                  <c:v>1699.0538095999998</c:v>
                </c:pt>
                <c:pt idx="34">
                  <c:v>2234.5285535999997</c:v>
                </c:pt>
                <c:pt idx="35">
                  <c:v>1472.9336512</c:v>
                </c:pt>
                <c:pt idx="36">
                  <c:v>1740.7397696</c:v>
                </c:pt>
                <c:pt idx="37">
                  <c:v>1740.8624064000001</c:v>
                </c:pt>
                <c:pt idx="38">
                  <c:v>2276.3520063999999</c:v>
                </c:pt>
                <c:pt idx="39">
                  <c:v>1441.2451328</c:v>
                </c:pt>
                <c:pt idx="40">
                  <c:v>1703.2897023999999</c:v>
                </c:pt>
                <c:pt idx="41">
                  <c:v>1703.5268224000001</c:v>
                </c:pt>
                <c:pt idx="42">
                  <c:v>2227.3788415999998</c:v>
                </c:pt>
                <c:pt idx="43">
                  <c:v>1400.2367832</c:v>
                </c:pt>
                <c:pt idx="44">
                  <c:v>1662.2693976</c:v>
                </c:pt>
                <c:pt idx="45">
                  <c:v>1662.4404047999999</c:v>
                </c:pt>
                <c:pt idx="46">
                  <c:v>2186.3346264000002</c:v>
                </c:pt>
                <c:pt idx="47">
                  <c:v>1441.1639616</c:v>
                </c:pt>
                <c:pt idx="48">
                  <c:v>1703.1937727999998</c:v>
                </c:pt>
                <c:pt idx="49">
                  <c:v>1703.3278911999998</c:v>
                </c:pt>
                <c:pt idx="50">
                  <c:v>2227.2533951999999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DA-42FC-A359-5EAF43593EFA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('429.mcf'!$J$89:$J$103,'429.mcf'!$J$109:$J$120,'429.mcf'!$J$127:$J$138,'429.mcf'!$J$144:$J$155)</c:f>
              <c:numCache>
                <c:formatCode>General</c:formatCode>
                <c:ptCount val="51"/>
                <c:pt idx="0">
                  <c:v>1316.5468866000001</c:v>
                </c:pt>
                <c:pt idx="1">
                  <c:v>1429.9335636000001</c:v>
                </c:pt>
                <c:pt idx="2">
                  <c:v>1698.7022804000001</c:v>
                </c:pt>
                <c:pt idx="3">
                  <c:v>1698.7022804000001</c:v>
                </c:pt>
                <c:pt idx="4">
                  <c:v>2236.4919060000002</c:v>
                </c:pt>
                <c:pt idx="5">
                  <c:v>1337.3792068</c:v>
                </c:pt>
                <c:pt idx="6">
                  <c:v>1450.7518742</c:v>
                </c:pt>
                <c:pt idx="7">
                  <c:v>1719.4873877999999</c:v>
                </c:pt>
                <c:pt idx="8">
                  <c:v>1719.7343982000002</c:v>
                </c:pt>
                <c:pt idx="9">
                  <c:v>2256.9584150000001</c:v>
                </c:pt>
                <c:pt idx="10">
                  <c:v>1379.3501474999998</c:v>
                </c:pt>
                <c:pt idx="11">
                  <c:v>1492.7212503000001</c:v>
                </c:pt>
                <c:pt idx="12">
                  <c:v>1761.4530647000001</c:v>
                </c:pt>
                <c:pt idx="13">
                  <c:v>1761.6035813000001</c:v>
                </c:pt>
                <c:pt idx="14">
                  <c:v>2298.9166935000003</c:v>
                </c:pt>
                <c:pt idx="15">
                  <c:v>1288.3079352</c:v>
                </c:pt>
                <c:pt idx="16">
                  <c:v>1399.2617322000001</c:v>
                </c:pt>
                <c:pt idx="17">
                  <c:v>1662.2654058000001</c:v>
                </c:pt>
                <c:pt idx="18">
                  <c:v>1662.2654058000001</c:v>
                </c:pt>
                <c:pt idx="19">
                  <c:v>1308.7077093999999</c:v>
                </c:pt>
                <c:pt idx="20">
                  <c:v>1419.6496878</c:v>
                </c:pt>
                <c:pt idx="21">
                  <c:v>1682.6238702000001</c:v>
                </c:pt>
                <c:pt idx="22">
                  <c:v>1682.8831655999998</c:v>
                </c:pt>
                <c:pt idx="23">
                  <c:v>1349.7666201</c:v>
                </c:pt>
                <c:pt idx="24">
                  <c:v>1460.7060579000001</c:v>
                </c:pt>
                <c:pt idx="25">
                  <c:v>1723.6742371</c:v>
                </c:pt>
                <c:pt idx="26">
                  <c:v>1723.9068078999999</c:v>
                </c:pt>
                <c:pt idx="27">
                  <c:v>1493.9247624</c:v>
                </c:pt>
                <c:pt idx="28">
                  <c:v>1761.7432072000001</c:v>
                </c:pt>
                <c:pt idx="29">
                  <c:v>1761.9602748</c:v>
                </c:pt>
                <c:pt idx="30">
                  <c:v>2297.3800968</c:v>
                </c:pt>
                <c:pt idx="31">
                  <c:v>1452.0251088</c:v>
                </c:pt>
                <c:pt idx="32">
                  <c:v>1719.8337743999998</c:v>
                </c:pt>
                <c:pt idx="33">
                  <c:v>1719.9781175999999</c:v>
                </c:pt>
                <c:pt idx="34">
                  <c:v>2255.4511055999997</c:v>
                </c:pt>
                <c:pt idx="35">
                  <c:v>1493.8560041999999</c:v>
                </c:pt>
                <c:pt idx="36">
                  <c:v>1761.6621226</c:v>
                </c:pt>
                <c:pt idx="37">
                  <c:v>1761.7862333999999</c:v>
                </c:pt>
                <c:pt idx="38">
                  <c:v>2297.2743593999999</c:v>
                </c:pt>
                <c:pt idx="39">
                  <c:v>1461.7173648</c:v>
                </c:pt>
                <c:pt idx="40">
                  <c:v>1723.7619344</c:v>
                </c:pt>
                <c:pt idx="41">
                  <c:v>1724.0019044000003</c:v>
                </c:pt>
                <c:pt idx="42">
                  <c:v>2247.8510735999998</c:v>
                </c:pt>
                <c:pt idx="43">
                  <c:v>1420.7080811999999</c:v>
                </c:pt>
                <c:pt idx="44">
                  <c:v>1682.7406956</c:v>
                </c:pt>
                <c:pt idx="45">
                  <c:v>1682.9138088</c:v>
                </c:pt>
                <c:pt idx="46">
                  <c:v>2206.8059244000001</c:v>
                </c:pt>
                <c:pt idx="47">
                  <c:v>1461.6350405999999</c:v>
                </c:pt>
                <c:pt idx="48">
                  <c:v>1723.6648518</c:v>
                </c:pt>
                <c:pt idx="49">
                  <c:v>1723.8005821999998</c:v>
                </c:pt>
                <c:pt idx="50">
                  <c:v>2247.7244741999998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DA-42FC-A359-5EAF43593EFA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('429.mcf'!$N$89:$N$103,'429.mcf'!$N$109:$N$120,'429.mcf'!$N$127:$N$138,'429.mcf'!$N$144:$N$155)</c:f>
              <c:numCache>
                <c:formatCode>General</c:formatCode>
                <c:ptCount val="51"/>
                <c:pt idx="0">
                  <c:v>1348.3229568000002</c:v>
                </c:pt>
                <c:pt idx="1">
                  <c:v>1400.3290691999998</c:v>
                </c:pt>
                <c:pt idx="2">
                  <c:v>1666.8806445999999</c:v>
                </c:pt>
                <c:pt idx="3">
                  <c:v>1667.0382536</c:v>
                </c:pt>
                <c:pt idx="4">
                  <c:v>2204.3130900000001</c:v>
                </c:pt>
                <c:pt idx="5">
                  <c:v>1369.490004</c:v>
                </c:pt>
                <c:pt idx="6">
                  <c:v>1421.1790008</c:v>
                </c:pt>
                <c:pt idx="7">
                  <c:v>1687.6647420000002</c:v>
                </c:pt>
                <c:pt idx="8">
                  <c:v>1687.8973392</c:v>
                </c:pt>
                <c:pt idx="9">
                  <c:v>2225.0305239999998</c:v>
                </c:pt>
                <c:pt idx="10">
                  <c:v>1412.1341122000001</c:v>
                </c:pt>
                <c:pt idx="11">
                  <c:v>1463.2056023999999</c:v>
                </c:pt>
                <c:pt idx="12">
                  <c:v>1729.6226383999999</c:v>
                </c:pt>
                <c:pt idx="13">
                  <c:v>1729.7702167999998</c:v>
                </c:pt>
                <c:pt idx="14">
                  <c:v>2266.9810200000002</c:v>
                </c:pt>
                <c:pt idx="15">
                  <c:v>1316.9728495999998</c:v>
                </c:pt>
                <c:pt idx="16">
                  <c:v>1371.2708898000001</c:v>
                </c:pt>
                <c:pt idx="17">
                  <c:v>1631.2869744</c:v>
                </c:pt>
                <c:pt idx="18">
                  <c:v>1631.4557788</c:v>
                </c:pt>
                <c:pt idx="19">
                  <c:v>1337.6727408000002</c:v>
                </c:pt>
                <c:pt idx="20">
                  <c:v>1391.7149324</c:v>
                </c:pt>
                <c:pt idx="21">
                  <c:v>1651.6589687999999</c:v>
                </c:pt>
                <c:pt idx="22">
                  <c:v>1651.8979175999998</c:v>
                </c:pt>
                <c:pt idx="23">
                  <c:v>1379.313079</c:v>
                </c:pt>
                <c:pt idx="24">
                  <c:v>1432.8565919999999</c:v>
                </c:pt>
                <c:pt idx="25">
                  <c:v>1692.7055432000002</c:v>
                </c:pt>
                <c:pt idx="26">
                  <c:v>1692.9286824000001</c:v>
                </c:pt>
                <c:pt idx="27">
                  <c:v>1464.8469077999998</c:v>
                </c:pt>
                <c:pt idx="28">
                  <c:v>1730.3990043000001</c:v>
                </c:pt>
                <c:pt idx="29">
                  <c:v>1730.6127838</c:v>
                </c:pt>
                <c:pt idx="30">
                  <c:v>2266.0484063999997</c:v>
                </c:pt>
                <c:pt idx="31">
                  <c:v>1422.8837461999999</c:v>
                </c:pt>
                <c:pt idx="32">
                  <c:v>1688.4913454999999</c:v>
                </c:pt>
                <c:pt idx="33">
                  <c:v>1688.6311986000001</c:v>
                </c:pt>
                <c:pt idx="34">
                  <c:v>2224.1217032</c:v>
                </c:pt>
                <c:pt idx="35">
                  <c:v>1464.7809921</c:v>
                </c:pt>
                <c:pt idx="36">
                  <c:v>1730.3210182</c:v>
                </c:pt>
                <c:pt idx="37">
                  <c:v>1730.4418428999998</c:v>
                </c:pt>
                <c:pt idx="38">
                  <c:v>2265.9462794999999</c:v>
                </c:pt>
                <c:pt idx="39">
                  <c:v>1431.0803847</c:v>
                </c:pt>
                <c:pt idx="40">
                  <c:v>1693.1379403999999</c:v>
                </c:pt>
                <c:pt idx="41">
                  <c:v>1693.3744624000001</c:v>
                </c:pt>
                <c:pt idx="42">
                  <c:v>2217.2531915999998</c:v>
                </c:pt>
                <c:pt idx="43">
                  <c:v>1390.0691021</c:v>
                </c:pt>
                <c:pt idx="44">
                  <c:v>1652.1144486000001</c:v>
                </c:pt>
                <c:pt idx="45">
                  <c:v>1652.2868238000001</c:v>
                </c:pt>
                <c:pt idx="46">
                  <c:v>2176.2052774000003</c:v>
                </c:pt>
                <c:pt idx="47">
                  <c:v>1431.000489</c:v>
                </c:pt>
                <c:pt idx="48">
                  <c:v>1693.0434143</c:v>
                </c:pt>
                <c:pt idx="49">
                  <c:v>1693.1775537000001</c:v>
                </c:pt>
                <c:pt idx="50">
                  <c:v>2217.1294047000001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DA-42FC-A359-5EAF43593EFA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('429.mcf'!$O$89:$O$103,'429.mcf'!$O$109:$O$120,'429.mcf'!$O$127:$O$138,'429.mcf'!$O$144:$O$155)</c:f>
              <c:numCache>
                <c:formatCode>General</c:formatCode>
                <c:ptCount val="51"/>
                <c:pt idx="0">
                  <c:v>1337.3145512999999</c:v>
                </c:pt>
                <c:pt idx="1">
                  <c:v>1408.6608976</c:v>
                </c:pt>
                <c:pt idx="2">
                  <c:v>1677.3771343999999</c:v>
                </c:pt>
                <c:pt idx="3">
                  <c:v>1677.5359756</c:v>
                </c:pt>
                <c:pt idx="4">
                  <c:v>2214.809608</c:v>
                </c:pt>
                <c:pt idx="5">
                  <c:v>1358.1400214999999</c:v>
                </c:pt>
                <c:pt idx="6">
                  <c:v>1429.4770212000001</c:v>
                </c:pt>
                <c:pt idx="7">
                  <c:v>1698.1599268000002</c:v>
                </c:pt>
                <c:pt idx="8">
                  <c:v>1698.3942132</c:v>
                </c:pt>
                <c:pt idx="9">
                  <c:v>2235.5257380000003</c:v>
                </c:pt>
                <c:pt idx="10">
                  <c:v>1400.1034352000001</c:v>
                </c:pt>
                <c:pt idx="11">
                  <c:v>1471.4384663000001</c:v>
                </c:pt>
                <c:pt idx="12">
                  <c:v>1740.1176727</c:v>
                </c:pt>
                <c:pt idx="13">
                  <c:v>1740.2663952999999</c:v>
                </c:pt>
                <c:pt idx="14">
                  <c:v>2277.4760855</c:v>
                </c:pt>
                <c:pt idx="15">
                  <c:v>1308.7572042999998</c:v>
                </c:pt>
                <c:pt idx="16">
                  <c:v>1378.5811083000001</c:v>
                </c:pt>
                <c:pt idx="17">
                  <c:v>1641.5592427999998</c:v>
                </c:pt>
                <c:pt idx="18">
                  <c:v>1641.7294297999999</c:v>
                </c:pt>
                <c:pt idx="19">
                  <c:v>1329.1634795</c:v>
                </c:pt>
                <c:pt idx="20">
                  <c:v>1398.9795939000001</c:v>
                </c:pt>
                <c:pt idx="21">
                  <c:v>1661.9301562000001</c:v>
                </c:pt>
                <c:pt idx="22">
                  <c:v>1662.1709145999998</c:v>
                </c:pt>
                <c:pt idx="23">
                  <c:v>1370.2185001999999</c:v>
                </c:pt>
                <c:pt idx="24">
                  <c:v>1440.0320539999998</c:v>
                </c:pt>
                <c:pt idx="25">
                  <c:v>1702.9764831</c:v>
                </c:pt>
                <c:pt idx="26">
                  <c:v>1703.2013079000001</c:v>
                </c:pt>
                <c:pt idx="27">
                  <c:v>1473.0359423999998</c:v>
                </c:pt>
                <c:pt idx="28">
                  <c:v>1740.8606591999999</c:v>
                </c:pt>
                <c:pt idx="29">
                  <c:v>1741.0759808</c:v>
                </c:pt>
                <c:pt idx="30">
                  <c:v>2276.5100927999997</c:v>
                </c:pt>
                <c:pt idx="31">
                  <c:v>1431.1374407999999</c:v>
                </c:pt>
                <c:pt idx="32">
                  <c:v>1698.9526343999999</c:v>
                </c:pt>
                <c:pt idx="33">
                  <c:v>1699.0935976000001</c:v>
                </c:pt>
                <c:pt idx="34">
                  <c:v>2234.5830215999999</c:v>
                </c:pt>
                <c:pt idx="35">
                  <c:v>1472.9695552000001</c:v>
                </c:pt>
                <c:pt idx="36">
                  <c:v>1740.7822016</c:v>
                </c:pt>
                <c:pt idx="37">
                  <c:v>1740.9040063999998</c:v>
                </c:pt>
                <c:pt idx="38">
                  <c:v>2276.4074943999999</c:v>
                </c:pt>
                <c:pt idx="39">
                  <c:v>1441.3169407999999</c:v>
                </c:pt>
                <c:pt idx="40">
                  <c:v>1703.3745664</c:v>
                </c:pt>
                <c:pt idx="41">
                  <c:v>1703.6125184</c:v>
                </c:pt>
                <c:pt idx="42">
                  <c:v>2227.4898176000002</c:v>
                </c:pt>
                <c:pt idx="43">
                  <c:v>1400.3051832000001</c:v>
                </c:pt>
                <c:pt idx="44">
                  <c:v>1662.3505976000001</c:v>
                </c:pt>
                <c:pt idx="45">
                  <c:v>1662.5240408000002</c:v>
                </c:pt>
                <c:pt idx="46">
                  <c:v>2186.4414264000002</c:v>
                </c:pt>
                <c:pt idx="47">
                  <c:v>1441.2364736</c:v>
                </c:pt>
                <c:pt idx="48">
                  <c:v>1703.2794688000001</c:v>
                </c:pt>
                <c:pt idx="49">
                  <c:v>1703.4144192000001</c:v>
                </c:pt>
                <c:pt idx="50">
                  <c:v>2227.3654592000003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DA-42FC-A359-5EAF43593EFA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('429.mcf'!$P$89:$P$103,'429.mcf'!$P$109:$P$120,'429.mcf'!$P$127:$P$138,'429.mcf'!$P$144:$P$155)</c:f>
              <c:numCache>
                <c:formatCode>General</c:formatCode>
                <c:ptCount val="51"/>
                <c:pt idx="0">
                  <c:v>1358.2767326000001</c:v>
                </c:pt>
                <c:pt idx="1">
                  <c:v>1429.6543535999999</c:v>
                </c:pt>
                <c:pt idx="2">
                  <c:v>1698.3705903999999</c:v>
                </c:pt>
                <c:pt idx="3">
                  <c:v>1698.3705903999999</c:v>
                </c:pt>
                <c:pt idx="4">
                  <c:v>2236.0147860000002</c:v>
                </c:pt>
                <c:pt idx="5">
                  <c:v>1379.0991078</c:v>
                </c:pt>
                <c:pt idx="6">
                  <c:v>1450.4678732000002</c:v>
                </c:pt>
                <c:pt idx="7">
                  <c:v>1719.1507788000001</c:v>
                </c:pt>
                <c:pt idx="8">
                  <c:v>1719.3879612000001</c:v>
                </c:pt>
                <c:pt idx="9">
                  <c:v>2256.5165900000002</c:v>
                </c:pt>
                <c:pt idx="10">
                  <c:v>1421.0612505000001</c:v>
                </c:pt>
                <c:pt idx="11">
                  <c:v>1492.4290292999999</c:v>
                </c:pt>
                <c:pt idx="12">
                  <c:v>1761.1082357</c:v>
                </c:pt>
                <c:pt idx="13">
                  <c:v>1761.2587523</c:v>
                </c:pt>
                <c:pt idx="14">
                  <c:v>2298.4666484999998</c:v>
                </c:pt>
                <c:pt idx="15">
                  <c:v>1329.2728872</c:v>
                </c:pt>
                <c:pt idx="16">
                  <c:v>1399.1262131999999</c:v>
                </c:pt>
                <c:pt idx="17">
                  <c:v>1662.1044147999999</c:v>
                </c:pt>
                <c:pt idx="18">
                  <c:v>1662.1044147999999</c:v>
                </c:pt>
                <c:pt idx="19">
                  <c:v>1349.6765453999999</c:v>
                </c:pt>
                <c:pt idx="20">
                  <c:v>1419.5225438000002</c:v>
                </c:pt>
                <c:pt idx="21">
                  <c:v>1682.4731742000001</c:v>
                </c:pt>
                <c:pt idx="22">
                  <c:v>1682.7169085999999</c:v>
                </c:pt>
                <c:pt idx="23">
                  <c:v>1390.7301611</c:v>
                </c:pt>
                <c:pt idx="24">
                  <c:v>1460.5745228999999</c:v>
                </c:pt>
                <c:pt idx="25">
                  <c:v>1723.5190221</c:v>
                </c:pt>
                <c:pt idx="26">
                  <c:v>1723.7465589000001</c:v>
                </c:pt>
                <c:pt idx="27">
                  <c:v>1493.9597483999999</c:v>
                </c:pt>
                <c:pt idx="28">
                  <c:v>1761.7844651999999</c:v>
                </c:pt>
                <c:pt idx="29">
                  <c:v>1762.0023747999999</c:v>
                </c:pt>
                <c:pt idx="30">
                  <c:v>2297.4338988</c:v>
                </c:pt>
                <c:pt idx="31">
                  <c:v>1452.0605028</c:v>
                </c:pt>
                <c:pt idx="32">
                  <c:v>1719.8756963999999</c:v>
                </c:pt>
                <c:pt idx="33">
                  <c:v>1720.0183956000001</c:v>
                </c:pt>
                <c:pt idx="34">
                  <c:v>2255.5060835999998</c:v>
                </c:pt>
                <c:pt idx="35">
                  <c:v>1493.8924182000001</c:v>
                </c:pt>
                <c:pt idx="36">
                  <c:v>1761.7050646</c:v>
                </c:pt>
                <c:pt idx="37">
                  <c:v>1761.8283333999998</c:v>
                </c:pt>
                <c:pt idx="38">
                  <c:v>2297.3303574000001</c:v>
                </c:pt>
                <c:pt idx="39">
                  <c:v>1461.7901927999999</c:v>
                </c:pt>
                <c:pt idx="40">
                  <c:v>1723.8478184000001</c:v>
                </c:pt>
                <c:pt idx="41">
                  <c:v>1724.0886304000001</c:v>
                </c:pt>
                <c:pt idx="42">
                  <c:v>2247.9630695999999</c:v>
                </c:pt>
                <c:pt idx="43">
                  <c:v>1420.7774812000002</c:v>
                </c:pt>
                <c:pt idx="44">
                  <c:v>1682.8228956000003</c:v>
                </c:pt>
                <c:pt idx="45">
                  <c:v>1682.9984748000002</c:v>
                </c:pt>
                <c:pt idx="46">
                  <c:v>2206.9137244000003</c:v>
                </c:pt>
                <c:pt idx="47">
                  <c:v>1461.7085826</c:v>
                </c:pt>
                <c:pt idx="48">
                  <c:v>1723.7515778</c:v>
                </c:pt>
                <c:pt idx="49">
                  <c:v>1723.8881502000002</c:v>
                </c:pt>
                <c:pt idx="50">
                  <c:v>2247.8375682000001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DA-42FC-A359-5EAF4359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849152"/>
        <c:axId val="2072423456"/>
      </c:lineChart>
      <c:catAx>
        <c:axId val="119884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2423456"/>
        <c:crosses val="autoZero"/>
        <c:auto val="1"/>
        <c:lblAlgn val="ctr"/>
        <c:lblOffset val="100"/>
        <c:noMultiLvlLbl val="0"/>
      </c:catAx>
      <c:valAx>
        <c:axId val="20724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8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Fig.20 </a:t>
            </a:r>
            <a:r>
              <a:rPr lang="en-US" altLang="zh-CN" sz="1400" b="0" i="0" u="none" strike="noStrike" baseline="0">
                <a:effectLst/>
              </a:rPr>
              <a:t>The relationship of L2 cache capacity and CPI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Chart458!$B$55</c:f>
              <c:strCache>
                <c:ptCount val="1"/>
                <c:pt idx="0">
                  <c:v>L2 1MB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Chart458!$C$54:$E$54</c:f>
              <c:strCache>
                <c:ptCount val="3"/>
                <c:pt idx="0">
                  <c:v>L2 cache_Associativity 2-way</c:v>
                </c:pt>
                <c:pt idx="1">
                  <c:v>L2 cache_Associativity 4-way</c:v>
                </c:pt>
                <c:pt idx="2">
                  <c:v>L2 cache_Associativity 8-way</c:v>
                </c:pt>
              </c:strCache>
            </c:strRef>
          </c:cat>
          <c:val>
            <c:numRef>
              <c:f>Chart458!$C$55:$E$55</c:f>
              <c:numCache>
                <c:formatCode>General</c:formatCode>
                <c:ptCount val="3"/>
                <c:pt idx="0">
                  <c:v>3.28320145</c:v>
                </c:pt>
                <c:pt idx="1">
                  <c:v>3.2831739500000001</c:v>
                </c:pt>
                <c:pt idx="2">
                  <c:v>3.2831644500000001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A-49EF-A221-B1CD10242DED}"/>
            </c:ext>
          </c:extLst>
        </c:ser>
        <c:ser>
          <c:idx val="1"/>
          <c:order val="1"/>
          <c:tx>
            <c:strRef>
              <c:f>Chart458!$B$56</c:f>
              <c:strCache>
                <c:ptCount val="1"/>
                <c:pt idx="0">
                  <c:v>L2 4MB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Chart458!$C$54:$E$54</c:f>
              <c:strCache>
                <c:ptCount val="3"/>
                <c:pt idx="0">
                  <c:v>L2 cache_Associativity 2-way</c:v>
                </c:pt>
                <c:pt idx="1">
                  <c:v>L2 cache_Associativity 4-way</c:v>
                </c:pt>
                <c:pt idx="2">
                  <c:v>L2 cache_Associativity 8-way</c:v>
                </c:pt>
              </c:strCache>
            </c:strRef>
          </c:cat>
          <c:val>
            <c:numRef>
              <c:f>Chart458!$C$56:$E$56</c:f>
              <c:numCache>
                <c:formatCode>General</c:formatCode>
                <c:ptCount val="3"/>
                <c:pt idx="0">
                  <c:v>3.2830674499999999</c:v>
                </c:pt>
                <c:pt idx="1">
                  <c:v>3.28306795</c:v>
                </c:pt>
                <c:pt idx="2">
                  <c:v>3.28307145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A-49EF-A221-B1CD10242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836400"/>
        <c:axId val="1143791744"/>
      </c:barChart>
      <c:catAx>
        <c:axId val="114683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791744"/>
        <c:crosses val="autoZero"/>
        <c:auto val="1"/>
        <c:lblAlgn val="ctr"/>
        <c:lblOffset val="100"/>
        <c:noMultiLvlLbl val="0"/>
      </c:catAx>
      <c:valAx>
        <c:axId val="1143791744"/>
        <c:scaling>
          <c:orientation val="minMax"/>
          <c:max val="3.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83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Fig.21 </a:t>
            </a:r>
            <a:r>
              <a:rPr lang="en-US" altLang="zh-CN" sz="1400" b="0" i="0" u="none" strike="noStrike" baseline="0">
                <a:effectLst/>
              </a:rPr>
              <a:t>The relationship of cache capacity and CPI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Chart470!$B$4</c:f>
              <c:strCache>
                <c:ptCount val="1"/>
                <c:pt idx="0">
                  <c:v>IL1 cache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Chart470!$C$3:$F$3</c:f>
              <c:strCache>
                <c:ptCount val="4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</c:strCache>
            </c:strRef>
          </c:cat>
          <c:val>
            <c:numRef>
              <c:f>Chart470!$C$4:$F$4</c:f>
              <c:numCache>
                <c:formatCode>General</c:formatCode>
                <c:ptCount val="4"/>
                <c:pt idx="0">
                  <c:v>1.8437879000000001</c:v>
                </c:pt>
                <c:pt idx="1">
                  <c:v>1.8437874000000001</c:v>
                </c:pt>
                <c:pt idx="2">
                  <c:v>1.8437869500000001</c:v>
                </c:pt>
                <c:pt idx="3">
                  <c:v>1.8437869500000001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7-426A-BF9F-9AA03F2A3B3D}"/>
            </c:ext>
          </c:extLst>
        </c:ser>
        <c:ser>
          <c:idx val="1"/>
          <c:order val="1"/>
          <c:tx>
            <c:strRef>
              <c:f>Chart470!$B$5</c:f>
              <c:strCache>
                <c:ptCount val="1"/>
                <c:pt idx="0">
                  <c:v>DL1 cache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Chart470!$C$3:$F$3</c:f>
              <c:strCache>
                <c:ptCount val="4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</c:strCache>
            </c:strRef>
          </c:cat>
          <c:val>
            <c:numRef>
              <c:f>Chart470!$C$5:$F$5</c:f>
              <c:numCache>
                <c:formatCode>General</c:formatCode>
                <c:ptCount val="4"/>
                <c:pt idx="0">
                  <c:v>1.8437869500000001</c:v>
                </c:pt>
                <c:pt idx="1">
                  <c:v>1.8437869500000001</c:v>
                </c:pt>
                <c:pt idx="2">
                  <c:v>1.8437869500000001</c:v>
                </c:pt>
                <c:pt idx="3">
                  <c:v>1.8437869500000001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7-426A-BF9F-9AA03F2A3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132544"/>
        <c:axId val="2072425952"/>
      </c:lineChart>
      <c:catAx>
        <c:axId val="161413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2425952"/>
        <c:crosses val="autoZero"/>
        <c:auto val="1"/>
        <c:lblAlgn val="ctr"/>
        <c:lblOffset val="100"/>
        <c:noMultiLvlLbl val="0"/>
      </c:catAx>
      <c:valAx>
        <c:axId val="20724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1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Fig.22 </a:t>
            </a:r>
            <a:r>
              <a:rPr lang="en-US" altLang="zh-CN" sz="1400" b="0" i="0" u="none" strike="noStrike" baseline="0">
                <a:effectLst/>
              </a:rPr>
              <a:t>The relationship between the Block Size and L2 cache Associativity with CPI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Chart470!$L$5</c:f>
              <c:strCache>
                <c:ptCount val="1"/>
                <c:pt idx="0">
                  <c:v>Block Size=64bytes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Chart470!$M$4:$O$4</c:f>
              <c:strCache>
                <c:ptCount val="3"/>
                <c:pt idx="0">
                  <c:v>L2 cache_Associativity 1-way</c:v>
                </c:pt>
                <c:pt idx="1">
                  <c:v>L2 cache_Associativity 2-way</c:v>
                </c:pt>
                <c:pt idx="2">
                  <c:v>L2 cache_Associativity 4-way</c:v>
                </c:pt>
              </c:strCache>
            </c:strRef>
          </c:cat>
          <c:val>
            <c:numRef>
              <c:f>Chart470!$M$5:$O$5</c:f>
              <c:numCache>
                <c:formatCode>General</c:formatCode>
                <c:ptCount val="3"/>
                <c:pt idx="0">
                  <c:v>1.8437869500000001</c:v>
                </c:pt>
                <c:pt idx="1">
                  <c:v>1.8437869500000001</c:v>
                </c:pt>
                <c:pt idx="2">
                  <c:v>1.8437869500000001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E-433A-AA69-17EB3A8588A5}"/>
            </c:ext>
          </c:extLst>
        </c:ser>
        <c:ser>
          <c:idx val="1"/>
          <c:order val="1"/>
          <c:tx>
            <c:strRef>
              <c:f>Chart470!$L$6</c:f>
              <c:strCache>
                <c:ptCount val="1"/>
                <c:pt idx="0">
                  <c:v>Block Size=128bytes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Chart470!$M$4:$O$4</c:f>
              <c:strCache>
                <c:ptCount val="3"/>
                <c:pt idx="0">
                  <c:v>L2 cache_Associativity 1-way</c:v>
                </c:pt>
                <c:pt idx="1">
                  <c:v>L2 cache_Associativity 2-way</c:v>
                </c:pt>
                <c:pt idx="2">
                  <c:v>L2 cache_Associativity 4-way</c:v>
                </c:pt>
              </c:strCache>
            </c:strRef>
          </c:cat>
          <c:val>
            <c:numRef>
              <c:f>Chart470!$M$6:$O$6</c:f>
              <c:numCache>
                <c:formatCode>General</c:formatCode>
                <c:ptCount val="3"/>
                <c:pt idx="0">
                  <c:v>1.4219468499999999</c:v>
                </c:pt>
                <c:pt idx="1">
                  <c:v>1.4219468499999999</c:v>
                </c:pt>
                <c:pt idx="2">
                  <c:v>1.4219468499999999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E-433A-AA69-17EB3A858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591968"/>
        <c:axId val="1143805888"/>
      </c:lineChart>
      <c:catAx>
        <c:axId val="11965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805888"/>
        <c:crosses val="autoZero"/>
        <c:auto val="1"/>
        <c:lblAlgn val="ctr"/>
        <c:lblOffset val="100"/>
        <c:noMultiLvlLbl val="0"/>
      </c:catAx>
      <c:valAx>
        <c:axId val="114380588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659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Fig.23 </a:t>
            </a:r>
            <a:r>
              <a:rPr lang="en-US" altLang="zh-CN" sz="1400" b="0" i="0" u="none" strike="noStrike" baseline="0">
                <a:effectLst/>
              </a:rPr>
              <a:t>The relationship of IL1 cache Associativity and CPI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Chart470!$A$32</c:f>
              <c:strCache>
                <c:ptCount val="1"/>
                <c:pt idx="0">
                  <c:v>IL1 cache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Chart470!$B$31:$E$31</c:f>
              <c:strCache>
                <c:ptCount val="4"/>
                <c:pt idx="0">
                  <c:v>Associativity 1-way</c:v>
                </c:pt>
                <c:pt idx="1">
                  <c:v>Associativity 2-way</c:v>
                </c:pt>
                <c:pt idx="2">
                  <c:v>Associativity 4-way</c:v>
                </c:pt>
                <c:pt idx="3">
                  <c:v>Associativity 8-way</c:v>
                </c:pt>
              </c:strCache>
            </c:strRef>
          </c:cat>
          <c:val>
            <c:numRef>
              <c:f>Chart470!$B$32:$E$32</c:f>
              <c:numCache>
                <c:formatCode>General</c:formatCode>
                <c:ptCount val="4"/>
                <c:pt idx="0">
                  <c:v>1.8437877</c:v>
                </c:pt>
                <c:pt idx="1">
                  <c:v>1.8437869500000001</c:v>
                </c:pt>
                <c:pt idx="2">
                  <c:v>1.8437869500000001</c:v>
                </c:pt>
                <c:pt idx="3">
                  <c:v>1.8437869500000001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B-4026-AA69-E32E05D64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752912"/>
        <c:axId val="2072426784"/>
      </c:lineChart>
      <c:catAx>
        <c:axId val="13017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2426784"/>
        <c:crosses val="autoZero"/>
        <c:auto val="1"/>
        <c:lblAlgn val="ctr"/>
        <c:lblOffset val="100"/>
        <c:noMultiLvlLbl val="0"/>
      </c:catAx>
      <c:valAx>
        <c:axId val="20724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75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Fig.24</a:t>
            </a:r>
            <a:r>
              <a:rPr lang="en-US" altLang="zh-CN" baseline="0"/>
              <a:t> </a:t>
            </a:r>
            <a:r>
              <a:rPr lang="en-US" altLang="zh-CN" sz="1400" b="0" i="0" u="none" strike="noStrike" baseline="0">
                <a:effectLst/>
              </a:rPr>
              <a:t>The relationship of DL1 cache Associativity and CPI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Chart470!$J$32</c:f>
              <c:strCache>
                <c:ptCount val="1"/>
                <c:pt idx="0">
                  <c:v>DL1 cache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Chart470!$K$31:$N$31</c:f>
              <c:strCache>
                <c:ptCount val="4"/>
                <c:pt idx="0">
                  <c:v>Associativity 1-way</c:v>
                </c:pt>
                <c:pt idx="1">
                  <c:v>Associativity 2-way</c:v>
                </c:pt>
                <c:pt idx="2">
                  <c:v>Associativity 4-way</c:v>
                </c:pt>
                <c:pt idx="3">
                  <c:v>Associativity 8-way</c:v>
                </c:pt>
              </c:strCache>
            </c:strRef>
          </c:cat>
          <c:val>
            <c:numRef>
              <c:f>Chart470!$K$32:$N$32</c:f>
              <c:numCache>
                <c:formatCode>General</c:formatCode>
                <c:ptCount val="4"/>
                <c:pt idx="0">
                  <c:v>1.8440674500000001</c:v>
                </c:pt>
                <c:pt idx="1">
                  <c:v>1.8437869500000001</c:v>
                </c:pt>
                <c:pt idx="2">
                  <c:v>1.8437869500000001</c:v>
                </c:pt>
                <c:pt idx="3">
                  <c:v>1.8437869500000001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3-4511-B869-381105BA0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595568"/>
        <c:axId val="2072424704"/>
      </c:lineChart>
      <c:catAx>
        <c:axId val="11965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2424704"/>
        <c:crosses val="autoZero"/>
        <c:auto val="1"/>
        <c:lblAlgn val="ctr"/>
        <c:lblOffset val="100"/>
        <c:noMultiLvlLbl val="0"/>
      </c:catAx>
      <c:valAx>
        <c:axId val="20724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65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Fig.25 </a:t>
            </a:r>
            <a:r>
              <a:rPr lang="en-US" altLang="zh-CN" sz="1400" b="0" i="0" u="none" strike="noStrike" baseline="0">
                <a:effectLst/>
              </a:rPr>
              <a:t>The relationship of L2 cache capacity and CPI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Chart470!$B$55</c:f>
              <c:strCache>
                <c:ptCount val="1"/>
                <c:pt idx="0">
                  <c:v>L2 1MB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Chart470!$C$54:$E$54</c:f>
              <c:strCache>
                <c:ptCount val="3"/>
                <c:pt idx="0">
                  <c:v>L2 cache_Associativity 1-way</c:v>
                </c:pt>
                <c:pt idx="1">
                  <c:v>L2 cache_Associativity 2-way</c:v>
                </c:pt>
                <c:pt idx="2">
                  <c:v>L2 cache_Associativity 4-way</c:v>
                </c:pt>
              </c:strCache>
            </c:strRef>
          </c:cat>
          <c:val>
            <c:numRef>
              <c:f>Chart470!$C$55:$E$55</c:f>
              <c:numCache>
                <c:formatCode>General</c:formatCode>
                <c:ptCount val="3"/>
                <c:pt idx="0">
                  <c:v>1.4219468499999999</c:v>
                </c:pt>
                <c:pt idx="1">
                  <c:v>1.4219468499999999</c:v>
                </c:pt>
                <c:pt idx="2">
                  <c:v>1.4219468499999999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D-42D8-8B7F-E5830C8E31E2}"/>
            </c:ext>
          </c:extLst>
        </c:ser>
        <c:ser>
          <c:idx val="1"/>
          <c:order val="1"/>
          <c:tx>
            <c:strRef>
              <c:f>Chart470!$B$56</c:f>
              <c:strCache>
                <c:ptCount val="1"/>
                <c:pt idx="0">
                  <c:v>L2 4MB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Chart470!$C$54:$E$54</c:f>
              <c:strCache>
                <c:ptCount val="3"/>
                <c:pt idx="0">
                  <c:v>L2 cache_Associativity 1-way</c:v>
                </c:pt>
                <c:pt idx="1">
                  <c:v>L2 cache_Associativity 2-way</c:v>
                </c:pt>
                <c:pt idx="2">
                  <c:v>L2 cache_Associativity 4-way</c:v>
                </c:pt>
              </c:strCache>
            </c:strRef>
          </c:cat>
          <c:val>
            <c:numRef>
              <c:f>Chart470!$C$56:$E$56</c:f>
              <c:numCache>
                <c:formatCode>General</c:formatCode>
                <c:ptCount val="3"/>
                <c:pt idx="0">
                  <c:v>1.4219468499999999</c:v>
                </c:pt>
                <c:pt idx="1">
                  <c:v>1.4219468499999999</c:v>
                </c:pt>
                <c:pt idx="2">
                  <c:v>1.4219468499999999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D-42D8-8B7F-E5830C8E3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577968"/>
        <c:axId val="2072427200"/>
      </c:barChart>
      <c:catAx>
        <c:axId val="11965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2427200"/>
        <c:crosses val="autoZero"/>
        <c:auto val="1"/>
        <c:lblAlgn val="ctr"/>
        <c:lblOffset val="100"/>
        <c:noMultiLvlLbl val="0"/>
      </c:catAx>
      <c:valAx>
        <c:axId val="20724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657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429.mcf CPI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('429.mcf'!$B$4:$B$18,'429.mcf'!$B$24:$B$35,'429.mcf'!$B$42:$B$53,'429.mcf'!$B$59:$B$70)</c:f>
              <c:numCache>
                <c:formatCode>General</c:formatCode>
                <c:ptCount val="51"/>
                <c:pt idx="0">
                  <c:v>1.0671332</c:v>
                </c:pt>
                <c:pt idx="1">
                  <c:v>1.0517226</c:v>
                </c:pt>
                <c:pt idx="2">
                  <c:v>1.05009745</c:v>
                </c:pt>
                <c:pt idx="3">
                  <c:v>1.0502737</c:v>
                </c:pt>
                <c:pt idx="4">
                  <c:v>1.0500974000000001</c:v>
                </c:pt>
                <c:pt idx="5">
                  <c:v>1.0669789999999999</c:v>
                </c:pt>
                <c:pt idx="6">
                  <c:v>1.0515688999999999</c:v>
                </c:pt>
                <c:pt idx="7">
                  <c:v>1.04994375</c:v>
                </c:pt>
                <c:pt idx="8">
                  <c:v>1.0501263999999999</c:v>
                </c:pt>
                <c:pt idx="9">
                  <c:v>1.0499437</c:v>
                </c:pt>
                <c:pt idx="10">
                  <c:v>1.06696305</c:v>
                </c:pt>
                <c:pt idx="11">
                  <c:v>1.05155295</c:v>
                </c:pt>
                <c:pt idx="12">
                  <c:v>1.0499278000000001</c:v>
                </c:pt>
                <c:pt idx="13">
                  <c:v>1.0500268500000001</c:v>
                </c:pt>
                <c:pt idx="14">
                  <c:v>1.0499277499999999</c:v>
                </c:pt>
                <c:pt idx="15">
                  <c:v>1.0421639</c:v>
                </c:pt>
                <c:pt idx="16">
                  <c:v>1.0297376499999999</c:v>
                </c:pt>
                <c:pt idx="17">
                  <c:v>1.0275118000000001</c:v>
                </c:pt>
                <c:pt idx="18">
                  <c:v>1.0276670999999999</c:v>
                </c:pt>
                <c:pt idx="19">
                  <c:v>1.0420132</c:v>
                </c:pt>
                <c:pt idx="20">
                  <c:v>1.0295884500000001</c:v>
                </c:pt>
                <c:pt idx="21">
                  <c:v>1.0273635999999999</c:v>
                </c:pt>
                <c:pt idx="22">
                  <c:v>1.0275782</c:v>
                </c:pt>
                <c:pt idx="23">
                  <c:v>1.0419882499999999</c:v>
                </c:pt>
                <c:pt idx="24">
                  <c:v>1.0295645</c:v>
                </c:pt>
                <c:pt idx="25">
                  <c:v>1.02733965</c:v>
                </c:pt>
                <c:pt idx="26">
                  <c:v>1.0275005500000001</c:v>
                </c:pt>
                <c:pt idx="27">
                  <c:v>1.0478225999999999</c:v>
                </c:pt>
                <c:pt idx="28">
                  <c:v>1.0461969499999999</c:v>
                </c:pt>
                <c:pt idx="29">
                  <c:v>1.0463217</c:v>
                </c:pt>
                <c:pt idx="30">
                  <c:v>1.0461969</c:v>
                </c:pt>
                <c:pt idx="31">
                  <c:v>1.0477654000000001</c:v>
                </c:pt>
                <c:pt idx="32">
                  <c:v>1.04613975</c:v>
                </c:pt>
                <c:pt idx="33">
                  <c:v>1.0462423999999999</c:v>
                </c:pt>
                <c:pt idx="34">
                  <c:v>1.0461396999999999</c:v>
                </c:pt>
                <c:pt idx="35">
                  <c:v>1.0477534500000001</c:v>
                </c:pt>
                <c:pt idx="36">
                  <c:v>1.0461278000000001</c:v>
                </c:pt>
                <c:pt idx="37">
                  <c:v>1.0462063500000001</c:v>
                </c:pt>
                <c:pt idx="38">
                  <c:v>1.0461277499999999</c:v>
                </c:pt>
                <c:pt idx="39">
                  <c:v>1.0236581499999999</c:v>
                </c:pt>
                <c:pt idx="40">
                  <c:v>1.0236581</c:v>
                </c:pt>
                <c:pt idx="41">
                  <c:v>1.0237955999999999</c:v>
                </c:pt>
                <c:pt idx="42">
                  <c:v>1.0236581</c:v>
                </c:pt>
                <c:pt idx="43">
                  <c:v>1.02359545</c:v>
                </c:pt>
                <c:pt idx="44">
                  <c:v>1.0235954</c:v>
                </c:pt>
                <c:pt idx="45">
                  <c:v>1.0237147</c:v>
                </c:pt>
                <c:pt idx="46">
                  <c:v>1.0235954</c:v>
                </c:pt>
                <c:pt idx="47">
                  <c:v>1.0235814999999999</c:v>
                </c:pt>
                <c:pt idx="48">
                  <c:v>1.02358145</c:v>
                </c:pt>
                <c:pt idx="49">
                  <c:v>1.0236775499999999</c:v>
                </c:pt>
                <c:pt idx="50">
                  <c:v>1.02358145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F-4B98-AFD0-72A3F4CAD7BB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('429.mcf'!$C$4:$C$18,'429.mcf'!$C$24:$C$35,'429.mcf'!$C$42:$C$53,'429.mcf'!$C$59:$C$70)</c:f>
              <c:numCache>
                <c:formatCode>General</c:formatCode>
                <c:ptCount val="51"/>
                <c:pt idx="0">
                  <c:v>1.05011995</c:v>
                </c:pt>
                <c:pt idx="1">
                  <c:v>1.0500973</c:v>
                </c:pt>
                <c:pt idx="2">
                  <c:v>1.0500973</c:v>
                </c:pt>
                <c:pt idx="3">
                  <c:v>1.0502737</c:v>
                </c:pt>
                <c:pt idx="4">
                  <c:v>1.0500973</c:v>
                </c:pt>
                <c:pt idx="5">
                  <c:v>1.04996625</c:v>
                </c:pt>
                <c:pt idx="6">
                  <c:v>1.0499436</c:v>
                </c:pt>
                <c:pt idx="7">
                  <c:v>1.0499436</c:v>
                </c:pt>
                <c:pt idx="8">
                  <c:v>1.0501263999999999</c:v>
                </c:pt>
                <c:pt idx="9">
                  <c:v>1.0499436</c:v>
                </c:pt>
                <c:pt idx="10">
                  <c:v>1.0499502999999999</c:v>
                </c:pt>
                <c:pt idx="11">
                  <c:v>1.0499276500000001</c:v>
                </c:pt>
                <c:pt idx="12">
                  <c:v>1.0499276500000001</c:v>
                </c:pt>
                <c:pt idx="13">
                  <c:v>1.0500268500000001</c:v>
                </c:pt>
                <c:pt idx="14">
                  <c:v>1.0499276500000001</c:v>
                </c:pt>
                <c:pt idx="15">
                  <c:v>1.02753245</c:v>
                </c:pt>
                <c:pt idx="16">
                  <c:v>1.0275116500000001</c:v>
                </c:pt>
                <c:pt idx="17">
                  <c:v>1.0275116</c:v>
                </c:pt>
                <c:pt idx="18">
                  <c:v>1.0276670999999999</c:v>
                </c:pt>
                <c:pt idx="19">
                  <c:v>1.02738375</c:v>
                </c:pt>
                <c:pt idx="20">
                  <c:v>1.02736345</c:v>
                </c:pt>
                <c:pt idx="21">
                  <c:v>1.0273634</c:v>
                </c:pt>
                <c:pt idx="22">
                  <c:v>1.0275782</c:v>
                </c:pt>
                <c:pt idx="23">
                  <c:v>1.0273593000000001</c:v>
                </c:pt>
                <c:pt idx="24">
                  <c:v>1.0273395000000001</c:v>
                </c:pt>
                <c:pt idx="25">
                  <c:v>1.0273394499999999</c:v>
                </c:pt>
                <c:pt idx="26">
                  <c:v>1.0275005500000001</c:v>
                </c:pt>
                <c:pt idx="27">
                  <c:v>1.0461967999999999</c:v>
                </c:pt>
                <c:pt idx="28">
                  <c:v>1.0461967999999999</c:v>
                </c:pt>
                <c:pt idx="29">
                  <c:v>1.0463217</c:v>
                </c:pt>
                <c:pt idx="30">
                  <c:v>1.0461967999999999</c:v>
                </c:pt>
                <c:pt idx="31">
                  <c:v>1.0461396000000001</c:v>
                </c:pt>
                <c:pt idx="32">
                  <c:v>1.0461396000000001</c:v>
                </c:pt>
                <c:pt idx="33">
                  <c:v>1.0462423999999999</c:v>
                </c:pt>
                <c:pt idx="34">
                  <c:v>1.0461396000000001</c:v>
                </c:pt>
                <c:pt idx="35">
                  <c:v>1.0461276500000001</c:v>
                </c:pt>
                <c:pt idx="36">
                  <c:v>1.0461276500000001</c:v>
                </c:pt>
                <c:pt idx="37">
                  <c:v>1.0462063500000001</c:v>
                </c:pt>
                <c:pt idx="38">
                  <c:v>1.0461276500000001</c:v>
                </c:pt>
                <c:pt idx="39">
                  <c:v>1.0236581</c:v>
                </c:pt>
                <c:pt idx="40">
                  <c:v>1.0236581</c:v>
                </c:pt>
                <c:pt idx="41">
                  <c:v>1.0237955999999999</c:v>
                </c:pt>
                <c:pt idx="42">
                  <c:v>1.0236581</c:v>
                </c:pt>
                <c:pt idx="43">
                  <c:v>1.0235954</c:v>
                </c:pt>
                <c:pt idx="44">
                  <c:v>1.0235954</c:v>
                </c:pt>
                <c:pt idx="45">
                  <c:v>1.0237147</c:v>
                </c:pt>
                <c:pt idx="46">
                  <c:v>1.0235954</c:v>
                </c:pt>
                <c:pt idx="47">
                  <c:v>1.02358145</c:v>
                </c:pt>
                <c:pt idx="48">
                  <c:v>1.02358145</c:v>
                </c:pt>
                <c:pt idx="49">
                  <c:v>1.0236775499999999</c:v>
                </c:pt>
                <c:pt idx="50">
                  <c:v>1.02358145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F-4B98-AFD0-72A3F4CAD7BB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('429.mcf'!$D$4:$D$18,'429.mcf'!$D$24:$D$35,'429.mcf'!$D$42:$D$53,'429.mcf'!$D$59:$D$70)</c:f>
              <c:numCache>
                <c:formatCode>General</c:formatCode>
                <c:ptCount val="51"/>
                <c:pt idx="0">
                  <c:v>1.0500974000000001</c:v>
                </c:pt>
                <c:pt idx="1">
                  <c:v>1.0500973</c:v>
                </c:pt>
                <c:pt idx="2">
                  <c:v>1.0500973</c:v>
                </c:pt>
                <c:pt idx="3">
                  <c:v>1.0502737</c:v>
                </c:pt>
                <c:pt idx="4">
                  <c:v>1.0500973</c:v>
                </c:pt>
                <c:pt idx="5">
                  <c:v>1.0499437</c:v>
                </c:pt>
                <c:pt idx="6">
                  <c:v>1.0499436</c:v>
                </c:pt>
                <c:pt idx="7">
                  <c:v>1.0499436</c:v>
                </c:pt>
                <c:pt idx="8">
                  <c:v>1.0501263999999999</c:v>
                </c:pt>
                <c:pt idx="9">
                  <c:v>1.0499436</c:v>
                </c:pt>
                <c:pt idx="10">
                  <c:v>1.0499277499999999</c:v>
                </c:pt>
                <c:pt idx="11">
                  <c:v>1.0499276500000001</c:v>
                </c:pt>
                <c:pt idx="12">
                  <c:v>1.0499276500000001</c:v>
                </c:pt>
                <c:pt idx="13">
                  <c:v>1.0500268500000001</c:v>
                </c:pt>
                <c:pt idx="14">
                  <c:v>1.0499276500000001</c:v>
                </c:pt>
                <c:pt idx="15">
                  <c:v>1.0275118000000001</c:v>
                </c:pt>
                <c:pt idx="16">
                  <c:v>1.0275116</c:v>
                </c:pt>
                <c:pt idx="17">
                  <c:v>1.0275116</c:v>
                </c:pt>
                <c:pt idx="18">
                  <c:v>1.0276670999999999</c:v>
                </c:pt>
                <c:pt idx="19">
                  <c:v>1.0273635999999999</c:v>
                </c:pt>
                <c:pt idx="20">
                  <c:v>1.0273634</c:v>
                </c:pt>
                <c:pt idx="21">
                  <c:v>1.0273634</c:v>
                </c:pt>
                <c:pt idx="22">
                  <c:v>1.0275782</c:v>
                </c:pt>
                <c:pt idx="23">
                  <c:v>1.02733965</c:v>
                </c:pt>
                <c:pt idx="24">
                  <c:v>1.0273394499999999</c:v>
                </c:pt>
                <c:pt idx="25">
                  <c:v>1.0273394499999999</c:v>
                </c:pt>
                <c:pt idx="26">
                  <c:v>1.0275005500000001</c:v>
                </c:pt>
                <c:pt idx="27">
                  <c:v>1.0461967999999999</c:v>
                </c:pt>
                <c:pt idx="28">
                  <c:v>1.0461967999999999</c:v>
                </c:pt>
                <c:pt idx="29">
                  <c:v>1.0463217</c:v>
                </c:pt>
                <c:pt idx="30">
                  <c:v>1.0461967999999999</c:v>
                </c:pt>
                <c:pt idx="31">
                  <c:v>1.0461396000000001</c:v>
                </c:pt>
                <c:pt idx="32">
                  <c:v>1.0461396000000001</c:v>
                </c:pt>
                <c:pt idx="33">
                  <c:v>1.0462423999999999</c:v>
                </c:pt>
                <c:pt idx="34">
                  <c:v>1.0461396000000001</c:v>
                </c:pt>
                <c:pt idx="35">
                  <c:v>1.0461276500000001</c:v>
                </c:pt>
                <c:pt idx="36">
                  <c:v>1.0461276500000001</c:v>
                </c:pt>
                <c:pt idx="37">
                  <c:v>1.0462063500000001</c:v>
                </c:pt>
                <c:pt idx="38">
                  <c:v>1.0461276500000001</c:v>
                </c:pt>
                <c:pt idx="39">
                  <c:v>1.0236581</c:v>
                </c:pt>
                <c:pt idx="40">
                  <c:v>1.0236581</c:v>
                </c:pt>
                <c:pt idx="41">
                  <c:v>1.0237955999999999</c:v>
                </c:pt>
                <c:pt idx="42">
                  <c:v>1.0236581</c:v>
                </c:pt>
                <c:pt idx="43">
                  <c:v>1.0235954</c:v>
                </c:pt>
                <c:pt idx="44">
                  <c:v>1.0235954</c:v>
                </c:pt>
                <c:pt idx="45">
                  <c:v>1.0237147</c:v>
                </c:pt>
                <c:pt idx="46">
                  <c:v>1.0235954</c:v>
                </c:pt>
                <c:pt idx="47">
                  <c:v>1.02358145</c:v>
                </c:pt>
                <c:pt idx="48">
                  <c:v>1.02358145</c:v>
                </c:pt>
                <c:pt idx="49">
                  <c:v>1.0236775499999999</c:v>
                </c:pt>
                <c:pt idx="50">
                  <c:v>1.02358145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F-4B98-AFD0-72A3F4CAD7BB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('429.mcf'!$H$4:$H$18,'429.mcf'!$H$24:$H$35,'429.mcf'!$H$42:$H$53,'429.mcf'!$H$59:$H$70)</c:f>
              <c:numCache>
                <c:formatCode>General</c:formatCode>
                <c:ptCount val="51"/>
                <c:pt idx="0">
                  <c:v>1.0669137</c:v>
                </c:pt>
                <c:pt idx="1">
                  <c:v>1.0515030999999999</c:v>
                </c:pt>
                <c:pt idx="2">
                  <c:v>1.0498779499999999</c:v>
                </c:pt>
                <c:pt idx="3">
                  <c:v>1.0499962</c:v>
                </c:pt>
                <c:pt idx="4">
                  <c:v>1.0498779</c:v>
                </c:pt>
                <c:pt idx="5">
                  <c:v>1.066784</c:v>
                </c:pt>
                <c:pt idx="6">
                  <c:v>1.0513733999999999</c:v>
                </c:pt>
                <c:pt idx="7">
                  <c:v>1.0497482499999999</c:v>
                </c:pt>
                <c:pt idx="8">
                  <c:v>1.0498989000000001</c:v>
                </c:pt>
                <c:pt idx="9">
                  <c:v>1.0497482</c:v>
                </c:pt>
                <c:pt idx="10">
                  <c:v>1.0667695500000001</c:v>
                </c:pt>
                <c:pt idx="11">
                  <c:v>1.05135895</c:v>
                </c:pt>
                <c:pt idx="12">
                  <c:v>1.0497338000000001</c:v>
                </c:pt>
                <c:pt idx="13">
                  <c:v>1.04982335</c:v>
                </c:pt>
                <c:pt idx="14">
                  <c:v>1.0497337499999999</c:v>
                </c:pt>
                <c:pt idx="15">
                  <c:v>1.0420069000000001</c:v>
                </c:pt>
                <c:pt idx="16">
                  <c:v>1.02958265</c:v>
                </c:pt>
                <c:pt idx="17">
                  <c:v>1.0273582999999999</c:v>
                </c:pt>
                <c:pt idx="18">
                  <c:v>1.0274671</c:v>
                </c:pt>
                <c:pt idx="19">
                  <c:v>1.0418917000000001</c:v>
                </c:pt>
                <c:pt idx="20">
                  <c:v>1.0294674500000001</c:v>
                </c:pt>
                <c:pt idx="21">
                  <c:v>1.0272431</c:v>
                </c:pt>
                <c:pt idx="22">
                  <c:v>1.0274011999999999</c:v>
                </c:pt>
                <c:pt idx="23">
                  <c:v>1.0418682500000001</c:v>
                </c:pt>
                <c:pt idx="24">
                  <c:v>1.029444</c:v>
                </c:pt>
                <c:pt idx="25">
                  <c:v>1.0272196499999999</c:v>
                </c:pt>
                <c:pt idx="26">
                  <c:v>1.0273580499999999</c:v>
                </c:pt>
                <c:pt idx="27">
                  <c:v>1.0477916</c:v>
                </c:pt>
                <c:pt idx="28">
                  <c:v>1.04616595</c:v>
                </c:pt>
                <c:pt idx="29">
                  <c:v>1.0462947</c:v>
                </c:pt>
                <c:pt idx="30">
                  <c:v>1.0461659000000001</c:v>
                </c:pt>
                <c:pt idx="31">
                  <c:v>1.0477533999999999</c:v>
                </c:pt>
                <c:pt idx="32">
                  <c:v>1.0461277499999999</c:v>
                </c:pt>
                <c:pt idx="33">
                  <c:v>1.0462153999999999</c:v>
                </c:pt>
                <c:pt idx="34">
                  <c:v>1.0461277</c:v>
                </c:pt>
                <c:pt idx="35">
                  <c:v>1.04774345</c:v>
                </c:pt>
                <c:pt idx="36">
                  <c:v>1.0461178</c:v>
                </c:pt>
                <c:pt idx="37">
                  <c:v>1.04619135</c:v>
                </c:pt>
                <c:pt idx="38">
                  <c:v>1.0461177500000001</c:v>
                </c:pt>
                <c:pt idx="39">
                  <c:v>1.0236116500000001</c:v>
                </c:pt>
                <c:pt idx="40">
                  <c:v>1.0236116</c:v>
                </c:pt>
                <c:pt idx="41">
                  <c:v>1.0237541000000001</c:v>
                </c:pt>
                <c:pt idx="42">
                  <c:v>1.0236116</c:v>
                </c:pt>
                <c:pt idx="43">
                  <c:v>1.0235649499999999</c:v>
                </c:pt>
                <c:pt idx="44">
                  <c:v>1.0235649</c:v>
                </c:pt>
                <c:pt idx="45">
                  <c:v>1.0236702</c:v>
                </c:pt>
                <c:pt idx="46">
                  <c:v>1.0235649</c:v>
                </c:pt>
                <c:pt idx="47">
                  <c:v>1.0235540000000001</c:v>
                </c:pt>
                <c:pt idx="48">
                  <c:v>1.0235539499999999</c:v>
                </c:pt>
                <c:pt idx="49">
                  <c:v>1.0236345499999999</c:v>
                </c:pt>
                <c:pt idx="50">
                  <c:v>1.0235539499999999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F-4B98-AFD0-72A3F4CAD7BB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('429.mcf'!$I$4:$I$18,'429.mcf'!$I$24:$I$35,'429.mcf'!$I$42:$I$53,'429.mcf'!$I$59:$I$70)</c:f>
              <c:numCache>
                <c:formatCode>General</c:formatCode>
                <c:ptCount val="51"/>
                <c:pt idx="0">
                  <c:v>1.0499014499999999</c:v>
                </c:pt>
                <c:pt idx="1">
                  <c:v>1.0498778</c:v>
                </c:pt>
                <c:pt idx="2">
                  <c:v>1.0498778</c:v>
                </c:pt>
                <c:pt idx="3">
                  <c:v>1.0499962</c:v>
                </c:pt>
                <c:pt idx="4">
                  <c:v>1.0498778</c:v>
                </c:pt>
                <c:pt idx="5">
                  <c:v>1.0497717499999999</c:v>
                </c:pt>
                <c:pt idx="6">
                  <c:v>1.0497481</c:v>
                </c:pt>
                <c:pt idx="7">
                  <c:v>1.0497481</c:v>
                </c:pt>
                <c:pt idx="8">
                  <c:v>1.0498989000000001</c:v>
                </c:pt>
                <c:pt idx="9">
                  <c:v>1.0497481</c:v>
                </c:pt>
                <c:pt idx="10">
                  <c:v>1.0497573</c:v>
                </c:pt>
                <c:pt idx="11">
                  <c:v>1.0497336500000001</c:v>
                </c:pt>
                <c:pt idx="12">
                  <c:v>1.0497336500000001</c:v>
                </c:pt>
                <c:pt idx="13">
                  <c:v>1.04982335</c:v>
                </c:pt>
                <c:pt idx="14">
                  <c:v>1.0497336500000001</c:v>
                </c:pt>
                <c:pt idx="15">
                  <c:v>1.02737795</c:v>
                </c:pt>
                <c:pt idx="16">
                  <c:v>1.02735815</c:v>
                </c:pt>
                <c:pt idx="17">
                  <c:v>1.0273581000000001</c:v>
                </c:pt>
                <c:pt idx="18">
                  <c:v>1.0274671</c:v>
                </c:pt>
                <c:pt idx="19">
                  <c:v>1.02726275</c:v>
                </c:pt>
                <c:pt idx="20">
                  <c:v>1.02724295</c:v>
                </c:pt>
                <c:pt idx="21">
                  <c:v>1.0272429000000001</c:v>
                </c:pt>
                <c:pt idx="22">
                  <c:v>1.0274011999999999</c:v>
                </c:pt>
                <c:pt idx="23">
                  <c:v>1.0272393</c:v>
                </c:pt>
                <c:pt idx="24">
                  <c:v>1.0272195</c:v>
                </c:pt>
                <c:pt idx="25">
                  <c:v>1.02721945</c:v>
                </c:pt>
                <c:pt idx="26">
                  <c:v>1.0273580499999999</c:v>
                </c:pt>
                <c:pt idx="27">
                  <c:v>1.0461658</c:v>
                </c:pt>
                <c:pt idx="28">
                  <c:v>1.0461658</c:v>
                </c:pt>
                <c:pt idx="29">
                  <c:v>1.0462947</c:v>
                </c:pt>
                <c:pt idx="30">
                  <c:v>1.0461658</c:v>
                </c:pt>
                <c:pt idx="31">
                  <c:v>1.0461275999999999</c:v>
                </c:pt>
                <c:pt idx="32">
                  <c:v>1.0461275999999999</c:v>
                </c:pt>
                <c:pt idx="33">
                  <c:v>1.0462153999999999</c:v>
                </c:pt>
                <c:pt idx="34">
                  <c:v>1.0461275999999999</c:v>
                </c:pt>
                <c:pt idx="35">
                  <c:v>1.04611765</c:v>
                </c:pt>
                <c:pt idx="36">
                  <c:v>1.04611765</c:v>
                </c:pt>
                <c:pt idx="37">
                  <c:v>1.04619135</c:v>
                </c:pt>
                <c:pt idx="38">
                  <c:v>1.04611765</c:v>
                </c:pt>
                <c:pt idx="39">
                  <c:v>1.0236116</c:v>
                </c:pt>
                <c:pt idx="40">
                  <c:v>1.0236116</c:v>
                </c:pt>
                <c:pt idx="41">
                  <c:v>1.0237541000000001</c:v>
                </c:pt>
                <c:pt idx="42">
                  <c:v>1.0236116</c:v>
                </c:pt>
                <c:pt idx="43">
                  <c:v>1.0235649</c:v>
                </c:pt>
                <c:pt idx="44">
                  <c:v>1.0235649</c:v>
                </c:pt>
                <c:pt idx="45">
                  <c:v>1.0236702</c:v>
                </c:pt>
                <c:pt idx="46">
                  <c:v>1.0235649</c:v>
                </c:pt>
                <c:pt idx="47">
                  <c:v>1.0235539499999999</c:v>
                </c:pt>
                <c:pt idx="48">
                  <c:v>1.0235539499999999</c:v>
                </c:pt>
                <c:pt idx="49">
                  <c:v>1.0236345499999999</c:v>
                </c:pt>
                <c:pt idx="50">
                  <c:v>1.0235539499999999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2F-4B98-AFD0-72A3F4CAD7BB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('429.mcf'!$J$4:$J$18,'429.mcf'!$J$24:$J$35,'429.mcf'!$J$42:$J$53,'429.mcf'!$J$59:$J$70)</c:f>
              <c:numCache>
                <c:formatCode>General</c:formatCode>
                <c:ptCount val="51"/>
                <c:pt idx="0">
                  <c:v>1.0498779</c:v>
                </c:pt>
                <c:pt idx="1">
                  <c:v>1.0498778</c:v>
                </c:pt>
                <c:pt idx="2">
                  <c:v>1.0498778</c:v>
                </c:pt>
                <c:pt idx="3">
                  <c:v>1.0499962</c:v>
                </c:pt>
                <c:pt idx="4">
                  <c:v>1.0498778</c:v>
                </c:pt>
                <c:pt idx="5">
                  <c:v>1.0497482</c:v>
                </c:pt>
                <c:pt idx="6">
                  <c:v>1.0497481</c:v>
                </c:pt>
                <c:pt idx="7">
                  <c:v>1.0497481</c:v>
                </c:pt>
                <c:pt idx="8">
                  <c:v>1.0498989000000001</c:v>
                </c:pt>
                <c:pt idx="9">
                  <c:v>1.0497481</c:v>
                </c:pt>
                <c:pt idx="10">
                  <c:v>1.0497337499999999</c:v>
                </c:pt>
                <c:pt idx="11">
                  <c:v>1.0497336500000001</c:v>
                </c:pt>
                <c:pt idx="12">
                  <c:v>1.0497336500000001</c:v>
                </c:pt>
                <c:pt idx="13">
                  <c:v>1.04982335</c:v>
                </c:pt>
                <c:pt idx="14">
                  <c:v>1.0497336500000001</c:v>
                </c:pt>
                <c:pt idx="15">
                  <c:v>1.0273588</c:v>
                </c:pt>
                <c:pt idx="16">
                  <c:v>1.0273581000000001</c:v>
                </c:pt>
                <c:pt idx="17">
                  <c:v>1.0273581000000001</c:v>
                </c:pt>
                <c:pt idx="18">
                  <c:v>1.0274671</c:v>
                </c:pt>
                <c:pt idx="19">
                  <c:v>1.0272431</c:v>
                </c:pt>
                <c:pt idx="20">
                  <c:v>1.0272429000000001</c:v>
                </c:pt>
                <c:pt idx="21">
                  <c:v>1.0272429000000001</c:v>
                </c:pt>
                <c:pt idx="22">
                  <c:v>1.0274011999999999</c:v>
                </c:pt>
                <c:pt idx="23">
                  <c:v>1.0272196499999999</c:v>
                </c:pt>
                <c:pt idx="24">
                  <c:v>1.02721945</c:v>
                </c:pt>
                <c:pt idx="25">
                  <c:v>1.02721945</c:v>
                </c:pt>
                <c:pt idx="26">
                  <c:v>1.0273580499999999</c:v>
                </c:pt>
                <c:pt idx="27">
                  <c:v>1.0461658</c:v>
                </c:pt>
                <c:pt idx="28">
                  <c:v>1.0461658</c:v>
                </c:pt>
                <c:pt idx="29">
                  <c:v>1.0462947</c:v>
                </c:pt>
                <c:pt idx="30">
                  <c:v>1.0461658</c:v>
                </c:pt>
                <c:pt idx="31">
                  <c:v>1.0461275999999999</c:v>
                </c:pt>
                <c:pt idx="32">
                  <c:v>1.0461275999999999</c:v>
                </c:pt>
                <c:pt idx="33">
                  <c:v>1.0462153999999999</c:v>
                </c:pt>
                <c:pt idx="34">
                  <c:v>1.0461275999999999</c:v>
                </c:pt>
                <c:pt idx="35">
                  <c:v>1.04611765</c:v>
                </c:pt>
                <c:pt idx="36">
                  <c:v>1.04611765</c:v>
                </c:pt>
                <c:pt idx="37">
                  <c:v>1.04619135</c:v>
                </c:pt>
                <c:pt idx="38">
                  <c:v>1.04611765</c:v>
                </c:pt>
                <c:pt idx="39">
                  <c:v>1.0236116</c:v>
                </c:pt>
                <c:pt idx="40">
                  <c:v>1.0236116</c:v>
                </c:pt>
                <c:pt idx="41">
                  <c:v>1.0237541000000001</c:v>
                </c:pt>
                <c:pt idx="42">
                  <c:v>1.0236116</c:v>
                </c:pt>
                <c:pt idx="43">
                  <c:v>1.0235649</c:v>
                </c:pt>
                <c:pt idx="44">
                  <c:v>1.0235649</c:v>
                </c:pt>
                <c:pt idx="45">
                  <c:v>1.0236702</c:v>
                </c:pt>
                <c:pt idx="46">
                  <c:v>1.0235649</c:v>
                </c:pt>
                <c:pt idx="47">
                  <c:v>1.0235539499999999</c:v>
                </c:pt>
                <c:pt idx="48">
                  <c:v>1.0235539499999999</c:v>
                </c:pt>
                <c:pt idx="49">
                  <c:v>1.0236345499999999</c:v>
                </c:pt>
                <c:pt idx="50">
                  <c:v>1.0235539499999999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2F-4B98-AFD0-72A3F4CAD7BB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('429.mcf'!$N$4:$N$18,'429.mcf'!$N$24:$N$35,'429.mcf'!$N$42:$N$53,'429.mcf'!$N$59:$N$70)</c:f>
              <c:numCache>
                <c:formatCode>General</c:formatCode>
                <c:ptCount val="51"/>
                <c:pt idx="0">
                  <c:v>1.0667112000000001</c:v>
                </c:pt>
                <c:pt idx="1">
                  <c:v>1.0512980999999999</c:v>
                </c:pt>
                <c:pt idx="2">
                  <c:v>1.0496729499999999</c:v>
                </c:pt>
                <c:pt idx="3">
                  <c:v>1.0497722</c:v>
                </c:pt>
                <c:pt idx="4">
                  <c:v>1.0496729</c:v>
                </c:pt>
                <c:pt idx="5">
                  <c:v>1.066581</c:v>
                </c:pt>
                <c:pt idx="6">
                  <c:v>1.0511679</c:v>
                </c:pt>
                <c:pt idx="7">
                  <c:v>1.0495427500000001</c:v>
                </c:pt>
                <c:pt idx="8">
                  <c:v>1.0496874</c:v>
                </c:pt>
                <c:pt idx="9">
                  <c:v>1.0495426999999999</c:v>
                </c:pt>
                <c:pt idx="10">
                  <c:v>1.0665665500000001</c:v>
                </c:pt>
                <c:pt idx="11">
                  <c:v>1.0511534499999999</c:v>
                </c:pt>
                <c:pt idx="12">
                  <c:v>1.0495283</c:v>
                </c:pt>
                <c:pt idx="13">
                  <c:v>1.04961785</c:v>
                </c:pt>
                <c:pt idx="14">
                  <c:v>1.0495282500000001</c:v>
                </c:pt>
                <c:pt idx="15">
                  <c:v>1.0419088999999999</c:v>
                </c:pt>
                <c:pt idx="16">
                  <c:v>1.0294826500000001</c:v>
                </c:pt>
                <c:pt idx="17">
                  <c:v>1.0272588</c:v>
                </c:pt>
                <c:pt idx="18">
                  <c:v>1.0273650999999999</c:v>
                </c:pt>
                <c:pt idx="19">
                  <c:v>1.0418012000000001</c:v>
                </c:pt>
                <c:pt idx="20">
                  <c:v>1.02937495</c:v>
                </c:pt>
                <c:pt idx="21">
                  <c:v>1.0271511</c:v>
                </c:pt>
                <c:pt idx="22">
                  <c:v>1.0272996999999999</c:v>
                </c:pt>
                <c:pt idx="23">
                  <c:v>1.04177725</c:v>
                </c:pt>
                <c:pt idx="24">
                  <c:v>1.0293509999999999</c:v>
                </c:pt>
                <c:pt idx="25">
                  <c:v>1.0271271500000001</c:v>
                </c:pt>
                <c:pt idx="26">
                  <c:v>1.0272625500000001</c:v>
                </c:pt>
                <c:pt idx="27">
                  <c:v>1.0478160999999999</c:v>
                </c:pt>
                <c:pt idx="28">
                  <c:v>1.0461904500000001</c:v>
                </c:pt>
                <c:pt idx="29">
                  <c:v>1.0463197</c:v>
                </c:pt>
                <c:pt idx="30">
                  <c:v>1.0461904</c:v>
                </c:pt>
                <c:pt idx="31">
                  <c:v>1.0477789</c:v>
                </c:pt>
                <c:pt idx="32">
                  <c:v>1.0461532499999999</c:v>
                </c:pt>
                <c:pt idx="33">
                  <c:v>1.0462399</c:v>
                </c:pt>
                <c:pt idx="34">
                  <c:v>1.0461532</c:v>
                </c:pt>
                <c:pt idx="35">
                  <c:v>1.04776895</c:v>
                </c:pt>
                <c:pt idx="36">
                  <c:v>1.0461433</c:v>
                </c:pt>
                <c:pt idx="37">
                  <c:v>1.0462163499999999</c:v>
                </c:pt>
                <c:pt idx="38">
                  <c:v>1.0461432500000001</c:v>
                </c:pt>
                <c:pt idx="39">
                  <c:v>1.0236626499999999</c:v>
                </c:pt>
                <c:pt idx="40">
                  <c:v>1.0236626</c:v>
                </c:pt>
                <c:pt idx="41">
                  <c:v>1.0238056</c:v>
                </c:pt>
                <c:pt idx="42">
                  <c:v>1.0236626</c:v>
                </c:pt>
                <c:pt idx="43">
                  <c:v>1.02361495</c:v>
                </c:pt>
                <c:pt idx="44">
                  <c:v>1.0236149000000001</c:v>
                </c:pt>
                <c:pt idx="45">
                  <c:v>1.0237217000000001</c:v>
                </c:pt>
                <c:pt idx="46">
                  <c:v>1.0236149000000001</c:v>
                </c:pt>
                <c:pt idx="47">
                  <c:v>1.0236054999999999</c:v>
                </c:pt>
                <c:pt idx="48">
                  <c:v>1.02360545</c:v>
                </c:pt>
                <c:pt idx="49">
                  <c:v>1.0236865500000001</c:v>
                </c:pt>
                <c:pt idx="50">
                  <c:v>1.02360545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2F-4B98-AFD0-72A3F4CAD7BB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('429.mcf'!$O$4:$O$18,'429.mcf'!$O$24:$O$35,'429.mcf'!$O$42:$O$53,'429.mcf'!$O$59:$O$70)</c:f>
              <c:numCache>
                <c:formatCode>General</c:formatCode>
                <c:ptCount val="51"/>
                <c:pt idx="0">
                  <c:v>1.04969745</c:v>
                </c:pt>
                <c:pt idx="1">
                  <c:v>1.0496728</c:v>
                </c:pt>
                <c:pt idx="2">
                  <c:v>1.0496728</c:v>
                </c:pt>
                <c:pt idx="3">
                  <c:v>1.0497722</c:v>
                </c:pt>
                <c:pt idx="4">
                  <c:v>1.0496728</c:v>
                </c:pt>
                <c:pt idx="5">
                  <c:v>1.04956725</c:v>
                </c:pt>
                <c:pt idx="6">
                  <c:v>1.0495426000000001</c:v>
                </c:pt>
                <c:pt idx="7">
                  <c:v>1.0495426000000001</c:v>
                </c:pt>
                <c:pt idx="8">
                  <c:v>1.0496874</c:v>
                </c:pt>
                <c:pt idx="9">
                  <c:v>1.0495426000000001</c:v>
                </c:pt>
                <c:pt idx="10">
                  <c:v>1.0495528000000001</c:v>
                </c:pt>
                <c:pt idx="11">
                  <c:v>1.04952815</c:v>
                </c:pt>
                <c:pt idx="12">
                  <c:v>1.04952815</c:v>
                </c:pt>
                <c:pt idx="13">
                  <c:v>1.04961785</c:v>
                </c:pt>
                <c:pt idx="14">
                  <c:v>1.04952815</c:v>
                </c:pt>
                <c:pt idx="15">
                  <c:v>1.0272819499999999</c:v>
                </c:pt>
                <c:pt idx="16">
                  <c:v>1.0272586500000001</c:v>
                </c:pt>
                <c:pt idx="17">
                  <c:v>1.0272585999999999</c:v>
                </c:pt>
                <c:pt idx="18">
                  <c:v>1.0273650999999999</c:v>
                </c:pt>
                <c:pt idx="19">
                  <c:v>1.0271742500000001</c:v>
                </c:pt>
                <c:pt idx="20">
                  <c:v>1.02715095</c:v>
                </c:pt>
                <c:pt idx="21">
                  <c:v>1.0271509000000001</c:v>
                </c:pt>
                <c:pt idx="22">
                  <c:v>1.0272996999999999</c:v>
                </c:pt>
                <c:pt idx="23">
                  <c:v>1.0271503</c:v>
                </c:pt>
                <c:pt idx="24">
                  <c:v>1.0271269999999999</c:v>
                </c:pt>
                <c:pt idx="25">
                  <c:v>1.02712695</c:v>
                </c:pt>
                <c:pt idx="26">
                  <c:v>1.0272625500000001</c:v>
                </c:pt>
                <c:pt idx="27">
                  <c:v>1.0461902999999999</c:v>
                </c:pt>
                <c:pt idx="28">
                  <c:v>1.0461902999999999</c:v>
                </c:pt>
                <c:pt idx="29">
                  <c:v>1.0463197</c:v>
                </c:pt>
                <c:pt idx="30">
                  <c:v>1.0461902999999999</c:v>
                </c:pt>
                <c:pt idx="31">
                  <c:v>1.0461530999999999</c:v>
                </c:pt>
                <c:pt idx="32">
                  <c:v>1.0461530999999999</c:v>
                </c:pt>
                <c:pt idx="33">
                  <c:v>1.0462399</c:v>
                </c:pt>
                <c:pt idx="34">
                  <c:v>1.0461530999999999</c:v>
                </c:pt>
                <c:pt idx="35">
                  <c:v>1.04614315</c:v>
                </c:pt>
                <c:pt idx="36">
                  <c:v>1.04614315</c:v>
                </c:pt>
                <c:pt idx="37">
                  <c:v>1.0462163499999999</c:v>
                </c:pt>
                <c:pt idx="38">
                  <c:v>1.04614315</c:v>
                </c:pt>
                <c:pt idx="39">
                  <c:v>1.0236626</c:v>
                </c:pt>
                <c:pt idx="40">
                  <c:v>1.0236626</c:v>
                </c:pt>
                <c:pt idx="41">
                  <c:v>1.0238056</c:v>
                </c:pt>
                <c:pt idx="42">
                  <c:v>1.0236626</c:v>
                </c:pt>
                <c:pt idx="43">
                  <c:v>1.0236149000000001</c:v>
                </c:pt>
                <c:pt idx="44">
                  <c:v>1.0236149000000001</c:v>
                </c:pt>
                <c:pt idx="45">
                  <c:v>1.0237217000000001</c:v>
                </c:pt>
                <c:pt idx="46">
                  <c:v>1.0236149000000001</c:v>
                </c:pt>
                <c:pt idx="47">
                  <c:v>1.02360545</c:v>
                </c:pt>
                <c:pt idx="48">
                  <c:v>1.02360545</c:v>
                </c:pt>
                <c:pt idx="49">
                  <c:v>1.0236865500000001</c:v>
                </c:pt>
                <c:pt idx="50">
                  <c:v>1.02360545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2F-4B98-AFD0-72A3F4CAD7BB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('429.mcf'!$P$4:$P$18,'429.mcf'!$P$24:$P$35,'429.mcf'!$P$42:$P$53,'429.mcf'!$P$59:$P$70)</c:f>
              <c:numCache>
                <c:formatCode>General</c:formatCode>
                <c:ptCount val="51"/>
                <c:pt idx="0">
                  <c:v>1.0496729</c:v>
                </c:pt>
                <c:pt idx="1">
                  <c:v>1.0496728</c:v>
                </c:pt>
                <c:pt idx="2">
                  <c:v>1.0496728</c:v>
                </c:pt>
                <c:pt idx="3">
                  <c:v>1.0497722</c:v>
                </c:pt>
                <c:pt idx="4">
                  <c:v>1.0496728</c:v>
                </c:pt>
                <c:pt idx="5">
                  <c:v>1.0495426999999999</c:v>
                </c:pt>
                <c:pt idx="6">
                  <c:v>1.0495426000000001</c:v>
                </c:pt>
                <c:pt idx="7">
                  <c:v>1.0495426000000001</c:v>
                </c:pt>
                <c:pt idx="8">
                  <c:v>1.0496874</c:v>
                </c:pt>
                <c:pt idx="9">
                  <c:v>1.0495426000000001</c:v>
                </c:pt>
                <c:pt idx="10">
                  <c:v>1.0495282500000001</c:v>
                </c:pt>
                <c:pt idx="11">
                  <c:v>1.04952815</c:v>
                </c:pt>
                <c:pt idx="12">
                  <c:v>1.04952815</c:v>
                </c:pt>
                <c:pt idx="13">
                  <c:v>1.04961785</c:v>
                </c:pt>
                <c:pt idx="14">
                  <c:v>1.04952815</c:v>
                </c:pt>
                <c:pt idx="15">
                  <c:v>1.0272588</c:v>
                </c:pt>
                <c:pt idx="16">
                  <c:v>1.0272585999999999</c:v>
                </c:pt>
                <c:pt idx="17">
                  <c:v>1.0272585999999999</c:v>
                </c:pt>
                <c:pt idx="18">
                  <c:v>1.0273650999999999</c:v>
                </c:pt>
                <c:pt idx="19">
                  <c:v>1.0271511</c:v>
                </c:pt>
                <c:pt idx="20">
                  <c:v>1.0271509000000001</c:v>
                </c:pt>
                <c:pt idx="21">
                  <c:v>1.0271509000000001</c:v>
                </c:pt>
                <c:pt idx="22">
                  <c:v>1.0272996999999999</c:v>
                </c:pt>
                <c:pt idx="23">
                  <c:v>1.0271271500000001</c:v>
                </c:pt>
                <c:pt idx="24">
                  <c:v>1.02712695</c:v>
                </c:pt>
                <c:pt idx="25">
                  <c:v>1.02712695</c:v>
                </c:pt>
                <c:pt idx="26">
                  <c:v>1.0272625500000001</c:v>
                </c:pt>
                <c:pt idx="27">
                  <c:v>1.0461902999999999</c:v>
                </c:pt>
                <c:pt idx="28">
                  <c:v>1.0461902999999999</c:v>
                </c:pt>
                <c:pt idx="29">
                  <c:v>1.0463197</c:v>
                </c:pt>
                <c:pt idx="30">
                  <c:v>1.0461902999999999</c:v>
                </c:pt>
                <c:pt idx="31">
                  <c:v>1.0461530999999999</c:v>
                </c:pt>
                <c:pt idx="32">
                  <c:v>1.0461530999999999</c:v>
                </c:pt>
                <c:pt idx="33">
                  <c:v>1.0462399</c:v>
                </c:pt>
                <c:pt idx="34">
                  <c:v>1.0461530999999999</c:v>
                </c:pt>
                <c:pt idx="35">
                  <c:v>1.04614315</c:v>
                </c:pt>
                <c:pt idx="36">
                  <c:v>1.04614315</c:v>
                </c:pt>
                <c:pt idx="37">
                  <c:v>1.0462163499999999</c:v>
                </c:pt>
                <c:pt idx="38">
                  <c:v>1.04614315</c:v>
                </c:pt>
                <c:pt idx="39">
                  <c:v>1.0236626</c:v>
                </c:pt>
                <c:pt idx="40">
                  <c:v>1.0236626</c:v>
                </c:pt>
                <c:pt idx="41">
                  <c:v>1.0238056</c:v>
                </c:pt>
                <c:pt idx="42">
                  <c:v>1.0236626</c:v>
                </c:pt>
                <c:pt idx="43">
                  <c:v>1.0236149000000001</c:v>
                </c:pt>
                <c:pt idx="44">
                  <c:v>1.0236149000000001</c:v>
                </c:pt>
                <c:pt idx="45">
                  <c:v>1.0237217000000001</c:v>
                </c:pt>
                <c:pt idx="46">
                  <c:v>1.0236149000000001</c:v>
                </c:pt>
                <c:pt idx="47">
                  <c:v>1.02360545</c:v>
                </c:pt>
                <c:pt idx="48">
                  <c:v>1.02360545</c:v>
                </c:pt>
                <c:pt idx="49">
                  <c:v>1.0236865500000001</c:v>
                </c:pt>
                <c:pt idx="50">
                  <c:v>1.02360545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2F-4B98-AFD0-72A3F4CAD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862352"/>
        <c:axId val="2072420544"/>
      </c:lineChart>
      <c:catAx>
        <c:axId val="119886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2420544"/>
        <c:crosses val="autoZero"/>
        <c:auto val="1"/>
        <c:lblAlgn val="ctr"/>
        <c:lblOffset val="100"/>
        <c:noMultiLvlLbl val="0"/>
      </c:catAx>
      <c:valAx>
        <c:axId val="2072420544"/>
        <c:scaling>
          <c:orientation val="minMax"/>
          <c:min val="1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886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456.hmmer CPI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('456.hmmer'!$B$4:$B$18,'456.hmmer'!$B$24:$B$35,'456.hmmer'!$B$43:$B$54,'456.hmmer'!$B$60:$B$71)</c:f>
              <c:numCache>
                <c:formatCode>General</c:formatCode>
                <c:ptCount val="51"/>
                <c:pt idx="0">
                  <c:v>1.0033917999999999</c:v>
                </c:pt>
                <c:pt idx="1">
                  <c:v>1.00337955</c:v>
                </c:pt>
                <c:pt idx="2">
                  <c:v>1.0033346000000001</c:v>
                </c:pt>
                <c:pt idx="3">
                  <c:v>1.0047383000000001</c:v>
                </c:pt>
                <c:pt idx="4">
                  <c:v>1.00333425</c:v>
                </c:pt>
                <c:pt idx="5">
                  <c:v>1.0033877</c:v>
                </c:pt>
                <c:pt idx="6">
                  <c:v>1.00337695</c:v>
                </c:pt>
                <c:pt idx="7">
                  <c:v>1.003333</c:v>
                </c:pt>
                <c:pt idx="8">
                  <c:v>1.0049347</c:v>
                </c:pt>
                <c:pt idx="9">
                  <c:v>1.0033326499999999</c:v>
                </c:pt>
                <c:pt idx="10">
                  <c:v>1.0033825999999999</c:v>
                </c:pt>
                <c:pt idx="11">
                  <c:v>1.00337185</c:v>
                </c:pt>
                <c:pt idx="12">
                  <c:v>1.0033284</c:v>
                </c:pt>
                <c:pt idx="13">
                  <c:v>1.00473485</c:v>
                </c:pt>
                <c:pt idx="14">
                  <c:v>1.0033280499999999</c:v>
                </c:pt>
                <c:pt idx="15">
                  <c:v>1.00184115</c:v>
                </c:pt>
                <c:pt idx="16">
                  <c:v>1.0017847499999999</c:v>
                </c:pt>
                <c:pt idx="17">
                  <c:v>1.0025533</c:v>
                </c:pt>
                <c:pt idx="18">
                  <c:v>1.0017836499999999</c:v>
                </c:pt>
                <c:pt idx="19">
                  <c:v>1.0018395499999999</c:v>
                </c:pt>
                <c:pt idx="20">
                  <c:v>1.00178415</c:v>
                </c:pt>
                <c:pt idx="21">
                  <c:v>1.0026615999999999</c:v>
                </c:pt>
                <c:pt idx="22">
                  <c:v>1.0017830999999999</c:v>
                </c:pt>
                <c:pt idx="23">
                  <c:v>1.0018357499999999</c:v>
                </c:pt>
                <c:pt idx="24">
                  <c:v>1.0017808500000001</c:v>
                </c:pt>
                <c:pt idx="25">
                  <c:v>1.00253075</c:v>
                </c:pt>
                <c:pt idx="26">
                  <c:v>1.0017798</c:v>
                </c:pt>
                <c:pt idx="27">
                  <c:v>1.0033770500000001</c:v>
                </c:pt>
                <c:pt idx="28">
                  <c:v>1.0033346000000001</c:v>
                </c:pt>
                <c:pt idx="29">
                  <c:v>1.0047368000000001</c:v>
                </c:pt>
                <c:pt idx="30">
                  <c:v>1.00333425</c:v>
                </c:pt>
                <c:pt idx="31">
                  <c:v>1.0033754500000001</c:v>
                </c:pt>
                <c:pt idx="32">
                  <c:v>1.003333</c:v>
                </c:pt>
                <c:pt idx="33">
                  <c:v>1.0049322000000001</c:v>
                </c:pt>
                <c:pt idx="34">
                  <c:v>1.0033326499999999</c:v>
                </c:pt>
                <c:pt idx="35">
                  <c:v>1.00337085</c:v>
                </c:pt>
                <c:pt idx="36">
                  <c:v>1.0033284</c:v>
                </c:pt>
                <c:pt idx="37">
                  <c:v>1.0047323500000001</c:v>
                </c:pt>
                <c:pt idx="38">
                  <c:v>1.0033280499999999</c:v>
                </c:pt>
                <c:pt idx="39">
                  <c:v>1.0018376499999999</c:v>
                </c:pt>
                <c:pt idx="40">
                  <c:v>1.00178425</c:v>
                </c:pt>
                <c:pt idx="41">
                  <c:v>1.0025527999999999</c:v>
                </c:pt>
                <c:pt idx="42">
                  <c:v>1.0017836499999999</c:v>
                </c:pt>
                <c:pt idx="43">
                  <c:v>1.00183705</c:v>
                </c:pt>
                <c:pt idx="44">
                  <c:v>1.0017836499999999</c:v>
                </c:pt>
                <c:pt idx="45">
                  <c:v>1.0026606</c:v>
                </c:pt>
                <c:pt idx="46">
                  <c:v>1.0017830999999999</c:v>
                </c:pt>
                <c:pt idx="47">
                  <c:v>1.0018337500000001</c:v>
                </c:pt>
                <c:pt idx="48">
                  <c:v>1.00178035</c:v>
                </c:pt>
                <c:pt idx="49">
                  <c:v>1.0025297500000001</c:v>
                </c:pt>
                <c:pt idx="50">
                  <c:v>1.0017798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B-4761-B6FC-8B71BA7BF74D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('456.hmmer'!$C$4:$C$18,'456.hmmer'!$C$24:$C$35,'456.hmmer'!$C$43:$C$54,'456.hmmer'!$C$60:$C$71)</c:f>
              <c:numCache>
                <c:formatCode>General</c:formatCode>
                <c:ptCount val="51"/>
                <c:pt idx="0">
                  <c:v>1.0033469500000001</c:v>
                </c:pt>
                <c:pt idx="1">
                  <c:v>1.0033384000000001</c:v>
                </c:pt>
                <c:pt idx="2">
                  <c:v>1.00333435</c:v>
                </c:pt>
                <c:pt idx="3">
                  <c:v>1.0047382</c:v>
                </c:pt>
                <c:pt idx="4">
                  <c:v>1.0033341499999999</c:v>
                </c:pt>
                <c:pt idx="5">
                  <c:v>1.0033428499999999</c:v>
                </c:pt>
                <c:pt idx="6">
                  <c:v>1.0033357999999999</c:v>
                </c:pt>
                <c:pt idx="7">
                  <c:v>1.00333275</c:v>
                </c:pt>
                <c:pt idx="8">
                  <c:v>1.0049345999999999</c:v>
                </c:pt>
                <c:pt idx="9">
                  <c:v>1.0033325500000001</c:v>
                </c:pt>
                <c:pt idx="10">
                  <c:v>1.0033801</c:v>
                </c:pt>
                <c:pt idx="11">
                  <c:v>1.0033307</c:v>
                </c:pt>
                <c:pt idx="12">
                  <c:v>1.00332815</c:v>
                </c:pt>
                <c:pt idx="13">
                  <c:v>1.0047347499999999</c:v>
                </c:pt>
                <c:pt idx="14">
                  <c:v>1.0033279500000001</c:v>
                </c:pt>
                <c:pt idx="15">
                  <c:v>1.0017884500000001</c:v>
                </c:pt>
                <c:pt idx="16">
                  <c:v>1.00178455</c:v>
                </c:pt>
                <c:pt idx="17">
                  <c:v>1.00255315</c:v>
                </c:pt>
                <c:pt idx="18">
                  <c:v>1.0017834999999999</c:v>
                </c:pt>
                <c:pt idx="19">
                  <c:v>1.00178685</c:v>
                </c:pt>
                <c:pt idx="20">
                  <c:v>1.0017839500000001</c:v>
                </c:pt>
                <c:pt idx="21">
                  <c:v>1.00266145</c:v>
                </c:pt>
                <c:pt idx="22">
                  <c:v>1.0017829499999999</c:v>
                </c:pt>
                <c:pt idx="23">
                  <c:v>1.00178305</c:v>
                </c:pt>
                <c:pt idx="24">
                  <c:v>1.0017806499999999</c:v>
                </c:pt>
                <c:pt idx="25">
                  <c:v>1.0025306</c:v>
                </c:pt>
                <c:pt idx="26">
                  <c:v>1.00177965</c:v>
                </c:pt>
                <c:pt idx="27">
                  <c:v>1.0033364</c:v>
                </c:pt>
                <c:pt idx="28">
                  <c:v>1.00333435</c:v>
                </c:pt>
                <c:pt idx="29">
                  <c:v>1.0047367</c:v>
                </c:pt>
                <c:pt idx="30">
                  <c:v>1.0033341499999999</c:v>
                </c:pt>
                <c:pt idx="31">
                  <c:v>1.0033348</c:v>
                </c:pt>
                <c:pt idx="32">
                  <c:v>1.00333275</c:v>
                </c:pt>
                <c:pt idx="33">
                  <c:v>1.0049321</c:v>
                </c:pt>
                <c:pt idx="34">
                  <c:v>1.0033325500000001</c:v>
                </c:pt>
                <c:pt idx="35">
                  <c:v>1.0033301999999999</c:v>
                </c:pt>
                <c:pt idx="36">
                  <c:v>1.00332815</c:v>
                </c:pt>
                <c:pt idx="37">
                  <c:v>1.00473225</c:v>
                </c:pt>
                <c:pt idx="38">
                  <c:v>1.0033279500000001</c:v>
                </c:pt>
                <c:pt idx="39">
                  <c:v>1.0017859499999999</c:v>
                </c:pt>
                <c:pt idx="40">
                  <c:v>1.0017840499999999</c:v>
                </c:pt>
                <c:pt idx="41">
                  <c:v>1.0025526499999999</c:v>
                </c:pt>
                <c:pt idx="42">
                  <c:v>1.0017834999999999</c:v>
                </c:pt>
                <c:pt idx="43">
                  <c:v>1.00178535</c:v>
                </c:pt>
                <c:pt idx="44">
                  <c:v>1.0017834999999999</c:v>
                </c:pt>
                <c:pt idx="45">
                  <c:v>1.00266045</c:v>
                </c:pt>
                <c:pt idx="46">
                  <c:v>1.0017829499999999</c:v>
                </c:pt>
                <c:pt idx="47">
                  <c:v>1.0017820500000001</c:v>
                </c:pt>
                <c:pt idx="48">
                  <c:v>1.0017802</c:v>
                </c:pt>
                <c:pt idx="49">
                  <c:v>1.0025295999999999</c:v>
                </c:pt>
                <c:pt idx="50">
                  <c:v>1.00177965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B-4761-B6FC-8B71BA7BF74D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('456.hmmer'!$D$4:$D$18,'456.hmmer'!$D$24:$D$35,'456.hmmer'!$D$43:$D$54,'456.hmmer'!$D$60:$D$71)</c:f>
              <c:numCache>
                <c:formatCode>General</c:formatCode>
                <c:ptCount val="51"/>
                <c:pt idx="0">
                  <c:v>1.0033454500000001</c:v>
                </c:pt>
                <c:pt idx="1">
                  <c:v>1.0033379</c:v>
                </c:pt>
                <c:pt idx="2">
                  <c:v>1.0033341499999999</c:v>
                </c:pt>
                <c:pt idx="3">
                  <c:v>1.0047382</c:v>
                </c:pt>
                <c:pt idx="4">
                  <c:v>1.0033341499999999</c:v>
                </c:pt>
                <c:pt idx="5">
                  <c:v>1.0033413499999999</c:v>
                </c:pt>
                <c:pt idx="6">
                  <c:v>1.0033348</c:v>
                </c:pt>
                <c:pt idx="7">
                  <c:v>1.0033325500000001</c:v>
                </c:pt>
                <c:pt idx="8">
                  <c:v>1.0049345999999999</c:v>
                </c:pt>
                <c:pt idx="9">
                  <c:v>1.0033325500000001</c:v>
                </c:pt>
                <c:pt idx="10">
                  <c:v>1.00333625</c:v>
                </c:pt>
                <c:pt idx="11">
                  <c:v>1.0033297000000001</c:v>
                </c:pt>
                <c:pt idx="12">
                  <c:v>1.0033279500000001</c:v>
                </c:pt>
                <c:pt idx="13">
                  <c:v>1.0047347499999999</c:v>
                </c:pt>
                <c:pt idx="14">
                  <c:v>1.0033279500000001</c:v>
                </c:pt>
                <c:pt idx="15">
                  <c:v>1.0017886</c:v>
                </c:pt>
                <c:pt idx="16">
                  <c:v>1.0017835500000001</c:v>
                </c:pt>
                <c:pt idx="17">
                  <c:v>1.00255315</c:v>
                </c:pt>
                <c:pt idx="18">
                  <c:v>1.0017834999999999</c:v>
                </c:pt>
                <c:pt idx="19">
                  <c:v>1.0017864999999999</c:v>
                </c:pt>
                <c:pt idx="20">
                  <c:v>1.0017830000000001</c:v>
                </c:pt>
                <c:pt idx="21">
                  <c:v>1.00266145</c:v>
                </c:pt>
                <c:pt idx="22">
                  <c:v>1.0017829499999999</c:v>
                </c:pt>
                <c:pt idx="23">
                  <c:v>1.0017826999999999</c:v>
                </c:pt>
                <c:pt idx="24">
                  <c:v>1.0017796999999999</c:v>
                </c:pt>
                <c:pt idx="25">
                  <c:v>1.0025306</c:v>
                </c:pt>
                <c:pt idx="26">
                  <c:v>1.00177965</c:v>
                </c:pt>
                <c:pt idx="27">
                  <c:v>1.0033358999999999</c:v>
                </c:pt>
                <c:pt idx="28">
                  <c:v>1.0033341499999999</c:v>
                </c:pt>
                <c:pt idx="29">
                  <c:v>1.0047367</c:v>
                </c:pt>
                <c:pt idx="30">
                  <c:v>1.0033341499999999</c:v>
                </c:pt>
                <c:pt idx="31">
                  <c:v>1.0033342999999999</c:v>
                </c:pt>
                <c:pt idx="32">
                  <c:v>1.0033325500000001</c:v>
                </c:pt>
                <c:pt idx="33">
                  <c:v>1.0049321</c:v>
                </c:pt>
                <c:pt idx="34">
                  <c:v>1.0033325500000001</c:v>
                </c:pt>
                <c:pt idx="35">
                  <c:v>1.0033297000000001</c:v>
                </c:pt>
                <c:pt idx="36">
                  <c:v>1.0033279500000001</c:v>
                </c:pt>
                <c:pt idx="37">
                  <c:v>1.00473225</c:v>
                </c:pt>
                <c:pt idx="38">
                  <c:v>1.0033279500000001</c:v>
                </c:pt>
                <c:pt idx="39">
                  <c:v>1.0017856000000001</c:v>
                </c:pt>
                <c:pt idx="40">
                  <c:v>1.0017835500000001</c:v>
                </c:pt>
                <c:pt idx="41">
                  <c:v>1.0025526499999999</c:v>
                </c:pt>
                <c:pt idx="42">
                  <c:v>1.0017834999999999</c:v>
                </c:pt>
                <c:pt idx="43">
                  <c:v>1.0017849999999999</c:v>
                </c:pt>
                <c:pt idx="44">
                  <c:v>1.0017830000000001</c:v>
                </c:pt>
                <c:pt idx="45">
                  <c:v>1.00266045</c:v>
                </c:pt>
                <c:pt idx="46">
                  <c:v>1.0017829499999999</c:v>
                </c:pt>
                <c:pt idx="47">
                  <c:v>1.0017817</c:v>
                </c:pt>
                <c:pt idx="48">
                  <c:v>1.0017796999999999</c:v>
                </c:pt>
                <c:pt idx="49">
                  <c:v>1.0025295999999999</c:v>
                </c:pt>
                <c:pt idx="50">
                  <c:v>1.00177965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B-4761-B6FC-8B71BA7BF74D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('456.hmmer'!$H$4:$H$18,'456.hmmer'!$H$24:$H$35,'456.hmmer'!$H$43:$H$54,'456.hmmer'!$H$60:$H$71)</c:f>
              <c:numCache>
                <c:formatCode>General</c:formatCode>
                <c:ptCount val="51"/>
                <c:pt idx="0">
                  <c:v>1.0033843</c:v>
                </c:pt>
                <c:pt idx="1">
                  <c:v>1.00337755</c:v>
                </c:pt>
                <c:pt idx="2">
                  <c:v>1.0033346000000001</c:v>
                </c:pt>
                <c:pt idx="3">
                  <c:v>1.0047368000000001</c:v>
                </c:pt>
                <c:pt idx="4">
                  <c:v>1.00333425</c:v>
                </c:pt>
                <c:pt idx="5">
                  <c:v>1.0033821999999999</c:v>
                </c:pt>
                <c:pt idx="6">
                  <c:v>1.0033754500000001</c:v>
                </c:pt>
                <c:pt idx="7">
                  <c:v>1.003333</c:v>
                </c:pt>
                <c:pt idx="8">
                  <c:v>1.0049322000000001</c:v>
                </c:pt>
                <c:pt idx="9">
                  <c:v>1.0033326499999999</c:v>
                </c:pt>
                <c:pt idx="10">
                  <c:v>1.0033776000000001</c:v>
                </c:pt>
                <c:pt idx="11">
                  <c:v>1.00337085</c:v>
                </c:pt>
                <c:pt idx="12">
                  <c:v>1.0033284</c:v>
                </c:pt>
                <c:pt idx="13">
                  <c:v>1.0047323500000001</c:v>
                </c:pt>
                <c:pt idx="14">
                  <c:v>1.0033280499999999</c:v>
                </c:pt>
                <c:pt idx="15">
                  <c:v>1.00183815</c:v>
                </c:pt>
                <c:pt idx="16">
                  <c:v>1.00178425</c:v>
                </c:pt>
                <c:pt idx="17">
                  <c:v>1.0025527999999999</c:v>
                </c:pt>
                <c:pt idx="18">
                  <c:v>1.0017836499999999</c:v>
                </c:pt>
                <c:pt idx="19">
                  <c:v>1.00183705</c:v>
                </c:pt>
                <c:pt idx="20">
                  <c:v>1.0017836499999999</c:v>
                </c:pt>
                <c:pt idx="21">
                  <c:v>1.0026606</c:v>
                </c:pt>
                <c:pt idx="22">
                  <c:v>1.0017830999999999</c:v>
                </c:pt>
                <c:pt idx="23">
                  <c:v>1.0018337500000001</c:v>
                </c:pt>
                <c:pt idx="24">
                  <c:v>1.00178035</c:v>
                </c:pt>
                <c:pt idx="25">
                  <c:v>1.0025297500000001</c:v>
                </c:pt>
                <c:pt idx="26">
                  <c:v>1.0017798</c:v>
                </c:pt>
                <c:pt idx="27">
                  <c:v>1.0033770500000001</c:v>
                </c:pt>
                <c:pt idx="28">
                  <c:v>1.0033346000000001</c:v>
                </c:pt>
                <c:pt idx="29">
                  <c:v>1.0047368000000001</c:v>
                </c:pt>
                <c:pt idx="30">
                  <c:v>1.00333425</c:v>
                </c:pt>
                <c:pt idx="31">
                  <c:v>1.0033754500000001</c:v>
                </c:pt>
                <c:pt idx="32">
                  <c:v>1.003333</c:v>
                </c:pt>
                <c:pt idx="33">
                  <c:v>1.0049322000000001</c:v>
                </c:pt>
                <c:pt idx="34">
                  <c:v>1.0033326499999999</c:v>
                </c:pt>
                <c:pt idx="35">
                  <c:v>1.00337085</c:v>
                </c:pt>
                <c:pt idx="36">
                  <c:v>1.0033284</c:v>
                </c:pt>
                <c:pt idx="37">
                  <c:v>1.0047323500000001</c:v>
                </c:pt>
                <c:pt idx="38">
                  <c:v>1.0033280499999999</c:v>
                </c:pt>
                <c:pt idx="39">
                  <c:v>1.0018376499999999</c:v>
                </c:pt>
                <c:pt idx="40">
                  <c:v>1.00178425</c:v>
                </c:pt>
                <c:pt idx="41">
                  <c:v>1.0025527999999999</c:v>
                </c:pt>
                <c:pt idx="42">
                  <c:v>1.0017836499999999</c:v>
                </c:pt>
                <c:pt idx="43">
                  <c:v>1.00183705</c:v>
                </c:pt>
                <c:pt idx="44">
                  <c:v>1.0017836499999999</c:v>
                </c:pt>
                <c:pt idx="45">
                  <c:v>1.0026606</c:v>
                </c:pt>
                <c:pt idx="46">
                  <c:v>1.0017830999999999</c:v>
                </c:pt>
                <c:pt idx="47">
                  <c:v>1.0018337500000001</c:v>
                </c:pt>
                <c:pt idx="48">
                  <c:v>1.00178035</c:v>
                </c:pt>
                <c:pt idx="49">
                  <c:v>1.0025297500000001</c:v>
                </c:pt>
                <c:pt idx="50">
                  <c:v>1.0017798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DB-4761-B6FC-8B71BA7BF74D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('456.hmmer'!$I$4:$I$18,'456.hmmer'!$I$24:$I$35,'456.hmmer'!$I$43:$I$54,'456.hmmer'!$I$60:$I$71)</c:f>
              <c:numCache>
                <c:formatCode>General</c:formatCode>
                <c:ptCount val="51"/>
                <c:pt idx="0">
                  <c:v>1.00334145</c:v>
                </c:pt>
                <c:pt idx="1">
                  <c:v>1.0033364</c:v>
                </c:pt>
                <c:pt idx="2">
                  <c:v>1.00333435</c:v>
                </c:pt>
                <c:pt idx="3">
                  <c:v>1.0047367</c:v>
                </c:pt>
                <c:pt idx="4">
                  <c:v>1.0033341499999999</c:v>
                </c:pt>
                <c:pt idx="5">
                  <c:v>1.0033398499999999</c:v>
                </c:pt>
                <c:pt idx="6">
                  <c:v>1.0033348</c:v>
                </c:pt>
                <c:pt idx="7">
                  <c:v>1.00333275</c:v>
                </c:pt>
                <c:pt idx="8">
                  <c:v>1.0049321</c:v>
                </c:pt>
                <c:pt idx="9">
                  <c:v>1.0033325500000001</c:v>
                </c:pt>
                <c:pt idx="10">
                  <c:v>1.0033352499999999</c:v>
                </c:pt>
                <c:pt idx="11">
                  <c:v>1.0033301999999999</c:v>
                </c:pt>
                <c:pt idx="12">
                  <c:v>1.00332815</c:v>
                </c:pt>
                <c:pt idx="13">
                  <c:v>1.00473225</c:v>
                </c:pt>
                <c:pt idx="14">
                  <c:v>1.0033279500000001</c:v>
                </c:pt>
                <c:pt idx="15">
                  <c:v>1.0017859499999999</c:v>
                </c:pt>
                <c:pt idx="16">
                  <c:v>1.0017840499999999</c:v>
                </c:pt>
                <c:pt idx="17">
                  <c:v>1.0025526499999999</c:v>
                </c:pt>
                <c:pt idx="18">
                  <c:v>1.0017834999999999</c:v>
                </c:pt>
                <c:pt idx="19">
                  <c:v>1.00178535</c:v>
                </c:pt>
                <c:pt idx="20">
                  <c:v>1.0017834999999999</c:v>
                </c:pt>
                <c:pt idx="21">
                  <c:v>1.00266045</c:v>
                </c:pt>
                <c:pt idx="22">
                  <c:v>1.0017829499999999</c:v>
                </c:pt>
                <c:pt idx="23">
                  <c:v>1.0017820500000001</c:v>
                </c:pt>
                <c:pt idx="24">
                  <c:v>1.0017802</c:v>
                </c:pt>
                <c:pt idx="25">
                  <c:v>1.0025295999999999</c:v>
                </c:pt>
                <c:pt idx="26">
                  <c:v>1.00177965</c:v>
                </c:pt>
                <c:pt idx="27">
                  <c:v>1.0033364</c:v>
                </c:pt>
                <c:pt idx="28">
                  <c:v>1.00333435</c:v>
                </c:pt>
                <c:pt idx="29">
                  <c:v>1.0047367</c:v>
                </c:pt>
                <c:pt idx="30">
                  <c:v>1.0033341499999999</c:v>
                </c:pt>
                <c:pt idx="31">
                  <c:v>1.0033348</c:v>
                </c:pt>
                <c:pt idx="32">
                  <c:v>1.00333275</c:v>
                </c:pt>
                <c:pt idx="33">
                  <c:v>1.0049321</c:v>
                </c:pt>
                <c:pt idx="34">
                  <c:v>1.0033325500000001</c:v>
                </c:pt>
                <c:pt idx="35">
                  <c:v>1.0033301999999999</c:v>
                </c:pt>
                <c:pt idx="36">
                  <c:v>1.00332815</c:v>
                </c:pt>
                <c:pt idx="37">
                  <c:v>1.00473225</c:v>
                </c:pt>
                <c:pt idx="38">
                  <c:v>1.0033279500000001</c:v>
                </c:pt>
                <c:pt idx="39">
                  <c:v>1.0017859499999999</c:v>
                </c:pt>
                <c:pt idx="40">
                  <c:v>1.0017840499999999</c:v>
                </c:pt>
                <c:pt idx="41">
                  <c:v>1.0025526499999999</c:v>
                </c:pt>
                <c:pt idx="42">
                  <c:v>1.0017834999999999</c:v>
                </c:pt>
                <c:pt idx="43">
                  <c:v>1.00178535</c:v>
                </c:pt>
                <c:pt idx="44">
                  <c:v>1.0017834999999999</c:v>
                </c:pt>
                <c:pt idx="45">
                  <c:v>1.00266045</c:v>
                </c:pt>
                <c:pt idx="46">
                  <c:v>1.0017829499999999</c:v>
                </c:pt>
                <c:pt idx="47">
                  <c:v>1.0017820500000001</c:v>
                </c:pt>
                <c:pt idx="48">
                  <c:v>1.0017802</c:v>
                </c:pt>
                <c:pt idx="49">
                  <c:v>1.0025295999999999</c:v>
                </c:pt>
                <c:pt idx="50">
                  <c:v>1.00177965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DB-4761-B6FC-8B71BA7BF74D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('456.hmmer'!$J$4:$J$18,'456.hmmer'!$J$24:$J$35,'456.hmmer'!$J$43:$J$54,'456.hmmer'!$J$60:$J$71)</c:f>
              <c:numCache>
                <c:formatCode>General</c:formatCode>
                <c:ptCount val="51"/>
                <c:pt idx="0">
                  <c:v>1.0033409499999999</c:v>
                </c:pt>
                <c:pt idx="1">
                  <c:v>1.0033358999999999</c:v>
                </c:pt>
                <c:pt idx="2">
                  <c:v>1.0033341499999999</c:v>
                </c:pt>
                <c:pt idx="3">
                  <c:v>1.0047367</c:v>
                </c:pt>
                <c:pt idx="4">
                  <c:v>1.0033341499999999</c:v>
                </c:pt>
                <c:pt idx="5">
                  <c:v>1.0033393500000001</c:v>
                </c:pt>
                <c:pt idx="6">
                  <c:v>1.0033342999999999</c:v>
                </c:pt>
                <c:pt idx="7">
                  <c:v>1.0033325500000001</c:v>
                </c:pt>
                <c:pt idx="8">
                  <c:v>1.0049321</c:v>
                </c:pt>
                <c:pt idx="9">
                  <c:v>1.0033325500000001</c:v>
                </c:pt>
                <c:pt idx="10">
                  <c:v>1.0033347500000001</c:v>
                </c:pt>
                <c:pt idx="11">
                  <c:v>1.0033297000000001</c:v>
                </c:pt>
                <c:pt idx="12">
                  <c:v>1.0033279500000001</c:v>
                </c:pt>
                <c:pt idx="13">
                  <c:v>1.00473225</c:v>
                </c:pt>
                <c:pt idx="14">
                  <c:v>1.0033279500000001</c:v>
                </c:pt>
                <c:pt idx="15">
                  <c:v>1.0017856000000001</c:v>
                </c:pt>
                <c:pt idx="16">
                  <c:v>1.0017835500000001</c:v>
                </c:pt>
                <c:pt idx="17">
                  <c:v>1.0025526499999999</c:v>
                </c:pt>
                <c:pt idx="18">
                  <c:v>1.0017834999999999</c:v>
                </c:pt>
                <c:pt idx="19">
                  <c:v>1.0017849999999999</c:v>
                </c:pt>
                <c:pt idx="20">
                  <c:v>1.0017830000000001</c:v>
                </c:pt>
                <c:pt idx="21">
                  <c:v>1.00266045</c:v>
                </c:pt>
                <c:pt idx="22">
                  <c:v>1.0017829499999999</c:v>
                </c:pt>
                <c:pt idx="23">
                  <c:v>1.0017817</c:v>
                </c:pt>
                <c:pt idx="24">
                  <c:v>1.0017796999999999</c:v>
                </c:pt>
                <c:pt idx="25">
                  <c:v>1.0025295999999999</c:v>
                </c:pt>
                <c:pt idx="26">
                  <c:v>1.00177965</c:v>
                </c:pt>
                <c:pt idx="27">
                  <c:v>1.0033358999999999</c:v>
                </c:pt>
                <c:pt idx="28">
                  <c:v>1.0033341499999999</c:v>
                </c:pt>
                <c:pt idx="29">
                  <c:v>1.0047367</c:v>
                </c:pt>
                <c:pt idx="30">
                  <c:v>1.0033341499999999</c:v>
                </c:pt>
                <c:pt idx="31">
                  <c:v>1.0033342999999999</c:v>
                </c:pt>
                <c:pt idx="32">
                  <c:v>1.0033325500000001</c:v>
                </c:pt>
                <c:pt idx="33">
                  <c:v>1.0049321</c:v>
                </c:pt>
                <c:pt idx="34">
                  <c:v>1.0033325500000001</c:v>
                </c:pt>
                <c:pt idx="35">
                  <c:v>1.0033297000000001</c:v>
                </c:pt>
                <c:pt idx="36">
                  <c:v>1.0033279500000001</c:v>
                </c:pt>
                <c:pt idx="37">
                  <c:v>1.00473225</c:v>
                </c:pt>
                <c:pt idx="38">
                  <c:v>1.0033279500000001</c:v>
                </c:pt>
                <c:pt idx="39">
                  <c:v>1.0017856000000001</c:v>
                </c:pt>
                <c:pt idx="40">
                  <c:v>1.0017835500000001</c:v>
                </c:pt>
                <c:pt idx="41">
                  <c:v>1.0025526499999999</c:v>
                </c:pt>
                <c:pt idx="42">
                  <c:v>1.0017834999999999</c:v>
                </c:pt>
                <c:pt idx="43">
                  <c:v>1.0017849999999999</c:v>
                </c:pt>
                <c:pt idx="44">
                  <c:v>1.0017830000000001</c:v>
                </c:pt>
                <c:pt idx="45">
                  <c:v>1.00266045</c:v>
                </c:pt>
                <c:pt idx="46">
                  <c:v>1.0017829499999999</c:v>
                </c:pt>
                <c:pt idx="47">
                  <c:v>1.0017817</c:v>
                </c:pt>
                <c:pt idx="48">
                  <c:v>1.0017796999999999</c:v>
                </c:pt>
                <c:pt idx="49">
                  <c:v>1.0025295999999999</c:v>
                </c:pt>
                <c:pt idx="50">
                  <c:v>1.00177965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DB-4761-B6FC-8B71BA7BF74D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('456.hmmer'!$N$4:$N$18,'456.hmmer'!$N$24:$N$35,'456.hmmer'!$N$43:$N$54,'456.hmmer'!$N$60:$N$71)</c:f>
              <c:numCache>
                <c:formatCode>General</c:formatCode>
                <c:ptCount val="51"/>
                <c:pt idx="0">
                  <c:v>1.0033837999999999</c:v>
                </c:pt>
                <c:pt idx="1">
                  <c:v>1.0033770500000001</c:v>
                </c:pt>
                <c:pt idx="2">
                  <c:v>1.0033346000000001</c:v>
                </c:pt>
                <c:pt idx="3">
                  <c:v>1.0047368000000001</c:v>
                </c:pt>
                <c:pt idx="4">
                  <c:v>1.00333425</c:v>
                </c:pt>
                <c:pt idx="5">
                  <c:v>1.0033821999999999</c:v>
                </c:pt>
                <c:pt idx="6">
                  <c:v>1.0033754500000001</c:v>
                </c:pt>
                <c:pt idx="7">
                  <c:v>1.003333</c:v>
                </c:pt>
                <c:pt idx="8">
                  <c:v>1.0049322000000001</c:v>
                </c:pt>
                <c:pt idx="9">
                  <c:v>1.0033326499999999</c:v>
                </c:pt>
                <c:pt idx="10">
                  <c:v>1.0033776000000001</c:v>
                </c:pt>
                <c:pt idx="11">
                  <c:v>1.00337085</c:v>
                </c:pt>
                <c:pt idx="12">
                  <c:v>1.0033284</c:v>
                </c:pt>
                <c:pt idx="13">
                  <c:v>1.0047323500000001</c:v>
                </c:pt>
                <c:pt idx="14">
                  <c:v>1.0033280499999999</c:v>
                </c:pt>
                <c:pt idx="15">
                  <c:v>1.0018376499999999</c:v>
                </c:pt>
                <c:pt idx="16">
                  <c:v>1.00178425</c:v>
                </c:pt>
                <c:pt idx="17">
                  <c:v>1.0025527999999999</c:v>
                </c:pt>
                <c:pt idx="18">
                  <c:v>1.0017836499999999</c:v>
                </c:pt>
                <c:pt idx="19">
                  <c:v>1.00183705</c:v>
                </c:pt>
                <c:pt idx="20">
                  <c:v>1.0017836499999999</c:v>
                </c:pt>
                <c:pt idx="21">
                  <c:v>1.0026606</c:v>
                </c:pt>
                <c:pt idx="22">
                  <c:v>1.0017830999999999</c:v>
                </c:pt>
                <c:pt idx="23">
                  <c:v>1.0018337500000001</c:v>
                </c:pt>
                <c:pt idx="24">
                  <c:v>1.00178035</c:v>
                </c:pt>
                <c:pt idx="25">
                  <c:v>1.0025297500000001</c:v>
                </c:pt>
                <c:pt idx="26">
                  <c:v>1.0017798</c:v>
                </c:pt>
                <c:pt idx="27">
                  <c:v>1.0033770500000001</c:v>
                </c:pt>
                <c:pt idx="28">
                  <c:v>1.0033346000000001</c:v>
                </c:pt>
                <c:pt idx="29">
                  <c:v>1.0047368000000001</c:v>
                </c:pt>
                <c:pt idx="30">
                  <c:v>1.00333425</c:v>
                </c:pt>
                <c:pt idx="31">
                  <c:v>1.0033754500000001</c:v>
                </c:pt>
                <c:pt idx="32">
                  <c:v>1.003333</c:v>
                </c:pt>
                <c:pt idx="33">
                  <c:v>1.0049322000000001</c:v>
                </c:pt>
                <c:pt idx="34">
                  <c:v>1.0033326499999999</c:v>
                </c:pt>
                <c:pt idx="35">
                  <c:v>1.00337085</c:v>
                </c:pt>
                <c:pt idx="36">
                  <c:v>1.0033284</c:v>
                </c:pt>
                <c:pt idx="37">
                  <c:v>1.0047323500000001</c:v>
                </c:pt>
                <c:pt idx="38">
                  <c:v>1.0033280499999999</c:v>
                </c:pt>
                <c:pt idx="39">
                  <c:v>1.0018376499999999</c:v>
                </c:pt>
                <c:pt idx="40">
                  <c:v>1.00178425</c:v>
                </c:pt>
                <c:pt idx="41">
                  <c:v>1.0025527999999999</c:v>
                </c:pt>
                <c:pt idx="42">
                  <c:v>1.0017836499999999</c:v>
                </c:pt>
                <c:pt idx="43">
                  <c:v>1.00183705</c:v>
                </c:pt>
                <c:pt idx="44">
                  <c:v>1.0017836499999999</c:v>
                </c:pt>
                <c:pt idx="45">
                  <c:v>1.0026606</c:v>
                </c:pt>
                <c:pt idx="46">
                  <c:v>1.0017830999999999</c:v>
                </c:pt>
                <c:pt idx="47">
                  <c:v>1.0018337500000001</c:v>
                </c:pt>
                <c:pt idx="48">
                  <c:v>1.00178035</c:v>
                </c:pt>
                <c:pt idx="49">
                  <c:v>1.0025297500000001</c:v>
                </c:pt>
                <c:pt idx="50">
                  <c:v>1.0017798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DB-4761-B6FC-8B71BA7BF74D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('456.hmmer'!$O$4:$O$18,'456.hmmer'!$O$24:$O$35,'456.hmmer'!$O$43:$O$54,'456.hmmer'!$O$60:$O$71)</c:f>
              <c:numCache>
                <c:formatCode>General</c:formatCode>
                <c:ptCount val="51"/>
                <c:pt idx="0">
                  <c:v>1.00334145</c:v>
                </c:pt>
                <c:pt idx="1">
                  <c:v>1.0033364</c:v>
                </c:pt>
                <c:pt idx="2">
                  <c:v>1.00333435</c:v>
                </c:pt>
                <c:pt idx="3">
                  <c:v>1.0047367</c:v>
                </c:pt>
                <c:pt idx="4">
                  <c:v>1.0033341499999999</c:v>
                </c:pt>
                <c:pt idx="5">
                  <c:v>1.0033398499999999</c:v>
                </c:pt>
                <c:pt idx="6">
                  <c:v>1.0033348</c:v>
                </c:pt>
                <c:pt idx="7">
                  <c:v>1.00333275</c:v>
                </c:pt>
                <c:pt idx="8">
                  <c:v>1.0049321</c:v>
                </c:pt>
                <c:pt idx="9">
                  <c:v>1.0033325500000001</c:v>
                </c:pt>
                <c:pt idx="10">
                  <c:v>1.0033352499999999</c:v>
                </c:pt>
                <c:pt idx="11">
                  <c:v>1.0033301999999999</c:v>
                </c:pt>
                <c:pt idx="12">
                  <c:v>1.00332815</c:v>
                </c:pt>
                <c:pt idx="13">
                  <c:v>1.00473225</c:v>
                </c:pt>
                <c:pt idx="14">
                  <c:v>1.0033279500000001</c:v>
                </c:pt>
                <c:pt idx="15">
                  <c:v>1.0017859499999999</c:v>
                </c:pt>
                <c:pt idx="16">
                  <c:v>1.0017840499999999</c:v>
                </c:pt>
                <c:pt idx="17">
                  <c:v>1.0025526499999999</c:v>
                </c:pt>
                <c:pt idx="18">
                  <c:v>1.0017834999999999</c:v>
                </c:pt>
                <c:pt idx="19">
                  <c:v>1.00178535</c:v>
                </c:pt>
                <c:pt idx="20">
                  <c:v>1.0017834999999999</c:v>
                </c:pt>
                <c:pt idx="21">
                  <c:v>1.00266045</c:v>
                </c:pt>
                <c:pt idx="22">
                  <c:v>1.0017829499999999</c:v>
                </c:pt>
                <c:pt idx="23">
                  <c:v>1.0017820500000001</c:v>
                </c:pt>
                <c:pt idx="24">
                  <c:v>1.0017802</c:v>
                </c:pt>
                <c:pt idx="25">
                  <c:v>1.0025295999999999</c:v>
                </c:pt>
                <c:pt idx="26">
                  <c:v>1.00177965</c:v>
                </c:pt>
                <c:pt idx="27">
                  <c:v>1.0033364</c:v>
                </c:pt>
                <c:pt idx="28">
                  <c:v>1.00333435</c:v>
                </c:pt>
                <c:pt idx="29">
                  <c:v>1.0047367</c:v>
                </c:pt>
                <c:pt idx="30">
                  <c:v>1.0033341499999999</c:v>
                </c:pt>
                <c:pt idx="31">
                  <c:v>1.0033348</c:v>
                </c:pt>
                <c:pt idx="32">
                  <c:v>1.00333275</c:v>
                </c:pt>
                <c:pt idx="33">
                  <c:v>1.0049321</c:v>
                </c:pt>
                <c:pt idx="34">
                  <c:v>1.0033325500000001</c:v>
                </c:pt>
                <c:pt idx="35">
                  <c:v>1.0033301999999999</c:v>
                </c:pt>
                <c:pt idx="36">
                  <c:v>1.00332815</c:v>
                </c:pt>
                <c:pt idx="37">
                  <c:v>1.00473225</c:v>
                </c:pt>
                <c:pt idx="38">
                  <c:v>1.0033279500000001</c:v>
                </c:pt>
                <c:pt idx="39">
                  <c:v>1.0017859499999999</c:v>
                </c:pt>
                <c:pt idx="40">
                  <c:v>1.0017840499999999</c:v>
                </c:pt>
                <c:pt idx="41">
                  <c:v>1.0025526499999999</c:v>
                </c:pt>
                <c:pt idx="42">
                  <c:v>1.0017834999999999</c:v>
                </c:pt>
                <c:pt idx="43">
                  <c:v>1.00178535</c:v>
                </c:pt>
                <c:pt idx="44">
                  <c:v>1.0017834999999999</c:v>
                </c:pt>
                <c:pt idx="45">
                  <c:v>1.00266045</c:v>
                </c:pt>
                <c:pt idx="46">
                  <c:v>1.0017829499999999</c:v>
                </c:pt>
                <c:pt idx="47">
                  <c:v>1.0017820500000001</c:v>
                </c:pt>
                <c:pt idx="48">
                  <c:v>1.0017802</c:v>
                </c:pt>
                <c:pt idx="49">
                  <c:v>1.0025295999999999</c:v>
                </c:pt>
                <c:pt idx="50">
                  <c:v>1.00177965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DB-4761-B6FC-8B71BA7BF74D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('456.hmmer'!$P$4:$P$18,'456.hmmer'!$P$24:$P$35,'456.hmmer'!$P$43:$P$54,'456.hmmer'!$P$60:$P$71)</c:f>
              <c:numCache>
                <c:formatCode>General</c:formatCode>
                <c:ptCount val="51"/>
                <c:pt idx="0">
                  <c:v>1.0033409499999999</c:v>
                </c:pt>
                <c:pt idx="1">
                  <c:v>1.0033358999999999</c:v>
                </c:pt>
                <c:pt idx="2">
                  <c:v>1.0033341499999999</c:v>
                </c:pt>
                <c:pt idx="3">
                  <c:v>1.0047367</c:v>
                </c:pt>
                <c:pt idx="4">
                  <c:v>1.0033341499999999</c:v>
                </c:pt>
                <c:pt idx="5">
                  <c:v>1.0033393500000001</c:v>
                </c:pt>
                <c:pt idx="6">
                  <c:v>1.0033342999999999</c:v>
                </c:pt>
                <c:pt idx="7">
                  <c:v>1.0033325500000001</c:v>
                </c:pt>
                <c:pt idx="8">
                  <c:v>1.0049321</c:v>
                </c:pt>
                <c:pt idx="9">
                  <c:v>1.0033325500000001</c:v>
                </c:pt>
                <c:pt idx="10">
                  <c:v>1.0033347500000001</c:v>
                </c:pt>
                <c:pt idx="11">
                  <c:v>1.0033297000000001</c:v>
                </c:pt>
                <c:pt idx="12">
                  <c:v>1.0033279500000001</c:v>
                </c:pt>
                <c:pt idx="13">
                  <c:v>1.00473225</c:v>
                </c:pt>
                <c:pt idx="14">
                  <c:v>1.0033279500000001</c:v>
                </c:pt>
                <c:pt idx="15">
                  <c:v>1.0017856000000001</c:v>
                </c:pt>
                <c:pt idx="16">
                  <c:v>1.0017835500000001</c:v>
                </c:pt>
                <c:pt idx="17">
                  <c:v>1.0025526499999999</c:v>
                </c:pt>
                <c:pt idx="18">
                  <c:v>1.0017834999999999</c:v>
                </c:pt>
                <c:pt idx="19">
                  <c:v>1.0017849999999999</c:v>
                </c:pt>
                <c:pt idx="20">
                  <c:v>1.0017830000000001</c:v>
                </c:pt>
                <c:pt idx="21">
                  <c:v>1.00266045</c:v>
                </c:pt>
                <c:pt idx="22">
                  <c:v>1.0017829499999999</c:v>
                </c:pt>
                <c:pt idx="23">
                  <c:v>1.0017817</c:v>
                </c:pt>
                <c:pt idx="24">
                  <c:v>1.0017796999999999</c:v>
                </c:pt>
                <c:pt idx="25">
                  <c:v>1.0025295999999999</c:v>
                </c:pt>
                <c:pt idx="26">
                  <c:v>1.00177965</c:v>
                </c:pt>
                <c:pt idx="27">
                  <c:v>1.0033358999999999</c:v>
                </c:pt>
                <c:pt idx="28">
                  <c:v>1.0033341499999999</c:v>
                </c:pt>
                <c:pt idx="29">
                  <c:v>1.0047367</c:v>
                </c:pt>
                <c:pt idx="30">
                  <c:v>1.0033341499999999</c:v>
                </c:pt>
                <c:pt idx="31">
                  <c:v>1.0033342999999999</c:v>
                </c:pt>
                <c:pt idx="32">
                  <c:v>1.0033325500000001</c:v>
                </c:pt>
                <c:pt idx="33">
                  <c:v>1.0049321</c:v>
                </c:pt>
                <c:pt idx="34">
                  <c:v>1.0033325500000001</c:v>
                </c:pt>
                <c:pt idx="35">
                  <c:v>1.0033297000000001</c:v>
                </c:pt>
                <c:pt idx="36">
                  <c:v>1.0033279500000001</c:v>
                </c:pt>
                <c:pt idx="37">
                  <c:v>1.00473225</c:v>
                </c:pt>
                <c:pt idx="38">
                  <c:v>1.0033279500000001</c:v>
                </c:pt>
                <c:pt idx="39">
                  <c:v>1.0017856000000001</c:v>
                </c:pt>
                <c:pt idx="40">
                  <c:v>1.0017835500000001</c:v>
                </c:pt>
                <c:pt idx="41">
                  <c:v>1.0025526499999999</c:v>
                </c:pt>
                <c:pt idx="42">
                  <c:v>1.0017834999999999</c:v>
                </c:pt>
                <c:pt idx="43">
                  <c:v>1.0017849999999999</c:v>
                </c:pt>
                <c:pt idx="44">
                  <c:v>1.0017830000000001</c:v>
                </c:pt>
                <c:pt idx="45">
                  <c:v>1.00266045</c:v>
                </c:pt>
                <c:pt idx="46">
                  <c:v>1.0017829499999999</c:v>
                </c:pt>
                <c:pt idx="47">
                  <c:v>1.0017817</c:v>
                </c:pt>
                <c:pt idx="48">
                  <c:v>1.0017796999999999</c:v>
                </c:pt>
                <c:pt idx="49">
                  <c:v>1.0025295999999999</c:v>
                </c:pt>
                <c:pt idx="50">
                  <c:v>1.00177965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DB-4761-B6FC-8B71BA7BF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553968"/>
        <c:axId val="1143846240"/>
      </c:lineChart>
      <c:catAx>
        <c:axId val="119655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846240"/>
        <c:crosses val="autoZero"/>
        <c:auto val="1"/>
        <c:lblAlgn val="ctr"/>
        <c:lblOffset val="100"/>
        <c:noMultiLvlLbl val="0"/>
      </c:catAx>
      <c:valAx>
        <c:axId val="1143846240"/>
        <c:scaling>
          <c:orientation val="minMax"/>
          <c:min val="1.0014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65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456 Total cost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('456.hmmer'!$B$86:$B$100,'456.hmmer'!$B$106:$B$117,'456.hmmer'!$B$125:$B$136,'456.hmmer'!$B$142:$B$153)</c:f>
              <c:numCache>
                <c:formatCode>General</c:formatCode>
                <c:ptCount val="51"/>
                <c:pt idx="0">
                  <c:v>1208.0837271999999</c:v>
                </c:pt>
                <c:pt idx="1">
                  <c:v>1336.5015605999999</c:v>
                </c:pt>
                <c:pt idx="2">
                  <c:v>1593.2953448000001</c:v>
                </c:pt>
                <c:pt idx="3">
                  <c:v>1595.5244204000001</c:v>
                </c:pt>
                <c:pt idx="4">
                  <c:v>2107.001925</c:v>
                </c:pt>
                <c:pt idx="5">
                  <c:v>1228.1465447999999</c:v>
                </c:pt>
                <c:pt idx="6">
                  <c:v>1356.5656364000001</c:v>
                </c:pt>
                <c:pt idx="7">
                  <c:v>1613.3594640000001</c:v>
                </c:pt>
                <c:pt idx="8">
                  <c:v>1615.9349975999999</c:v>
                </c:pt>
                <c:pt idx="9">
                  <c:v>2127.0652179999997</c:v>
                </c:pt>
                <c:pt idx="10">
                  <c:v>1268.2756063999998</c:v>
                </c:pt>
                <c:pt idx="11">
                  <c:v>1396.6936151999998</c:v>
                </c:pt>
                <c:pt idx="12">
                  <c:v>1653.4852032000001</c:v>
                </c:pt>
                <c:pt idx="13">
                  <c:v>1655.8030328</c:v>
                </c:pt>
                <c:pt idx="14">
                  <c:v>2167.188588</c:v>
                </c:pt>
                <c:pt idx="15">
                  <c:v>1334.4524117999999</c:v>
                </c:pt>
                <c:pt idx="16">
                  <c:v>1590.8341829999999</c:v>
                </c:pt>
                <c:pt idx="17">
                  <c:v>1592.0546403999999</c:v>
                </c:pt>
                <c:pt idx="18">
                  <c:v>2103.7456649999999</c:v>
                </c:pt>
                <c:pt idx="19">
                  <c:v>1354.4870715999998</c:v>
                </c:pt>
                <c:pt idx="20">
                  <c:v>1610.8689132</c:v>
                </c:pt>
                <c:pt idx="21">
                  <c:v>1612.2798527999998</c:v>
                </c:pt>
                <c:pt idx="22">
                  <c:v>2123.7801719999998</c:v>
                </c:pt>
                <c:pt idx="23">
                  <c:v>1394.5553639999998</c:v>
                </c:pt>
                <c:pt idx="24">
                  <c:v>1650.9348408000001</c:v>
                </c:pt>
                <c:pt idx="25">
                  <c:v>1652.170676</c:v>
                </c:pt>
                <c:pt idx="26">
                  <c:v>2163.844368</c:v>
                </c:pt>
                <c:pt idx="27">
                  <c:v>1342.5184929000002</c:v>
                </c:pt>
                <c:pt idx="28">
                  <c:v>1599.3153524000002</c:v>
                </c:pt>
                <c:pt idx="29">
                  <c:v>1601.5504592000002</c:v>
                </c:pt>
                <c:pt idx="30">
                  <c:v>2113.0219305000001</c:v>
                </c:pt>
                <c:pt idx="31">
                  <c:v>1362.5838611000001</c:v>
                </c:pt>
                <c:pt idx="32">
                  <c:v>1619.3794620000001</c:v>
                </c:pt>
                <c:pt idx="33">
                  <c:v>1621.9605708000001</c:v>
                </c:pt>
                <c:pt idx="34">
                  <c:v>2133.0852138999999</c:v>
                </c:pt>
                <c:pt idx="35">
                  <c:v>1402.7124483</c:v>
                </c:pt>
                <c:pt idx="36">
                  <c:v>1659.5051736</c:v>
                </c:pt>
                <c:pt idx="37">
                  <c:v>1661.8273069000002</c:v>
                </c:pt>
                <c:pt idx="38">
                  <c:v>2173.2085562999996</c:v>
                </c:pt>
                <c:pt idx="39">
                  <c:v>1340.4587756999999</c:v>
                </c:pt>
                <c:pt idx="40">
                  <c:v>1596.8440945</c:v>
                </c:pt>
                <c:pt idx="41">
                  <c:v>1598.0691631999998</c:v>
                </c:pt>
                <c:pt idx="42">
                  <c:v>2109.7563668999996</c:v>
                </c:pt>
                <c:pt idx="43">
                  <c:v>1360.4947139000001</c:v>
                </c:pt>
                <c:pt idx="44">
                  <c:v>1616.8788110999999</c:v>
                </c:pt>
                <c:pt idx="45">
                  <c:v>1618.2942084000001</c:v>
                </c:pt>
                <c:pt idx="46">
                  <c:v>2129.7908705999998</c:v>
                </c:pt>
                <c:pt idx="47">
                  <c:v>1400.5635825000002</c:v>
                </c:pt>
                <c:pt idx="48">
                  <c:v>1656.9446989</c:v>
                </c:pt>
                <c:pt idx="49">
                  <c:v>1658.1842065000001</c:v>
                </c:pt>
                <c:pt idx="50">
                  <c:v>2169.8550467999999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9-4435-AC4F-20D9034A3DBD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('456.hmmer'!$C$86:$C$100,'456.hmmer'!$C$106:$C$117,'456.hmmer'!$C$125:$C$136,'456.hmmer'!$C$142:$C$153)</c:f>
              <c:numCache>
                <c:formatCode>General</c:formatCode>
                <c:ptCount val="51"/>
                <c:pt idx="0">
                  <c:v>1228.0966668000001</c:v>
                </c:pt>
                <c:pt idx="1">
                  <c:v>1356.5135168000002</c:v>
                </c:pt>
                <c:pt idx="2">
                  <c:v>1613.3616348</c:v>
                </c:pt>
                <c:pt idx="3">
                  <c:v>1615.6190256</c:v>
                </c:pt>
                <c:pt idx="4">
                  <c:v>2127.0683979999999</c:v>
                </c:pt>
                <c:pt idx="5">
                  <c:v>1248.1585054</c:v>
                </c:pt>
                <c:pt idx="6">
                  <c:v>1376.5767175999999</c:v>
                </c:pt>
                <c:pt idx="7">
                  <c:v>1633.4257170000001</c:v>
                </c:pt>
                <c:pt idx="8">
                  <c:v>1636.0335287999999</c:v>
                </c:pt>
                <c:pt idx="9">
                  <c:v>2147.1316570000004</c:v>
                </c:pt>
                <c:pt idx="10">
                  <c:v>1288.3400483999999</c:v>
                </c:pt>
                <c:pt idx="11">
                  <c:v>1416.7029484</c:v>
                </c:pt>
                <c:pt idx="12">
                  <c:v>1673.5513541999999</c:v>
                </c:pt>
                <c:pt idx="13">
                  <c:v>1675.8975629999998</c:v>
                </c:pt>
                <c:pt idx="14">
                  <c:v>2187.2549310000004</c:v>
                </c:pt>
                <c:pt idx="15">
                  <c:v>1354.4179844</c:v>
                </c:pt>
                <c:pt idx="16">
                  <c:v>1610.8695564</c:v>
                </c:pt>
                <c:pt idx="17">
                  <c:v>1612.1054652</c:v>
                </c:pt>
                <c:pt idx="18">
                  <c:v>2123.7810199999999</c:v>
                </c:pt>
                <c:pt idx="19">
                  <c:v>1374.4515581999999</c:v>
                </c:pt>
                <c:pt idx="20">
                  <c:v>1630.9042706000002</c:v>
                </c:pt>
                <c:pt idx="21">
                  <c:v>1632.3328405999998</c:v>
                </c:pt>
                <c:pt idx="22">
                  <c:v>2143.815513</c:v>
                </c:pt>
                <c:pt idx="23">
                  <c:v>1414.5176666</c:v>
                </c:pt>
                <c:pt idx="24">
                  <c:v>1670.9701241999999</c:v>
                </c:pt>
                <c:pt idx="25">
                  <c:v>1672.2210408000001</c:v>
                </c:pt>
                <c:pt idx="26">
                  <c:v>2183.879637</c:v>
                </c:pt>
                <c:pt idx="27">
                  <c:v>1362.5308312</c:v>
                </c:pt>
                <c:pt idx="28">
                  <c:v>1619.3816409000001</c:v>
                </c:pt>
                <c:pt idx="29">
                  <c:v>1621.6450338</c:v>
                </c:pt>
                <c:pt idx="30">
                  <c:v>2133.0884028999999</c:v>
                </c:pt>
                <c:pt idx="31">
                  <c:v>1382.5953543999999</c:v>
                </c:pt>
                <c:pt idx="32">
                  <c:v>1639.4457135</c:v>
                </c:pt>
                <c:pt idx="33">
                  <c:v>1642.0590514</c:v>
                </c:pt>
                <c:pt idx="34">
                  <c:v>2153.1516523</c:v>
                </c:pt>
                <c:pt idx="35">
                  <c:v>1422.7222236</c:v>
                </c:pt>
                <c:pt idx="36">
                  <c:v>1679.5713231</c:v>
                </c:pt>
                <c:pt idx="37">
                  <c:v>1681.9217865000001</c:v>
                </c:pt>
                <c:pt idx="38">
                  <c:v>2193.2748987</c:v>
                </c:pt>
                <c:pt idx="39">
                  <c:v>1360.4253200999999</c:v>
                </c:pt>
                <c:pt idx="40">
                  <c:v>1616.8794567</c:v>
                </c:pt>
                <c:pt idx="41">
                  <c:v>1618.1199770999999</c:v>
                </c:pt>
                <c:pt idx="42">
                  <c:v>2129.7917210000001</c:v>
                </c:pt>
                <c:pt idx="43">
                  <c:v>1380.4602123</c:v>
                </c:pt>
                <c:pt idx="44">
                  <c:v>1636.914239</c:v>
                </c:pt>
                <c:pt idx="45">
                  <c:v>1638.3471753000001</c:v>
                </c:pt>
                <c:pt idx="46">
                  <c:v>2149.8262107</c:v>
                </c:pt>
                <c:pt idx="47">
                  <c:v>1420.5269469000002</c:v>
                </c:pt>
                <c:pt idx="48">
                  <c:v>1676.9800548000001</c:v>
                </c:pt>
                <c:pt idx="49">
                  <c:v>1678.2345503999998</c:v>
                </c:pt>
                <c:pt idx="50">
                  <c:v>2189.8903149000002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9-4435-AC4F-20D9034A3DBD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('456.hmmer'!$D$86:$D$100,'456.hmmer'!$D$106:$D$117,'456.hmmer'!$D$125:$D$136,'456.hmmer'!$D$142:$D$153)</c:f>
              <c:numCache>
                <c:formatCode>General</c:formatCode>
                <c:ptCount val="51"/>
                <c:pt idx="0">
                  <c:v>1268.2286488000002</c:v>
                </c:pt>
                <c:pt idx="1">
                  <c:v>1396.6463567999999</c:v>
                </c:pt>
                <c:pt idx="2">
                  <c:v>1653.4946791999998</c:v>
                </c:pt>
                <c:pt idx="3">
                  <c:v>1655.8085536000001</c:v>
                </c:pt>
                <c:pt idx="4">
                  <c:v>2167.2017639999999</c:v>
                </c:pt>
                <c:pt idx="5">
                  <c:v>1288.2902933999999</c:v>
                </c:pt>
                <c:pt idx="6">
                  <c:v>1416.7087375999999</c:v>
                </c:pt>
                <c:pt idx="7">
                  <c:v>1673.5586934000003</c:v>
                </c:pt>
                <c:pt idx="8">
                  <c:v>1676.2309127999999</c:v>
                </c:pt>
                <c:pt idx="9">
                  <c:v>2187.2649590000001</c:v>
                </c:pt>
                <c:pt idx="10">
                  <c:v>1328.417195</c:v>
                </c:pt>
                <c:pt idx="11">
                  <c:v>1456.8347244000001</c:v>
                </c:pt>
                <c:pt idx="12">
                  <c:v>1713.6841386000001</c:v>
                </c:pt>
                <c:pt idx="13">
                  <c:v>1716.0869529999998</c:v>
                </c:pt>
                <c:pt idx="14">
                  <c:v>2227.3880490000001</c:v>
                </c:pt>
                <c:pt idx="15">
                  <c:v>1394.4897312000001</c:v>
                </c:pt>
                <c:pt idx="16">
                  <c:v>1650.9392904000001</c:v>
                </c:pt>
                <c:pt idx="17">
                  <c:v>1652.2075912</c:v>
                </c:pt>
                <c:pt idx="18">
                  <c:v>2163.8523599999999</c:v>
                </c:pt>
                <c:pt idx="19">
                  <c:v>1414.5225379999999</c:v>
                </c:pt>
                <c:pt idx="20">
                  <c:v>1670.974044</c:v>
                </c:pt>
                <c:pt idx="21">
                  <c:v>1672.4392986</c:v>
                </c:pt>
                <c:pt idx="22">
                  <c:v>2183.8868309999998</c:v>
                </c:pt>
                <c:pt idx="23">
                  <c:v>1454.5884804</c:v>
                </c:pt>
                <c:pt idx="24">
                  <c:v>1711.0397275999999</c:v>
                </c:pt>
                <c:pt idx="25">
                  <c:v>1712.3222648000001</c:v>
                </c:pt>
                <c:pt idx="26">
                  <c:v>2223.9508230000001</c:v>
                </c:pt>
                <c:pt idx="27">
                  <c:v>1402.6635881999998</c:v>
                </c:pt>
                <c:pt idx="28">
                  <c:v>1659.5146840999998</c:v>
                </c:pt>
                <c:pt idx="29">
                  <c:v>1661.8345018</c:v>
                </c:pt>
                <c:pt idx="30">
                  <c:v>2173.2217688999999</c:v>
                </c:pt>
                <c:pt idx="31">
                  <c:v>1422.7280373999999</c:v>
                </c:pt>
                <c:pt idx="32">
                  <c:v>1679.5786887000002</c:v>
                </c:pt>
                <c:pt idx="33">
                  <c:v>1682.2563353999999</c:v>
                </c:pt>
                <c:pt idx="34">
                  <c:v>2193.2849543000002</c:v>
                </c:pt>
                <c:pt idx="35">
                  <c:v>1462.8547026000001</c:v>
                </c:pt>
                <c:pt idx="36">
                  <c:v>1719.7041063000001</c:v>
                </c:pt>
                <c:pt idx="37">
                  <c:v>1722.1110765000001</c:v>
                </c:pt>
                <c:pt idx="38">
                  <c:v>2233.4080167000002</c:v>
                </c:pt>
                <c:pt idx="39">
                  <c:v>1400.4962688000001</c:v>
                </c:pt>
                <c:pt idx="40">
                  <c:v>1656.9499917000001</c:v>
                </c:pt>
                <c:pt idx="41">
                  <c:v>1658.2220831</c:v>
                </c:pt>
                <c:pt idx="42">
                  <c:v>2169.863061</c:v>
                </c:pt>
                <c:pt idx="43">
                  <c:v>1420.5311299999998</c:v>
                </c:pt>
                <c:pt idx="44">
                  <c:v>1676.9847420000001</c:v>
                </c:pt>
                <c:pt idx="45">
                  <c:v>1678.4535933</c:v>
                </c:pt>
                <c:pt idx="46">
                  <c:v>2189.8975286999998</c:v>
                </c:pt>
                <c:pt idx="47">
                  <c:v>1460.5977186</c:v>
                </c:pt>
                <c:pt idx="48">
                  <c:v>1717.0504057999999</c:v>
                </c:pt>
                <c:pt idx="49">
                  <c:v>1718.3357343999999</c:v>
                </c:pt>
                <c:pt idx="50">
                  <c:v>2229.9615008999999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9-4435-AC4F-20D9034A3DBD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('456.hmmer'!$H$86:$H$100,'456.hmmer'!$H$106:$H$117,'456.hmmer'!$H$125:$H$136,'456.hmmer'!$H$142:$H$153)</c:f>
              <c:numCache>
                <c:formatCode>General</c:formatCode>
                <c:ptCount val="51"/>
                <c:pt idx="0">
                  <c:v>1208.0746971999999</c:v>
                </c:pt>
                <c:pt idx="1">
                  <c:v>1336.4988965999999</c:v>
                </c:pt>
                <c:pt idx="2">
                  <c:v>1593.2953448000001</c:v>
                </c:pt>
                <c:pt idx="3">
                  <c:v>1595.5220384000002</c:v>
                </c:pt>
                <c:pt idx="4">
                  <c:v>2107.001925</c:v>
                </c:pt>
                <c:pt idx="5">
                  <c:v>1228.1398127999998</c:v>
                </c:pt>
                <c:pt idx="6">
                  <c:v>1356.5636084</c:v>
                </c:pt>
                <c:pt idx="7">
                  <c:v>1613.3594640000001</c:v>
                </c:pt>
                <c:pt idx="8">
                  <c:v>1615.9309776</c:v>
                </c:pt>
                <c:pt idx="9">
                  <c:v>2127.0652179999997</c:v>
                </c:pt>
                <c:pt idx="10">
                  <c:v>1268.2692864000001</c:v>
                </c:pt>
                <c:pt idx="11">
                  <c:v>1396.6922231999999</c:v>
                </c:pt>
                <c:pt idx="12">
                  <c:v>1653.4852032000001</c:v>
                </c:pt>
                <c:pt idx="13">
                  <c:v>1655.7989128000002</c:v>
                </c:pt>
                <c:pt idx="14">
                  <c:v>2167.188588</c:v>
                </c:pt>
                <c:pt idx="15">
                  <c:v>1334.4484158</c:v>
                </c:pt>
                <c:pt idx="16">
                  <c:v>1590.8333890000001</c:v>
                </c:pt>
                <c:pt idx="17">
                  <c:v>1592.0538463999999</c:v>
                </c:pt>
                <c:pt idx="18">
                  <c:v>2103.7456649999999</c:v>
                </c:pt>
                <c:pt idx="19">
                  <c:v>1354.4836915999999</c:v>
                </c:pt>
                <c:pt idx="20">
                  <c:v>1610.8681091999999</c:v>
                </c:pt>
                <c:pt idx="21">
                  <c:v>1612.2782448</c:v>
                </c:pt>
                <c:pt idx="22">
                  <c:v>2123.7801719999998</c:v>
                </c:pt>
                <c:pt idx="23">
                  <c:v>1394.55258</c:v>
                </c:pt>
                <c:pt idx="24">
                  <c:v>1650.9340167999999</c:v>
                </c:pt>
                <c:pt idx="25">
                  <c:v>1652.1690280000003</c:v>
                </c:pt>
                <c:pt idx="26">
                  <c:v>2163.844368</c:v>
                </c:pt>
                <c:pt idx="27">
                  <c:v>1342.5184929000002</c:v>
                </c:pt>
                <c:pt idx="28">
                  <c:v>1599.3153524000002</c:v>
                </c:pt>
                <c:pt idx="29">
                  <c:v>1601.5504592000002</c:v>
                </c:pt>
                <c:pt idx="30">
                  <c:v>2113.0219305000001</c:v>
                </c:pt>
                <c:pt idx="31">
                  <c:v>1362.5838611000001</c:v>
                </c:pt>
                <c:pt idx="32">
                  <c:v>1619.3794620000001</c:v>
                </c:pt>
                <c:pt idx="33">
                  <c:v>1621.9605708000001</c:v>
                </c:pt>
                <c:pt idx="34">
                  <c:v>2133.0852138999999</c:v>
                </c:pt>
                <c:pt idx="35">
                  <c:v>1402.7124483</c:v>
                </c:pt>
                <c:pt idx="36">
                  <c:v>1659.5051736</c:v>
                </c:pt>
                <c:pt idx="37">
                  <c:v>1661.8273069000002</c:v>
                </c:pt>
                <c:pt idx="38">
                  <c:v>2173.2085562999996</c:v>
                </c:pt>
                <c:pt idx="39">
                  <c:v>1340.4587756999999</c:v>
                </c:pt>
                <c:pt idx="40">
                  <c:v>1596.8440945</c:v>
                </c:pt>
                <c:pt idx="41">
                  <c:v>1598.0691631999998</c:v>
                </c:pt>
                <c:pt idx="42">
                  <c:v>2109.7563668999996</c:v>
                </c:pt>
                <c:pt idx="43">
                  <c:v>1360.4947139000001</c:v>
                </c:pt>
                <c:pt idx="44">
                  <c:v>1616.8788110999999</c:v>
                </c:pt>
                <c:pt idx="45">
                  <c:v>1618.2942084000001</c:v>
                </c:pt>
                <c:pt idx="46">
                  <c:v>2129.7908705999998</c:v>
                </c:pt>
                <c:pt idx="47">
                  <c:v>1400.5635825000002</c:v>
                </c:pt>
                <c:pt idx="48">
                  <c:v>1656.9446989</c:v>
                </c:pt>
                <c:pt idx="49">
                  <c:v>1658.1842065000001</c:v>
                </c:pt>
                <c:pt idx="50">
                  <c:v>2169.8550467999999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B9-4435-AC4F-20D9034A3DBD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('456.hmmer'!$I$86:$I$100,'456.hmmer'!$I$106:$I$117,'456.hmmer'!$I$125:$I$136,'456.hmmer'!$I$142:$I$153)</c:f>
              <c:numCache>
                <c:formatCode>General</c:formatCode>
                <c:ptCount val="51"/>
                <c:pt idx="0">
                  <c:v>1228.0899348</c:v>
                </c:pt>
                <c:pt idx="1">
                  <c:v>1356.5108127999999</c:v>
                </c:pt>
                <c:pt idx="2">
                  <c:v>1613.3616348</c:v>
                </c:pt>
                <c:pt idx="3">
                  <c:v>1615.6166136000002</c:v>
                </c:pt>
                <c:pt idx="4">
                  <c:v>2127.0683979999999</c:v>
                </c:pt>
                <c:pt idx="5">
                  <c:v>1248.1547733999998</c:v>
                </c:pt>
                <c:pt idx="6">
                  <c:v>1376.5753456</c:v>
                </c:pt>
                <c:pt idx="7">
                  <c:v>1633.4257170000001</c:v>
                </c:pt>
                <c:pt idx="8">
                  <c:v>1636.0294587999999</c:v>
                </c:pt>
                <c:pt idx="9">
                  <c:v>2147.1316570000004</c:v>
                </c:pt>
                <c:pt idx="10">
                  <c:v>1288.2824609999998</c:v>
                </c:pt>
                <c:pt idx="11">
                  <c:v>1416.7022423999999</c:v>
                </c:pt>
                <c:pt idx="12">
                  <c:v>1673.5513541999999</c:v>
                </c:pt>
                <c:pt idx="13">
                  <c:v>1675.8933930000001</c:v>
                </c:pt>
                <c:pt idx="14">
                  <c:v>2187.2549310000004</c:v>
                </c:pt>
                <c:pt idx="15">
                  <c:v>1354.4146043999999</c:v>
                </c:pt>
                <c:pt idx="16">
                  <c:v>1610.8687523999999</c:v>
                </c:pt>
                <c:pt idx="17">
                  <c:v>1612.1046611999998</c:v>
                </c:pt>
                <c:pt idx="18">
                  <c:v>2123.7810199999999</c:v>
                </c:pt>
                <c:pt idx="19">
                  <c:v>1374.4495002000001</c:v>
                </c:pt>
                <c:pt idx="20">
                  <c:v>1630.9035379999998</c:v>
                </c:pt>
                <c:pt idx="21">
                  <c:v>1632.3312126000001</c:v>
                </c:pt>
                <c:pt idx="22">
                  <c:v>2143.815513</c:v>
                </c:pt>
                <c:pt idx="23">
                  <c:v>1414.5162546000001</c:v>
                </c:pt>
                <c:pt idx="24">
                  <c:v>1670.9693735999999</c:v>
                </c:pt>
                <c:pt idx="25">
                  <c:v>1672.2193727999997</c:v>
                </c:pt>
                <c:pt idx="26">
                  <c:v>2183.879637</c:v>
                </c:pt>
                <c:pt idx="27">
                  <c:v>1362.5308312</c:v>
                </c:pt>
                <c:pt idx="28">
                  <c:v>1619.3816409000001</c:v>
                </c:pt>
                <c:pt idx="29">
                  <c:v>1621.6450338</c:v>
                </c:pt>
                <c:pt idx="30">
                  <c:v>2133.0884028999999</c:v>
                </c:pt>
                <c:pt idx="31">
                  <c:v>1382.5953543999999</c:v>
                </c:pt>
                <c:pt idx="32">
                  <c:v>1639.4457135</c:v>
                </c:pt>
                <c:pt idx="33">
                  <c:v>1642.0590514</c:v>
                </c:pt>
                <c:pt idx="34">
                  <c:v>2153.1516523</c:v>
                </c:pt>
                <c:pt idx="35">
                  <c:v>1422.7222236</c:v>
                </c:pt>
                <c:pt idx="36">
                  <c:v>1679.5713231</c:v>
                </c:pt>
                <c:pt idx="37">
                  <c:v>1681.9217865000001</c:v>
                </c:pt>
                <c:pt idx="38">
                  <c:v>2193.2748987</c:v>
                </c:pt>
                <c:pt idx="39">
                  <c:v>1360.4253200999999</c:v>
                </c:pt>
                <c:pt idx="40">
                  <c:v>1616.8794567</c:v>
                </c:pt>
                <c:pt idx="41">
                  <c:v>1618.1199770999999</c:v>
                </c:pt>
                <c:pt idx="42">
                  <c:v>2129.7917210000001</c:v>
                </c:pt>
                <c:pt idx="43">
                  <c:v>1380.4602123</c:v>
                </c:pt>
                <c:pt idx="44">
                  <c:v>1636.914239</c:v>
                </c:pt>
                <c:pt idx="45">
                  <c:v>1638.3471753000001</c:v>
                </c:pt>
                <c:pt idx="46">
                  <c:v>2149.8262107</c:v>
                </c:pt>
                <c:pt idx="47">
                  <c:v>1420.5269469000002</c:v>
                </c:pt>
                <c:pt idx="48">
                  <c:v>1676.9800548000001</c:v>
                </c:pt>
                <c:pt idx="49">
                  <c:v>1678.2345503999998</c:v>
                </c:pt>
                <c:pt idx="50">
                  <c:v>2189.8903149000002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B9-4435-AC4F-20D9034A3DBD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('456.hmmer'!$J$86:$J$100,'456.hmmer'!$J$106:$J$117,'456.hmmer'!$J$125:$J$136,'456.hmmer'!$J$142:$J$153)</c:f>
              <c:numCache>
                <c:formatCode>General</c:formatCode>
                <c:ptCount val="51"/>
                <c:pt idx="0">
                  <c:v>1268.2229607999998</c:v>
                </c:pt>
                <c:pt idx="1">
                  <c:v>1396.6435727999999</c:v>
                </c:pt>
                <c:pt idx="2">
                  <c:v>1653.4946791999998</c:v>
                </c:pt>
                <c:pt idx="3">
                  <c:v>1655.8060816</c:v>
                </c:pt>
                <c:pt idx="4">
                  <c:v>2167.2017639999999</c:v>
                </c:pt>
                <c:pt idx="5">
                  <c:v>1288.2877254</c:v>
                </c:pt>
                <c:pt idx="6">
                  <c:v>1416.7080315999999</c:v>
                </c:pt>
                <c:pt idx="7">
                  <c:v>1673.5586934000003</c:v>
                </c:pt>
                <c:pt idx="8">
                  <c:v>1676.2267428</c:v>
                </c:pt>
                <c:pt idx="9">
                  <c:v>2187.2649590000001</c:v>
                </c:pt>
                <c:pt idx="10">
                  <c:v>1328.415209</c:v>
                </c:pt>
                <c:pt idx="11">
                  <c:v>1456.8347244000001</c:v>
                </c:pt>
                <c:pt idx="12">
                  <c:v>1713.6841386000001</c:v>
                </c:pt>
                <c:pt idx="13">
                  <c:v>1716.0826830000001</c:v>
                </c:pt>
                <c:pt idx="14">
                  <c:v>2227.3880490000001</c:v>
                </c:pt>
                <c:pt idx="15">
                  <c:v>1394.4855552000001</c:v>
                </c:pt>
                <c:pt idx="16">
                  <c:v>1650.9392904000001</c:v>
                </c:pt>
                <c:pt idx="17">
                  <c:v>1652.2067671999998</c:v>
                </c:pt>
                <c:pt idx="18">
                  <c:v>2163.8523599999999</c:v>
                </c:pt>
                <c:pt idx="19">
                  <c:v>1414.5204199999998</c:v>
                </c:pt>
                <c:pt idx="20">
                  <c:v>1670.974044</c:v>
                </c:pt>
                <c:pt idx="21">
                  <c:v>1672.4376306000001</c:v>
                </c:pt>
                <c:pt idx="22">
                  <c:v>2183.8868309999998</c:v>
                </c:pt>
                <c:pt idx="23">
                  <c:v>1454.5870284</c:v>
                </c:pt>
                <c:pt idx="24">
                  <c:v>1711.0397275999999</c:v>
                </c:pt>
                <c:pt idx="25">
                  <c:v>1712.3205567999998</c:v>
                </c:pt>
                <c:pt idx="26">
                  <c:v>2223.9508230000001</c:v>
                </c:pt>
                <c:pt idx="27">
                  <c:v>1402.6635881999998</c:v>
                </c:pt>
                <c:pt idx="28">
                  <c:v>1659.5146840999998</c:v>
                </c:pt>
                <c:pt idx="29">
                  <c:v>1661.8345018</c:v>
                </c:pt>
                <c:pt idx="30">
                  <c:v>2173.2217688999999</c:v>
                </c:pt>
                <c:pt idx="31">
                  <c:v>1422.7280373999999</c:v>
                </c:pt>
                <c:pt idx="32">
                  <c:v>1679.5786887000002</c:v>
                </c:pt>
                <c:pt idx="33">
                  <c:v>1682.2563353999999</c:v>
                </c:pt>
                <c:pt idx="34">
                  <c:v>2193.2849543000002</c:v>
                </c:pt>
                <c:pt idx="35">
                  <c:v>1462.8547026000001</c:v>
                </c:pt>
                <c:pt idx="36">
                  <c:v>1719.7041063000001</c:v>
                </c:pt>
                <c:pt idx="37">
                  <c:v>1722.1110765000001</c:v>
                </c:pt>
                <c:pt idx="38">
                  <c:v>2233.4080167000002</c:v>
                </c:pt>
                <c:pt idx="39">
                  <c:v>1400.4962688000001</c:v>
                </c:pt>
                <c:pt idx="40">
                  <c:v>1656.9499917000001</c:v>
                </c:pt>
                <c:pt idx="41">
                  <c:v>1658.2220831</c:v>
                </c:pt>
                <c:pt idx="42">
                  <c:v>2169.863061</c:v>
                </c:pt>
                <c:pt idx="43">
                  <c:v>1420.5311299999998</c:v>
                </c:pt>
                <c:pt idx="44">
                  <c:v>1676.9847420000001</c:v>
                </c:pt>
                <c:pt idx="45">
                  <c:v>1678.4535933</c:v>
                </c:pt>
                <c:pt idx="46">
                  <c:v>2189.8975286999998</c:v>
                </c:pt>
                <c:pt idx="47">
                  <c:v>1460.5977186</c:v>
                </c:pt>
                <c:pt idx="48">
                  <c:v>1717.0504057999999</c:v>
                </c:pt>
                <c:pt idx="49">
                  <c:v>1718.3357343999999</c:v>
                </c:pt>
                <c:pt idx="50">
                  <c:v>2229.9615008999999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9-4435-AC4F-20D9034A3DBD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('456.hmmer'!$N$86:$N$100,'456.hmmer'!$N$106:$N$117,'456.hmmer'!$N$125:$N$136,'456.hmmer'!$N$142:$N$153)</c:f>
              <c:numCache>
                <c:formatCode>General</c:formatCode>
                <c:ptCount val="51"/>
                <c:pt idx="0">
                  <c:v>1208.0740951999999</c:v>
                </c:pt>
                <c:pt idx="1">
                  <c:v>1336.4982306000002</c:v>
                </c:pt>
                <c:pt idx="2">
                  <c:v>1593.2953448000001</c:v>
                </c:pt>
                <c:pt idx="3">
                  <c:v>1595.5220384000002</c:v>
                </c:pt>
                <c:pt idx="4">
                  <c:v>2107.001925</c:v>
                </c:pt>
                <c:pt idx="5">
                  <c:v>1228.1398127999998</c:v>
                </c:pt>
                <c:pt idx="6">
                  <c:v>1356.5636084</c:v>
                </c:pt>
                <c:pt idx="7">
                  <c:v>1613.3594640000001</c:v>
                </c:pt>
                <c:pt idx="8">
                  <c:v>1615.9309776</c:v>
                </c:pt>
                <c:pt idx="9">
                  <c:v>2127.0652179999997</c:v>
                </c:pt>
                <c:pt idx="10">
                  <c:v>1268.2692864000001</c:v>
                </c:pt>
                <c:pt idx="11">
                  <c:v>1396.6922231999999</c:v>
                </c:pt>
                <c:pt idx="12">
                  <c:v>1653.4852032000001</c:v>
                </c:pt>
                <c:pt idx="13">
                  <c:v>1655.7989128000002</c:v>
                </c:pt>
                <c:pt idx="14">
                  <c:v>2167.188588</c:v>
                </c:pt>
                <c:pt idx="15">
                  <c:v>1334.4477497999999</c:v>
                </c:pt>
                <c:pt idx="16">
                  <c:v>1590.8333890000001</c:v>
                </c:pt>
                <c:pt idx="17">
                  <c:v>1592.0538463999999</c:v>
                </c:pt>
                <c:pt idx="18">
                  <c:v>2103.7456649999999</c:v>
                </c:pt>
                <c:pt idx="19">
                  <c:v>1354.4836915999999</c:v>
                </c:pt>
                <c:pt idx="20">
                  <c:v>1610.8681091999999</c:v>
                </c:pt>
                <c:pt idx="21">
                  <c:v>1612.2782448</c:v>
                </c:pt>
                <c:pt idx="22">
                  <c:v>2123.7801719999998</c:v>
                </c:pt>
                <c:pt idx="23">
                  <c:v>1394.55258</c:v>
                </c:pt>
                <c:pt idx="24">
                  <c:v>1650.9340167999999</c:v>
                </c:pt>
                <c:pt idx="25">
                  <c:v>1652.1690280000003</c:v>
                </c:pt>
                <c:pt idx="26">
                  <c:v>2163.844368</c:v>
                </c:pt>
                <c:pt idx="27">
                  <c:v>1342.5184929000002</c:v>
                </c:pt>
                <c:pt idx="28">
                  <c:v>1599.3153524000002</c:v>
                </c:pt>
                <c:pt idx="29">
                  <c:v>1601.5504592000002</c:v>
                </c:pt>
                <c:pt idx="30">
                  <c:v>2113.0219305000001</c:v>
                </c:pt>
                <c:pt idx="31">
                  <c:v>1362.5838611000001</c:v>
                </c:pt>
                <c:pt idx="32">
                  <c:v>1619.3794620000001</c:v>
                </c:pt>
                <c:pt idx="33">
                  <c:v>1621.9605708000001</c:v>
                </c:pt>
                <c:pt idx="34">
                  <c:v>2133.0852138999999</c:v>
                </c:pt>
                <c:pt idx="35">
                  <c:v>1402.7124483</c:v>
                </c:pt>
                <c:pt idx="36">
                  <c:v>1659.5051736</c:v>
                </c:pt>
                <c:pt idx="37">
                  <c:v>1661.8273069000002</c:v>
                </c:pt>
                <c:pt idx="38">
                  <c:v>2173.2085562999996</c:v>
                </c:pt>
                <c:pt idx="39">
                  <c:v>1340.4587756999999</c:v>
                </c:pt>
                <c:pt idx="40">
                  <c:v>1596.8440945</c:v>
                </c:pt>
                <c:pt idx="41">
                  <c:v>1598.0691631999998</c:v>
                </c:pt>
                <c:pt idx="42">
                  <c:v>2109.7563668999996</c:v>
                </c:pt>
                <c:pt idx="43">
                  <c:v>1360.4947139000001</c:v>
                </c:pt>
                <c:pt idx="44">
                  <c:v>1616.8788110999999</c:v>
                </c:pt>
                <c:pt idx="45">
                  <c:v>1618.2942084000001</c:v>
                </c:pt>
                <c:pt idx="46">
                  <c:v>2129.7908705999998</c:v>
                </c:pt>
                <c:pt idx="47">
                  <c:v>1400.5635825000002</c:v>
                </c:pt>
                <c:pt idx="48">
                  <c:v>1656.9446989</c:v>
                </c:pt>
                <c:pt idx="49">
                  <c:v>1658.1842065000001</c:v>
                </c:pt>
                <c:pt idx="50">
                  <c:v>2169.8550467999999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B9-4435-AC4F-20D9034A3DBD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('456.hmmer'!$O$86:$O$100,'456.hmmer'!$O$106:$O$117,'456.hmmer'!$O$125:$O$136,'456.hmmer'!$O$142:$O$153)</c:f>
              <c:numCache>
                <c:formatCode>General</c:formatCode>
                <c:ptCount val="51"/>
                <c:pt idx="0">
                  <c:v>1228.0899348</c:v>
                </c:pt>
                <c:pt idx="1">
                  <c:v>1356.5108127999999</c:v>
                </c:pt>
                <c:pt idx="2">
                  <c:v>1613.3616348</c:v>
                </c:pt>
                <c:pt idx="3">
                  <c:v>1615.6166136000002</c:v>
                </c:pt>
                <c:pt idx="4">
                  <c:v>2127.0683979999999</c:v>
                </c:pt>
                <c:pt idx="5">
                  <c:v>1248.1547733999998</c:v>
                </c:pt>
                <c:pt idx="6">
                  <c:v>1376.5753456</c:v>
                </c:pt>
                <c:pt idx="7">
                  <c:v>1633.4257170000001</c:v>
                </c:pt>
                <c:pt idx="8">
                  <c:v>1636.0294587999999</c:v>
                </c:pt>
                <c:pt idx="9">
                  <c:v>2147.1316570000004</c:v>
                </c:pt>
                <c:pt idx="10">
                  <c:v>1288.2824609999998</c:v>
                </c:pt>
                <c:pt idx="11">
                  <c:v>1416.7022423999999</c:v>
                </c:pt>
                <c:pt idx="12">
                  <c:v>1673.5513541999999</c:v>
                </c:pt>
                <c:pt idx="13">
                  <c:v>1675.8933930000001</c:v>
                </c:pt>
                <c:pt idx="14">
                  <c:v>2187.2549310000004</c:v>
                </c:pt>
                <c:pt idx="15">
                  <c:v>1354.4146043999999</c:v>
                </c:pt>
                <c:pt idx="16">
                  <c:v>1610.8687523999999</c:v>
                </c:pt>
                <c:pt idx="17">
                  <c:v>1612.1046611999998</c:v>
                </c:pt>
                <c:pt idx="18">
                  <c:v>2123.7810199999999</c:v>
                </c:pt>
                <c:pt idx="19">
                  <c:v>1374.4495002000001</c:v>
                </c:pt>
                <c:pt idx="20">
                  <c:v>1630.9035379999998</c:v>
                </c:pt>
                <c:pt idx="21">
                  <c:v>1632.3312126000001</c:v>
                </c:pt>
                <c:pt idx="22">
                  <c:v>2143.815513</c:v>
                </c:pt>
                <c:pt idx="23">
                  <c:v>1414.5162546000001</c:v>
                </c:pt>
                <c:pt idx="24">
                  <c:v>1670.9693735999999</c:v>
                </c:pt>
                <c:pt idx="25">
                  <c:v>1672.2193727999997</c:v>
                </c:pt>
                <c:pt idx="26">
                  <c:v>2183.879637</c:v>
                </c:pt>
                <c:pt idx="27">
                  <c:v>1362.5308312</c:v>
                </c:pt>
                <c:pt idx="28">
                  <c:v>1619.3816409000001</c:v>
                </c:pt>
                <c:pt idx="29">
                  <c:v>1621.6450338</c:v>
                </c:pt>
                <c:pt idx="30">
                  <c:v>2133.0884028999999</c:v>
                </c:pt>
                <c:pt idx="31">
                  <c:v>1382.5953543999999</c:v>
                </c:pt>
                <c:pt idx="32">
                  <c:v>1639.4457135</c:v>
                </c:pt>
                <c:pt idx="33">
                  <c:v>1642.0590514</c:v>
                </c:pt>
                <c:pt idx="34">
                  <c:v>2153.1516523</c:v>
                </c:pt>
                <c:pt idx="35">
                  <c:v>1422.7222236</c:v>
                </c:pt>
                <c:pt idx="36">
                  <c:v>1679.5713231</c:v>
                </c:pt>
                <c:pt idx="37">
                  <c:v>1681.9217865000001</c:v>
                </c:pt>
                <c:pt idx="38">
                  <c:v>2193.2748987</c:v>
                </c:pt>
                <c:pt idx="39">
                  <c:v>1360.4253200999999</c:v>
                </c:pt>
                <c:pt idx="40">
                  <c:v>1616.8794567</c:v>
                </c:pt>
                <c:pt idx="41">
                  <c:v>1618.1199770999999</c:v>
                </c:pt>
                <c:pt idx="42">
                  <c:v>2129.7917210000001</c:v>
                </c:pt>
                <c:pt idx="43">
                  <c:v>1380.4602123</c:v>
                </c:pt>
                <c:pt idx="44">
                  <c:v>1636.914239</c:v>
                </c:pt>
                <c:pt idx="45">
                  <c:v>1638.3471753000001</c:v>
                </c:pt>
                <c:pt idx="46">
                  <c:v>2149.8262107</c:v>
                </c:pt>
                <c:pt idx="47">
                  <c:v>1420.5269469000002</c:v>
                </c:pt>
                <c:pt idx="48">
                  <c:v>1676.9800548000001</c:v>
                </c:pt>
                <c:pt idx="49">
                  <c:v>1678.2345503999998</c:v>
                </c:pt>
                <c:pt idx="50">
                  <c:v>2189.8903149000002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B9-4435-AC4F-20D9034A3DBD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('456.hmmer'!$P$86:$P$100,'456.hmmer'!$P$106:$P$117,'456.hmmer'!$P$125:$P$136,'456.hmmer'!$P$142:$P$153)</c:f>
              <c:numCache>
                <c:formatCode>General</c:formatCode>
                <c:ptCount val="51"/>
                <c:pt idx="0">
                  <c:v>1268.2229607999998</c:v>
                </c:pt>
                <c:pt idx="1">
                  <c:v>1396.6435727999999</c:v>
                </c:pt>
                <c:pt idx="2">
                  <c:v>1653.4946791999998</c:v>
                </c:pt>
                <c:pt idx="3">
                  <c:v>1655.8060816</c:v>
                </c:pt>
                <c:pt idx="4">
                  <c:v>2167.2017639999999</c:v>
                </c:pt>
                <c:pt idx="5">
                  <c:v>1288.2877254</c:v>
                </c:pt>
                <c:pt idx="6">
                  <c:v>1416.7080315999999</c:v>
                </c:pt>
                <c:pt idx="7">
                  <c:v>1673.5586934000003</c:v>
                </c:pt>
                <c:pt idx="8">
                  <c:v>1676.2267428</c:v>
                </c:pt>
                <c:pt idx="9">
                  <c:v>2187.2649590000001</c:v>
                </c:pt>
                <c:pt idx="10">
                  <c:v>1328.415209</c:v>
                </c:pt>
                <c:pt idx="11">
                  <c:v>1456.8347244000001</c:v>
                </c:pt>
                <c:pt idx="12">
                  <c:v>1713.6841386000001</c:v>
                </c:pt>
                <c:pt idx="13">
                  <c:v>1716.0826830000001</c:v>
                </c:pt>
                <c:pt idx="14">
                  <c:v>2227.3880490000001</c:v>
                </c:pt>
                <c:pt idx="15">
                  <c:v>1394.4855552000001</c:v>
                </c:pt>
                <c:pt idx="16">
                  <c:v>1650.9392904000001</c:v>
                </c:pt>
                <c:pt idx="17">
                  <c:v>1652.2067671999998</c:v>
                </c:pt>
                <c:pt idx="18">
                  <c:v>2163.8523599999999</c:v>
                </c:pt>
                <c:pt idx="19">
                  <c:v>1414.5204199999998</c:v>
                </c:pt>
                <c:pt idx="20">
                  <c:v>1670.974044</c:v>
                </c:pt>
                <c:pt idx="21">
                  <c:v>1672.4376306000001</c:v>
                </c:pt>
                <c:pt idx="22">
                  <c:v>2183.8868309999998</c:v>
                </c:pt>
                <c:pt idx="23">
                  <c:v>1454.5870284</c:v>
                </c:pt>
                <c:pt idx="24">
                  <c:v>1711.0397275999999</c:v>
                </c:pt>
                <c:pt idx="25">
                  <c:v>1712.3205567999998</c:v>
                </c:pt>
                <c:pt idx="26">
                  <c:v>2223.9508230000001</c:v>
                </c:pt>
                <c:pt idx="27">
                  <c:v>1402.6635881999998</c:v>
                </c:pt>
                <c:pt idx="28">
                  <c:v>1659.5146840999998</c:v>
                </c:pt>
                <c:pt idx="29">
                  <c:v>1661.8345018</c:v>
                </c:pt>
                <c:pt idx="30">
                  <c:v>2173.2217688999999</c:v>
                </c:pt>
                <c:pt idx="31">
                  <c:v>1422.7280373999999</c:v>
                </c:pt>
                <c:pt idx="32">
                  <c:v>1679.5786887000002</c:v>
                </c:pt>
                <c:pt idx="33">
                  <c:v>1682.2563353999999</c:v>
                </c:pt>
                <c:pt idx="34">
                  <c:v>2193.2849543000002</c:v>
                </c:pt>
                <c:pt idx="35">
                  <c:v>1462.8547026000001</c:v>
                </c:pt>
                <c:pt idx="36">
                  <c:v>1719.7041063000001</c:v>
                </c:pt>
                <c:pt idx="37">
                  <c:v>1722.1110765000001</c:v>
                </c:pt>
                <c:pt idx="38">
                  <c:v>2233.4080167000002</c:v>
                </c:pt>
                <c:pt idx="39">
                  <c:v>1400.4962688000001</c:v>
                </c:pt>
                <c:pt idx="40">
                  <c:v>1656.9499917000001</c:v>
                </c:pt>
                <c:pt idx="41">
                  <c:v>1658.2220831</c:v>
                </c:pt>
                <c:pt idx="42">
                  <c:v>2169.863061</c:v>
                </c:pt>
                <c:pt idx="43">
                  <c:v>1420.5311299999998</c:v>
                </c:pt>
                <c:pt idx="44">
                  <c:v>1676.9847420000001</c:v>
                </c:pt>
                <c:pt idx="45">
                  <c:v>1678.4535933</c:v>
                </c:pt>
                <c:pt idx="46">
                  <c:v>2189.8975286999998</c:v>
                </c:pt>
                <c:pt idx="47">
                  <c:v>1460.5977186</c:v>
                </c:pt>
                <c:pt idx="48">
                  <c:v>1717.0504057999999</c:v>
                </c:pt>
                <c:pt idx="49">
                  <c:v>1718.3357343999999</c:v>
                </c:pt>
                <c:pt idx="50">
                  <c:v>2229.9615008999999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B9-4435-AC4F-20D9034A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322624"/>
        <c:axId val="1153081856"/>
      </c:lineChart>
      <c:catAx>
        <c:axId val="119332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3081856"/>
        <c:crosses val="autoZero"/>
        <c:auto val="1"/>
        <c:lblAlgn val="ctr"/>
        <c:lblOffset val="100"/>
        <c:noMultiLvlLbl val="0"/>
      </c:catAx>
      <c:valAx>
        <c:axId val="11530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3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458.sjeng Total</a:t>
            </a:r>
            <a:r>
              <a:rPr lang="en-US" altLang="zh-CN" baseline="0"/>
              <a:t> cost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('458.sjeng'!$H$82:$H$93,'458.sjeng'!$H$99:$H$110,'458.sjeng'!$H$118:$H$129,'458.sjeng'!$H$135:$H$146)</c:f>
              <c:numCache>
                <c:formatCode>General</c:formatCode>
                <c:ptCount val="48"/>
                <c:pt idx="0">
                  <c:v>7468.4535101000001</c:v>
                </c:pt>
                <c:pt idx="1">
                  <c:v>8890.207572199999</c:v>
                </c:pt>
                <c:pt idx="2">
                  <c:v>8890.3596218999992</c:v>
                </c:pt>
                <c:pt idx="3">
                  <c:v>11738.563633</c:v>
                </c:pt>
                <c:pt idx="4">
                  <c:v>7579.6943252999999</c:v>
                </c:pt>
                <c:pt idx="5">
                  <c:v>9001.4048380000004</c:v>
                </c:pt>
                <c:pt idx="6">
                  <c:v>9001.5053967000003</c:v>
                </c:pt>
                <c:pt idx="7">
                  <c:v>11849.739326999999</c:v>
                </c:pt>
                <c:pt idx="8">
                  <c:v>7802.2844302999993</c:v>
                </c:pt>
                <c:pt idx="9">
                  <c:v>9223.9207270000006</c:v>
                </c:pt>
                <c:pt idx="10">
                  <c:v>9224.0026322000012</c:v>
                </c:pt>
                <c:pt idx="11">
                  <c:v>12072.249028</c:v>
                </c:pt>
                <c:pt idx="12">
                  <c:v>4408.2611176999999</c:v>
                </c:pt>
                <c:pt idx="13">
                  <c:v>5246.7198718999998</c:v>
                </c:pt>
                <c:pt idx="14">
                  <c:v>5247.0290050000003</c:v>
                </c:pt>
                <c:pt idx="15">
                  <c:v>6927.7061354999996</c:v>
                </c:pt>
                <c:pt idx="16">
                  <c:v>4473.8845247999998</c:v>
                </c:pt>
                <c:pt idx="17">
                  <c:v>5312.3018978</c:v>
                </c:pt>
                <c:pt idx="18">
                  <c:v>5312.4427447000007</c:v>
                </c:pt>
                <c:pt idx="19">
                  <c:v>6993.2609430000002</c:v>
                </c:pt>
                <c:pt idx="20">
                  <c:v>4605.2472595999998</c:v>
                </c:pt>
                <c:pt idx="21">
                  <c:v>5443.5994849999997</c:v>
                </c:pt>
                <c:pt idx="22">
                  <c:v>5443.7142186000001</c:v>
                </c:pt>
                <c:pt idx="23">
                  <c:v>7124.5483400000003</c:v>
                </c:pt>
                <c:pt idx="24">
                  <c:v>7501.6578113999994</c:v>
                </c:pt>
                <c:pt idx="25">
                  <c:v>8923.3758476000003</c:v>
                </c:pt>
                <c:pt idx="26">
                  <c:v>8923.5116261999992</c:v>
                </c:pt>
                <c:pt idx="27">
                  <c:v>11771.663064800001</c:v>
                </c:pt>
                <c:pt idx="28">
                  <c:v>7612.9181531999993</c:v>
                </c:pt>
                <c:pt idx="29">
                  <c:v>9034.5921400000007</c:v>
                </c:pt>
                <c:pt idx="30">
                  <c:v>9034.6589676000003</c:v>
                </c:pt>
                <c:pt idx="31">
                  <c:v>11882.8636224</c:v>
                </c:pt>
                <c:pt idx="32">
                  <c:v>7835.5061311999998</c:v>
                </c:pt>
                <c:pt idx="33">
                  <c:v>9257.1048960000007</c:v>
                </c:pt>
                <c:pt idx="34">
                  <c:v>9257.1538176000013</c:v>
                </c:pt>
                <c:pt idx="35">
                  <c:v>12105.370662400001</c:v>
                </c:pt>
                <c:pt idx="36">
                  <c:v>4427.7329357999997</c:v>
                </c:pt>
                <c:pt idx="37">
                  <c:v>5266.1582441999999</c:v>
                </c:pt>
                <c:pt idx="38">
                  <c:v>5266.4516960000001</c:v>
                </c:pt>
                <c:pt idx="39">
                  <c:v>6947.0619237999999</c:v>
                </c:pt>
                <c:pt idx="40">
                  <c:v>4493.3778072000005</c:v>
                </c:pt>
                <c:pt idx="41">
                  <c:v>5331.7643063999994</c:v>
                </c:pt>
                <c:pt idx="42">
                  <c:v>5331.8683236000006</c:v>
                </c:pt>
                <c:pt idx="43">
                  <c:v>7012.6494816000004</c:v>
                </c:pt>
                <c:pt idx="44">
                  <c:v>4624.7524223999999</c:v>
                </c:pt>
                <c:pt idx="45">
                  <c:v>5463.076736</c:v>
                </c:pt>
                <c:pt idx="46">
                  <c:v>5463.1444608000002</c:v>
                </c:pt>
                <c:pt idx="47">
                  <c:v>7143.9570560000002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A-46A8-9138-B2992A8007CA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('458.sjeng'!$I$82:$I$93,'458.sjeng'!$I$99:$I$110,'458.sjeng'!$I$118:$I$129,'458.sjeng'!$I$135:$I$146)</c:f>
              <c:numCache>
                <c:formatCode>General</c:formatCode>
                <c:ptCount val="48"/>
                <c:pt idx="0">
                  <c:v>7577.8831377000006</c:v>
                </c:pt>
                <c:pt idx="1">
                  <c:v>9001.4278136000012</c:v>
                </c:pt>
                <c:pt idx="2">
                  <c:v>9001.6282028999995</c:v>
                </c:pt>
                <c:pt idx="3">
                  <c:v>11849.829639</c:v>
                </c:pt>
                <c:pt idx="4">
                  <c:v>7689.0955209000003</c:v>
                </c:pt>
                <c:pt idx="5">
                  <c:v>9112.6244664000005</c:v>
                </c:pt>
                <c:pt idx="6">
                  <c:v>9112.7724596999997</c:v>
                </c:pt>
                <c:pt idx="7">
                  <c:v>11961.004484999999</c:v>
                </c:pt>
                <c:pt idx="8">
                  <c:v>7911.6310988999994</c:v>
                </c:pt>
                <c:pt idx="9">
                  <c:v>9335.1390374000002</c:v>
                </c:pt>
                <c:pt idx="10">
                  <c:v>9335.2692502000009</c:v>
                </c:pt>
                <c:pt idx="11">
                  <c:v>12183.513996</c:v>
                </c:pt>
                <c:pt idx="12">
                  <c:v>4472.5920549000002</c:v>
                </c:pt>
                <c:pt idx="13">
                  <c:v>5312.3425096000001</c:v>
                </c:pt>
                <c:pt idx="14">
                  <c:v>5312.6980651000003</c:v>
                </c:pt>
                <c:pt idx="15">
                  <c:v>6993.3704249999992</c:v>
                </c:pt>
                <c:pt idx="16">
                  <c:v>4538.192943</c:v>
                </c:pt>
                <c:pt idx="17">
                  <c:v>5377.9229594999997</c:v>
                </c:pt>
                <c:pt idx="18">
                  <c:v>5378.1086267999999</c:v>
                </c:pt>
                <c:pt idx="19">
                  <c:v>7058.9241824999999</c:v>
                </c:pt>
                <c:pt idx="20">
                  <c:v>4669.5172427999996</c:v>
                </c:pt>
                <c:pt idx="21">
                  <c:v>5509.2199197</c:v>
                </c:pt>
                <c:pt idx="22">
                  <c:v>5509.3793296999993</c:v>
                </c:pt>
                <c:pt idx="23">
                  <c:v>7190.2111754999996</c:v>
                </c:pt>
                <c:pt idx="24">
                  <c:v>7611.0791508000002</c:v>
                </c:pt>
                <c:pt idx="25">
                  <c:v>9034.5924648</c:v>
                </c:pt>
                <c:pt idx="26">
                  <c:v>9034.7773572000006</c:v>
                </c:pt>
                <c:pt idx="27">
                  <c:v>11882.9264208</c:v>
                </c:pt>
                <c:pt idx="28">
                  <c:v>7722.3107365999995</c:v>
                </c:pt>
                <c:pt idx="29">
                  <c:v>9145.8075852000002</c:v>
                </c:pt>
                <c:pt idx="30">
                  <c:v>9145.9232405999992</c:v>
                </c:pt>
                <c:pt idx="31">
                  <c:v>11994.126390399999</c:v>
                </c:pt>
                <c:pt idx="32">
                  <c:v>7944.8435766000002</c:v>
                </c:pt>
                <c:pt idx="33">
                  <c:v>9368.3190032000002</c:v>
                </c:pt>
                <c:pt idx="34">
                  <c:v>9368.4176856000013</c:v>
                </c:pt>
                <c:pt idx="35">
                  <c:v>12216.6332604</c:v>
                </c:pt>
                <c:pt idx="36">
                  <c:v>4492.0557036</c:v>
                </c:pt>
                <c:pt idx="37">
                  <c:v>5331.7790848000004</c:v>
                </c:pt>
                <c:pt idx="38">
                  <c:v>5332.1164708000006</c:v>
                </c:pt>
                <c:pt idx="39">
                  <c:v>7012.7218920000005</c:v>
                </c:pt>
                <c:pt idx="40">
                  <c:v>4557.6805219999997</c:v>
                </c:pt>
                <c:pt idx="41">
                  <c:v>5397.3839309999994</c:v>
                </c:pt>
                <c:pt idx="42">
                  <c:v>5397.5300004000001</c:v>
                </c:pt>
                <c:pt idx="43">
                  <c:v>7078.3087298</c:v>
                </c:pt>
                <c:pt idx="44">
                  <c:v>4689.0156431999994</c:v>
                </c:pt>
                <c:pt idx="45">
                  <c:v>5528.6951846000002</c:v>
                </c:pt>
                <c:pt idx="46">
                  <c:v>5528.8054866000002</c:v>
                </c:pt>
                <c:pt idx="47">
                  <c:v>7209.6161201999994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A-46A8-9138-B2992A8007CA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('458.sjeng'!$J$82:$J$93,'458.sjeng'!$J$99:$J$110,'458.sjeng'!$J$118:$J$129,'458.sjeng'!$J$135:$J$146)</c:f>
              <c:numCache>
                <c:formatCode>General</c:formatCode>
                <c:ptCount val="48"/>
                <c:pt idx="0">
                  <c:v>7799.8193637999993</c:v>
                </c:pt>
                <c:pt idx="1">
                  <c:v>9223.9518974000002</c:v>
                </c:pt>
                <c:pt idx="2">
                  <c:v>9224.1653649</c:v>
                </c:pt>
                <c:pt idx="3">
                  <c:v>12072.361650999999</c:v>
                </c:pt>
                <c:pt idx="4">
                  <c:v>7911.0232649999998</c:v>
                </c:pt>
                <c:pt idx="5">
                  <c:v>9335.1467561999998</c:v>
                </c:pt>
                <c:pt idx="6">
                  <c:v>9335.3065857000001</c:v>
                </c:pt>
                <c:pt idx="7">
                  <c:v>12183.534801</c:v>
                </c:pt>
                <c:pt idx="8">
                  <c:v>8133.5416759999998</c:v>
                </c:pt>
                <c:pt idx="9">
                  <c:v>9557.6607511999991</c:v>
                </c:pt>
                <c:pt idx="10">
                  <c:v>9557.8024862000002</c:v>
                </c:pt>
                <c:pt idx="11">
                  <c:v>12406.043932</c:v>
                </c:pt>
                <c:pt idx="12">
                  <c:v>4603.2821463</c:v>
                </c:pt>
                <c:pt idx="13">
                  <c:v>5443.6666340000002</c:v>
                </c:pt>
                <c:pt idx="14">
                  <c:v>5444.0379431000001</c:v>
                </c:pt>
                <c:pt idx="15">
                  <c:v>7124.701325</c:v>
                </c:pt>
                <c:pt idx="16">
                  <c:v>4668.8713704000002</c:v>
                </c:pt>
                <c:pt idx="17">
                  <c:v>5509.2440828999997</c:v>
                </c:pt>
                <c:pt idx="18">
                  <c:v>5509.4421708</c:v>
                </c:pt>
                <c:pt idx="19">
                  <c:v>7190.2530044999994</c:v>
                </c:pt>
                <c:pt idx="20">
                  <c:v>4800.1759742000004</c:v>
                </c:pt>
                <c:pt idx="21">
                  <c:v>5640.5400910999997</c:v>
                </c:pt>
                <c:pt idx="22">
                  <c:v>5640.7113756999997</c:v>
                </c:pt>
                <c:pt idx="23">
                  <c:v>7321.5392334999997</c:v>
                </c:pt>
                <c:pt idx="24">
                  <c:v>7833.0072831999996</c:v>
                </c:pt>
                <c:pt idx="25">
                  <c:v>9257.1112192000001</c:v>
                </c:pt>
                <c:pt idx="26">
                  <c:v>9257.3088191999996</c:v>
                </c:pt>
                <c:pt idx="27">
                  <c:v>12105.389158399999</c:v>
                </c:pt>
                <c:pt idx="28">
                  <c:v>7944.2296079999996</c:v>
                </c:pt>
                <c:pt idx="29">
                  <c:v>9368.3250656</c:v>
                </c:pt>
                <c:pt idx="30">
                  <c:v>9368.4517865999987</c:v>
                </c:pt>
                <c:pt idx="31">
                  <c:v>12216.6332604</c:v>
                </c:pt>
                <c:pt idx="32">
                  <c:v>8166.7445699999998</c:v>
                </c:pt>
                <c:pt idx="33">
                  <c:v>9590.8359476000005</c:v>
                </c:pt>
                <c:pt idx="34">
                  <c:v>9590.9454216000013</c:v>
                </c:pt>
                <c:pt idx="35">
                  <c:v>12439.1584564</c:v>
                </c:pt>
                <c:pt idx="36">
                  <c:v>4622.7366591999998</c:v>
                </c:pt>
                <c:pt idx="37">
                  <c:v>5463.0950400000002</c:v>
                </c:pt>
                <c:pt idx="38">
                  <c:v>5463.4493887999997</c:v>
                </c:pt>
                <c:pt idx="39">
                  <c:v>7144.0462720000005</c:v>
                </c:pt>
                <c:pt idx="40">
                  <c:v>4688.3506236000003</c:v>
                </c:pt>
                <c:pt idx="41">
                  <c:v>5528.6983842</c:v>
                </c:pt>
                <c:pt idx="42">
                  <c:v>5528.8567643999995</c:v>
                </c:pt>
                <c:pt idx="43">
                  <c:v>7209.6317117999997</c:v>
                </c:pt>
                <c:pt idx="44">
                  <c:v>4819.6665487999999</c:v>
                </c:pt>
                <c:pt idx="45">
                  <c:v>5660.0091457999997</c:v>
                </c:pt>
                <c:pt idx="46">
                  <c:v>5660.1310326000003</c:v>
                </c:pt>
                <c:pt idx="47">
                  <c:v>7340.9388181999993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A-46A8-9138-B2992A8007CA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('458.sjeng'!$N$82:$N$93,'458.sjeng'!$N$99:$N$110,'458.sjeng'!$N$118:$N$129,'458.sjeng'!$N$135:$N$146)</c:f>
              <c:numCache>
                <c:formatCode>General</c:formatCode>
                <c:ptCount val="48"/>
                <c:pt idx="0">
                  <c:v>7579.7200670999991</c:v>
                </c:pt>
                <c:pt idx="1">
                  <c:v>9001.4402721999995</c:v>
                </c:pt>
                <c:pt idx="2">
                  <c:v>9001.5739998999998</c:v>
                </c:pt>
                <c:pt idx="3">
                  <c:v>11849.784909</c:v>
                </c:pt>
                <c:pt idx="4">
                  <c:v>7690.9856822999991</c:v>
                </c:pt>
                <c:pt idx="5">
                  <c:v>9112.6624680000004</c:v>
                </c:pt>
                <c:pt idx="6">
                  <c:v>9112.7265957</c:v>
                </c:pt>
                <c:pt idx="7">
                  <c:v>11960.993735</c:v>
                </c:pt>
                <c:pt idx="8">
                  <c:v>7913.5745463000003</c:v>
                </c:pt>
                <c:pt idx="9">
                  <c:v>9335.1779669999996</c:v>
                </c:pt>
                <c:pt idx="10">
                  <c:v>9335.2239442000009</c:v>
                </c:pt>
                <c:pt idx="11">
                  <c:v>12183.503046</c:v>
                </c:pt>
                <c:pt idx="12">
                  <c:v>4473.8715177000004</c:v>
                </c:pt>
                <c:pt idx="13">
                  <c:v>5312.2945358999996</c:v>
                </c:pt>
                <c:pt idx="14">
                  <c:v>5312.5800319999998</c:v>
                </c:pt>
                <c:pt idx="15">
                  <c:v>6993.2523165000002</c:v>
                </c:pt>
                <c:pt idx="16">
                  <c:v>4539.5188337999998</c:v>
                </c:pt>
                <c:pt idx="17">
                  <c:v>5377.9055147999998</c:v>
                </c:pt>
                <c:pt idx="18">
                  <c:v>5378.0046957000004</c:v>
                </c:pt>
                <c:pt idx="19">
                  <c:v>7058.8468899999998</c:v>
                </c:pt>
                <c:pt idx="20">
                  <c:v>4670.8957295999999</c:v>
                </c:pt>
                <c:pt idx="21">
                  <c:v>5509.2171509999998</c:v>
                </c:pt>
                <c:pt idx="22">
                  <c:v>5509.2829285999997</c:v>
                </c:pt>
                <c:pt idx="23">
                  <c:v>7190.1521549999998</c:v>
                </c:pt>
                <c:pt idx="24">
                  <c:v>7612.9522164</c:v>
                </c:pt>
                <c:pt idx="25">
                  <c:v>9034.6325775999994</c:v>
                </c:pt>
                <c:pt idx="26">
                  <c:v>9034.7708612000006</c:v>
                </c:pt>
                <c:pt idx="27">
                  <c:v>11882.916808800001</c:v>
                </c:pt>
                <c:pt idx="28">
                  <c:v>7724.2195142</c:v>
                </c:pt>
                <c:pt idx="29">
                  <c:v>9145.857234000001</c:v>
                </c:pt>
                <c:pt idx="30">
                  <c:v>9145.9215965999992</c:v>
                </c:pt>
                <c:pt idx="31">
                  <c:v>11994.128546399999</c:v>
                </c:pt>
                <c:pt idx="32">
                  <c:v>7946.8080761999991</c:v>
                </c:pt>
                <c:pt idx="33">
                  <c:v>9368.3707020000002</c:v>
                </c:pt>
                <c:pt idx="34">
                  <c:v>9368.4185276000007</c:v>
                </c:pt>
                <c:pt idx="35">
                  <c:v>12216.6365544</c:v>
                </c:pt>
                <c:pt idx="36">
                  <c:v>4493.4153587999999</c:v>
                </c:pt>
                <c:pt idx="37">
                  <c:v>5331.8088852000001</c:v>
                </c:pt>
                <c:pt idx="38">
                  <c:v>5332.1003120000005</c:v>
                </c:pt>
                <c:pt idx="39">
                  <c:v>7012.7059788000006</c:v>
                </c:pt>
                <c:pt idx="40">
                  <c:v>4559.0711591999998</c:v>
                </c:pt>
                <c:pt idx="41">
                  <c:v>5397.4272504</c:v>
                </c:pt>
                <c:pt idx="42">
                  <c:v>5397.5202185999997</c:v>
                </c:pt>
                <c:pt idx="43">
                  <c:v>7078.3099155999998</c:v>
                </c:pt>
                <c:pt idx="44">
                  <c:v>4690.4470703999996</c:v>
                </c:pt>
                <c:pt idx="45">
                  <c:v>5528.7404000000006</c:v>
                </c:pt>
                <c:pt idx="46">
                  <c:v>5528.8038868000003</c:v>
                </c:pt>
                <c:pt idx="47">
                  <c:v>7209.618426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A-46A8-9138-B2992A8007CA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('458.sjeng'!$O$82:$O$93,'458.sjeng'!$O$99:$O$110,'458.sjeng'!$O$118:$O$129,'458.sjeng'!$O$135:$O$146)</c:f>
              <c:numCache>
                <c:formatCode>General</c:formatCode>
                <c:ptCount val="48"/>
                <c:pt idx="0">
                  <c:v>7689.1244047</c:v>
                </c:pt>
                <c:pt idx="1">
                  <c:v>9112.6603385999988</c:v>
                </c:pt>
                <c:pt idx="2">
                  <c:v>9112.8419109000006</c:v>
                </c:pt>
                <c:pt idx="3">
                  <c:v>11961.050495</c:v>
                </c:pt>
                <c:pt idx="4">
                  <c:v>7800.3613068999994</c:v>
                </c:pt>
                <c:pt idx="5">
                  <c:v>9223.8814323999995</c:v>
                </c:pt>
                <c:pt idx="6">
                  <c:v>9223.9930986999989</c:v>
                </c:pt>
                <c:pt idx="7">
                  <c:v>12072.258793000001</c:v>
                </c:pt>
                <c:pt idx="8">
                  <c:v>8022.8949829000003</c:v>
                </c:pt>
                <c:pt idx="9">
                  <c:v>9446.3956134</c:v>
                </c:pt>
                <c:pt idx="10">
                  <c:v>9446.4900221999997</c:v>
                </c:pt>
                <c:pt idx="11">
                  <c:v>12294.767914</c:v>
                </c:pt>
                <c:pt idx="12">
                  <c:v>4538.1755989000003</c:v>
                </c:pt>
                <c:pt idx="13">
                  <c:v>5377.9163256000002</c:v>
                </c:pt>
                <c:pt idx="14">
                  <c:v>5378.2476110999996</c:v>
                </c:pt>
                <c:pt idx="15">
                  <c:v>7058.9154749999998</c:v>
                </c:pt>
                <c:pt idx="16">
                  <c:v>4603.8055830000003</c:v>
                </c:pt>
                <c:pt idx="17">
                  <c:v>5443.5269474999996</c:v>
                </c:pt>
                <c:pt idx="18">
                  <c:v>5443.6692868</c:v>
                </c:pt>
                <c:pt idx="19">
                  <c:v>7124.5093884999997</c:v>
                </c:pt>
                <c:pt idx="20">
                  <c:v>4735.1428417999996</c:v>
                </c:pt>
                <c:pt idx="21">
                  <c:v>5574.8373476999996</c:v>
                </c:pt>
                <c:pt idx="22">
                  <c:v>5574.9468686999999</c:v>
                </c:pt>
                <c:pt idx="23">
                  <c:v>7255.8144295000002</c:v>
                </c:pt>
                <c:pt idx="24">
                  <c:v>7722.3452978000005</c:v>
                </c:pt>
                <c:pt idx="25">
                  <c:v>9145.8493428000002</c:v>
                </c:pt>
                <c:pt idx="26">
                  <c:v>9146.0365122000003</c:v>
                </c:pt>
                <c:pt idx="27">
                  <c:v>11994.180074800001</c:v>
                </c:pt>
                <c:pt idx="28">
                  <c:v>7833.5846335999995</c:v>
                </c:pt>
                <c:pt idx="29">
                  <c:v>9257.0729472000003</c:v>
                </c:pt>
                <c:pt idx="30">
                  <c:v>9257.1858495999986</c:v>
                </c:pt>
                <c:pt idx="31">
                  <c:v>12105.391334399999</c:v>
                </c:pt>
                <c:pt idx="32">
                  <c:v>8056.1180675999994</c:v>
                </c:pt>
                <c:pt idx="33">
                  <c:v>9479.5851071999987</c:v>
                </c:pt>
                <c:pt idx="34">
                  <c:v>9479.6824056000005</c:v>
                </c:pt>
                <c:pt idx="35">
                  <c:v>12327.899182399999</c:v>
                </c:pt>
                <c:pt idx="36">
                  <c:v>4557.7172345999998</c:v>
                </c:pt>
                <c:pt idx="37">
                  <c:v>5397.4282367999995</c:v>
                </c:pt>
                <c:pt idx="38">
                  <c:v>5397.7656678000003</c:v>
                </c:pt>
                <c:pt idx="39">
                  <c:v>7078.3668339999995</c:v>
                </c:pt>
                <c:pt idx="40">
                  <c:v>4623.3524480000005</c:v>
                </c:pt>
                <c:pt idx="41">
                  <c:v>5463.0455359999996</c:v>
                </c:pt>
                <c:pt idx="42">
                  <c:v>5463.1825663999998</c:v>
                </c:pt>
                <c:pt idx="43">
                  <c:v>7143.9702207999999</c:v>
                </c:pt>
                <c:pt idx="44">
                  <c:v>4754.6881311999996</c:v>
                </c:pt>
                <c:pt idx="45">
                  <c:v>5594.3574995999998</c:v>
                </c:pt>
                <c:pt idx="46">
                  <c:v>5594.4657035999999</c:v>
                </c:pt>
                <c:pt idx="47">
                  <c:v>7275.2785771999997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1A-46A8-9138-B2992A8007CA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('458.sjeng'!$P$82:$P$93,'458.sjeng'!$P$99:$P$110,'458.sjeng'!$P$118:$P$129,'458.sjeng'!$P$135:$P$146)</c:f>
              <c:numCache>
                <c:formatCode>General</c:formatCode>
                <c:ptCount val="48"/>
                <c:pt idx="0">
                  <c:v>7911.0529847999996</c:v>
                </c:pt>
                <c:pt idx="1">
                  <c:v>9335.1835043999999</c:v>
                </c:pt>
                <c:pt idx="2">
                  <c:v>9335.3777329000004</c:v>
                </c:pt>
                <c:pt idx="3">
                  <c:v>12183.581666999999</c:v>
                </c:pt>
                <c:pt idx="4">
                  <c:v>8022.2793210000009</c:v>
                </c:pt>
                <c:pt idx="5">
                  <c:v>9446.4034241999998</c:v>
                </c:pt>
                <c:pt idx="6">
                  <c:v>9446.5261047000004</c:v>
                </c:pt>
                <c:pt idx="7">
                  <c:v>12294.788909000001</c:v>
                </c:pt>
                <c:pt idx="8">
                  <c:v>8244.7965210000002</c:v>
                </c:pt>
                <c:pt idx="9">
                  <c:v>9668.9170291999999</c:v>
                </c:pt>
                <c:pt idx="10">
                  <c:v>9669.0221782000008</c:v>
                </c:pt>
                <c:pt idx="11">
                  <c:v>12517.29765</c:v>
                </c:pt>
                <c:pt idx="12">
                  <c:v>4668.8556572999996</c:v>
                </c:pt>
                <c:pt idx="13">
                  <c:v>5509.2372869999999</c:v>
                </c:pt>
                <c:pt idx="14">
                  <c:v>5509.5845491</c:v>
                </c:pt>
                <c:pt idx="15">
                  <c:v>7190.2441349999999</c:v>
                </c:pt>
                <c:pt idx="16">
                  <c:v>4734.4770704000002</c:v>
                </c:pt>
                <c:pt idx="17">
                  <c:v>5574.8465169000001</c:v>
                </c:pt>
                <c:pt idx="18">
                  <c:v>5575.0002708000002</c:v>
                </c:pt>
                <c:pt idx="19">
                  <c:v>7255.8367504999997</c:v>
                </c:pt>
                <c:pt idx="20">
                  <c:v>4865.7922091999999</c:v>
                </c:pt>
                <c:pt idx="21">
                  <c:v>5706.1563250999998</c:v>
                </c:pt>
                <c:pt idx="22">
                  <c:v>5706.2765946999998</c:v>
                </c:pt>
                <c:pt idx="23">
                  <c:v>7387.1413874999998</c:v>
                </c:pt>
                <c:pt idx="24">
                  <c:v>7944.2665932</c:v>
                </c:pt>
                <c:pt idx="25">
                  <c:v>9368.3669972000007</c:v>
                </c:pt>
                <c:pt idx="26">
                  <c:v>9368.5678141999997</c:v>
                </c:pt>
                <c:pt idx="27">
                  <c:v>12216.7066068</c:v>
                </c:pt>
                <c:pt idx="28">
                  <c:v>8055.4962240000004</c:v>
                </c:pt>
                <c:pt idx="29">
                  <c:v>9479.5895375999989</c:v>
                </c:pt>
                <c:pt idx="30">
                  <c:v>9479.7143555999992</c:v>
                </c:pt>
                <c:pt idx="31">
                  <c:v>12327.916910399999</c:v>
                </c:pt>
                <c:pt idx="32">
                  <c:v>8278.0118399999992</c:v>
                </c:pt>
                <c:pt idx="33">
                  <c:v>9702.1011615999996</c:v>
                </c:pt>
                <c:pt idx="34">
                  <c:v>9702.2101616</c:v>
                </c:pt>
                <c:pt idx="35">
                  <c:v>12550.424438399999</c:v>
                </c:pt>
                <c:pt idx="36">
                  <c:v>4688.3898221999998</c:v>
                </c:pt>
                <c:pt idx="37">
                  <c:v>5528.7437680000003</c:v>
                </c:pt>
                <c:pt idx="38">
                  <c:v>5529.0981658000001</c:v>
                </c:pt>
                <c:pt idx="39">
                  <c:v>7209.6908939999994</c:v>
                </c:pt>
                <c:pt idx="40">
                  <c:v>4754.0145216000001</c:v>
                </c:pt>
                <c:pt idx="41">
                  <c:v>5594.3598851999996</c:v>
                </c:pt>
                <c:pt idx="42">
                  <c:v>5594.5090703999995</c:v>
                </c:pt>
                <c:pt idx="43">
                  <c:v>7275.2932027999996</c:v>
                </c:pt>
                <c:pt idx="44">
                  <c:v>4885.3310688000001</c:v>
                </c:pt>
                <c:pt idx="45">
                  <c:v>5725.6713768</c:v>
                </c:pt>
                <c:pt idx="46">
                  <c:v>5725.7911895999996</c:v>
                </c:pt>
                <c:pt idx="47">
                  <c:v>7406.6012952000001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1A-46A8-9138-B2992A8007CA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('458.sjeng'!$T$82:$T$93,'458.sjeng'!$T$99:$T$110,'458.sjeng'!$T$118:$T$129,'458.sjeng'!$T$135:$T$146)</c:f>
              <c:numCache>
                <c:formatCode>General</c:formatCode>
                <c:ptCount val="48"/>
                <c:pt idx="0">
                  <c:v>7802.3123300999996</c:v>
                </c:pt>
                <c:pt idx="1">
                  <c:v>9223.9586951999991</c:v>
                </c:pt>
                <c:pt idx="2">
                  <c:v>9224.1007028999993</c:v>
                </c:pt>
                <c:pt idx="3">
                  <c:v>12072.297635999999</c:v>
                </c:pt>
                <c:pt idx="4">
                  <c:v>7913.5795232999999</c:v>
                </c:pt>
                <c:pt idx="5">
                  <c:v>9335.1830009999994</c:v>
                </c:pt>
                <c:pt idx="6">
                  <c:v>9335.2503727000003</c:v>
                </c:pt>
                <c:pt idx="7">
                  <c:v>12183.509615999999</c:v>
                </c:pt>
                <c:pt idx="8">
                  <c:v>8136.1705712999992</c:v>
                </c:pt>
                <c:pt idx="9">
                  <c:v>9557.6995779999997</c:v>
                </c:pt>
                <c:pt idx="10">
                  <c:v>9557.7509461999998</c:v>
                </c:pt>
                <c:pt idx="11">
                  <c:v>12406.020516999999</c:v>
                </c:pt>
                <c:pt idx="12">
                  <c:v>4605.2312067000003</c:v>
                </c:pt>
                <c:pt idx="13">
                  <c:v>5443.5979098999996</c:v>
                </c:pt>
                <c:pt idx="14">
                  <c:v>5443.8937800000003</c:v>
                </c:pt>
                <c:pt idx="15">
                  <c:v>7124.5451935000001</c:v>
                </c:pt>
                <c:pt idx="16">
                  <c:v>4670.8873397999996</c:v>
                </c:pt>
                <c:pt idx="17">
                  <c:v>5509.2148017999998</c:v>
                </c:pt>
                <c:pt idx="18">
                  <c:v>5509.3096927000006</c:v>
                </c:pt>
                <c:pt idx="19">
                  <c:v>7190.1458040000007</c:v>
                </c:pt>
                <c:pt idx="20">
                  <c:v>4802.2647336</c:v>
                </c:pt>
                <c:pt idx="21">
                  <c:v>5640.529869</c:v>
                </c:pt>
                <c:pt idx="22">
                  <c:v>5640.5972145999995</c:v>
                </c:pt>
                <c:pt idx="23">
                  <c:v>7321.45795</c:v>
                </c:pt>
                <c:pt idx="24">
                  <c:v>7835.5601984000004</c:v>
                </c:pt>
                <c:pt idx="25">
                  <c:v>9257.1696255999996</c:v>
                </c:pt>
                <c:pt idx="26">
                  <c:v>9257.3113151999987</c:v>
                </c:pt>
                <c:pt idx="27">
                  <c:v>12105.455308799999</c:v>
                </c:pt>
                <c:pt idx="28">
                  <c:v>7946.8266401999999</c:v>
                </c:pt>
                <c:pt idx="29">
                  <c:v>9368.3934360000003</c:v>
                </c:pt>
                <c:pt idx="30">
                  <c:v>9368.4593645999994</c:v>
                </c:pt>
                <c:pt idx="31">
                  <c:v>12216.666200400001</c:v>
                </c:pt>
                <c:pt idx="32">
                  <c:v>8169.4150822000001</c:v>
                </c:pt>
                <c:pt idx="33">
                  <c:v>9590.9068040000002</c:v>
                </c:pt>
                <c:pt idx="34">
                  <c:v>9590.9557655999997</c:v>
                </c:pt>
                <c:pt idx="35">
                  <c:v>12439.1729904</c:v>
                </c:pt>
                <c:pt idx="36">
                  <c:v>4624.8059968000007</c:v>
                </c:pt>
                <c:pt idx="37">
                  <c:v>5463.1408832000006</c:v>
                </c:pt>
                <c:pt idx="38">
                  <c:v>5463.439488</c:v>
                </c:pt>
                <c:pt idx="39">
                  <c:v>7144.0387648000005</c:v>
                </c:pt>
                <c:pt idx="40">
                  <c:v>4690.4607792000006</c:v>
                </c:pt>
                <c:pt idx="41">
                  <c:v>5528.7582504000002</c:v>
                </c:pt>
                <c:pt idx="42">
                  <c:v>5528.8534806000007</c:v>
                </c:pt>
                <c:pt idx="43">
                  <c:v>7209.6417036000003</c:v>
                </c:pt>
                <c:pt idx="44">
                  <c:v>4821.8365463999999</c:v>
                </c:pt>
                <c:pt idx="45">
                  <c:v>5660.0712960000001</c:v>
                </c:pt>
                <c:pt idx="46">
                  <c:v>5660.1362908000001</c:v>
                </c:pt>
                <c:pt idx="47">
                  <c:v>7340.9501099999998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1A-46A8-9138-B2992A8007CA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('458.sjeng'!$U$82:$U$93,'458.sjeng'!$U$99:$U$110,'458.sjeng'!$U$118:$U$129,'458.sjeng'!$U$135:$U$146)</c:f>
              <c:numCache>
                <c:formatCode>General</c:formatCode>
                <c:ptCount val="48"/>
                <c:pt idx="0">
                  <c:v>7911.6608186999993</c:v>
                </c:pt>
                <c:pt idx="1">
                  <c:v>9335.1774635999991</c:v>
                </c:pt>
                <c:pt idx="2">
                  <c:v>9335.3685038999993</c:v>
                </c:pt>
                <c:pt idx="3">
                  <c:v>12183.563052</c:v>
                </c:pt>
                <c:pt idx="4">
                  <c:v>8022.9000298999999</c:v>
                </c:pt>
                <c:pt idx="5">
                  <c:v>9446.4007074000001</c:v>
                </c:pt>
                <c:pt idx="6">
                  <c:v>9446.5167657000002</c:v>
                </c:pt>
                <c:pt idx="7">
                  <c:v>12294.774544</c:v>
                </c:pt>
                <c:pt idx="8">
                  <c:v>8245.4359298999989</c:v>
                </c:pt>
                <c:pt idx="9">
                  <c:v>9668.9159864000012</c:v>
                </c:pt>
                <c:pt idx="10">
                  <c:v>9669.0169642000001</c:v>
                </c:pt>
                <c:pt idx="11">
                  <c:v>12517.285275</c:v>
                </c:pt>
                <c:pt idx="12">
                  <c:v>4669.4995389000005</c:v>
                </c:pt>
                <c:pt idx="13">
                  <c:v>5509.2174866000005</c:v>
                </c:pt>
                <c:pt idx="14">
                  <c:v>5509.5610571000007</c:v>
                </c:pt>
                <c:pt idx="15">
                  <c:v>7190.2079999999996</c:v>
                </c:pt>
                <c:pt idx="16">
                  <c:v>4735.1350549999997</c:v>
                </c:pt>
                <c:pt idx="17">
                  <c:v>5574.8324235</c:v>
                </c:pt>
                <c:pt idx="18">
                  <c:v>5574.9739517999997</c:v>
                </c:pt>
                <c:pt idx="19">
                  <c:v>7255.8080204999997</c:v>
                </c:pt>
                <c:pt idx="20">
                  <c:v>4866.4728918000001</c:v>
                </c:pt>
                <c:pt idx="21">
                  <c:v>5706.1479827000003</c:v>
                </c:pt>
                <c:pt idx="22">
                  <c:v>5706.2609527000004</c:v>
                </c:pt>
                <c:pt idx="23">
                  <c:v>7387.1200125000005</c:v>
                </c:pt>
                <c:pt idx="24">
                  <c:v>7944.8984117999998</c:v>
                </c:pt>
                <c:pt idx="25">
                  <c:v>9368.3861948000012</c:v>
                </c:pt>
                <c:pt idx="26">
                  <c:v>9368.5770761999993</c:v>
                </c:pt>
                <c:pt idx="27">
                  <c:v>12216.717586799999</c:v>
                </c:pt>
                <c:pt idx="28">
                  <c:v>8056.1368916000001</c:v>
                </c:pt>
                <c:pt idx="29">
                  <c:v>9479.6089632000003</c:v>
                </c:pt>
                <c:pt idx="30">
                  <c:v>9479.7237275999996</c:v>
                </c:pt>
                <c:pt idx="31">
                  <c:v>12327.9279904</c:v>
                </c:pt>
                <c:pt idx="32">
                  <c:v>8278.6702056000013</c:v>
                </c:pt>
                <c:pt idx="33">
                  <c:v>9702.1210431999989</c:v>
                </c:pt>
                <c:pt idx="34">
                  <c:v>9702.2197536000003</c:v>
                </c:pt>
                <c:pt idx="35">
                  <c:v>12550.4357184</c:v>
                </c:pt>
                <c:pt idx="36">
                  <c:v>4689.0678365999993</c:v>
                </c:pt>
                <c:pt idx="37">
                  <c:v>5528.7601027999999</c:v>
                </c:pt>
                <c:pt idx="38">
                  <c:v>5529.1040598</c:v>
                </c:pt>
                <c:pt idx="39">
                  <c:v>7209.6985800000002</c:v>
                </c:pt>
                <c:pt idx="40">
                  <c:v>4754.7020320000001</c:v>
                </c:pt>
                <c:pt idx="41">
                  <c:v>5594.3764140000003</c:v>
                </c:pt>
                <c:pt idx="42">
                  <c:v>5594.5150343999994</c:v>
                </c:pt>
                <c:pt idx="43">
                  <c:v>7275.3009587999995</c:v>
                </c:pt>
                <c:pt idx="44">
                  <c:v>4886.0375711999995</c:v>
                </c:pt>
                <c:pt idx="45">
                  <c:v>5725.6882936000002</c:v>
                </c:pt>
                <c:pt idx="46">
                  <c:v>5725.7972935999996</c:v>
                </c:pt>
                <c:pt idx="47">
                  <c:v>7406.6091912000002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1A-46A8-9138-B2992A8007CA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('458.sjeng'!$V$82:$V$93,'458.sjeng'!$V$99:$V$110,'458.sjeng'!$V$118:$V$129,'458.sjeng'!$V$135:$V$146)</c:f>
              <c:numCache>
                <c:formatCode>General</c:formatCode>
                <c:ptCount val="48"/>
                <c:pt idx="0">
                  <c:v>8133.5707698000006</c:v>
                </c:pt>
                <c:pt idx="1">
                  <c:v>9557.7000934000007</c:v>
                </c:pt>
                <c:pt idx="2">
                  <c:v>9557.9041058999992</c:v>
                </c:pt>
                <c:pt idx="3">
                  <c:v>12406.093884</c:v>
                </c:pt>
                <c:pt idx="4">
                  <c:v>8244.800967000001</c:v>
                </c:pt>
                <c:pt idx="5">
                  <c:v>9668.9222431999988</c:v>
                </c:pt>
                <c:pt idx="6">
                  <c:v>9669.0495516999999</c:v>
                </c:pt>
                <c:pt idx="7">
                  <c:v>12517.304399999999</c:v>
                </c:pt>
                <c:pt idx="8">
                  <c:v>8467.3197700000001</c:v>
                </c:pt>
                <c:pt idx="9">
                  <c:v>9891.4369862000003</c:v>
                </c:pt>
                <c:pt idx="10">
                  <c:v>9891.5490001999988</c:v>
                </c:pt>
                <c:pt idx="11">
                  <c:v>12739.814790999999</c:v>
                </c:pt>
                <c:pt idx="12">
                  <c:v>4800.1606963000004</c:v>
                </c:pt>
                <c:pt idx="13">
                  <c:v>5640.5375999999997</c:v>
                </c:pt>
                <c:pt idx="14">
                  <c:v>5640.8974351000006</c:v>
                </c:pt>
                <c:pt idx="15">
                  <c:v>7321.5360000000001</c:v>
                </c:pt>
                <c:pt idx="16">
                  <c:v>4865.7849474000004</c:v>
                </c:pt>
                <c:pt idx="17">
                  <c:v>5706.1512849000001</c:v>
                </c:pt>
                <c:pt idx="18">
                  <c:v>5706.3043158</c:v>
                </c:pt>
                <c:pt idx="19">
                  <c:v>7387.1348625000001</c:v>
                </c:pt>
                <c:pt idx="20">
                  <c:v>4997.1036082000001</c:v>
                </c:pt>
                <c:pt idx="21">
                  <c:v>5837.4663921000001</c:v>
                </c:pt>
                <c:pt idx="22">
                  <c:v>5837.5903187000004</c:v>
                </c:pt>
                <c:pt idx="23">
                  <c:v>7518.4465905000006</c:v>
                </c:pt>
                <c:pt idx="24">
                  <c:v>8166.8031431999998</c:v>
                </c:pt>
                <c:pt idx="25">
                  <c:v>9590.9021491999993</c:v>
                </c:pt>
                <c:pt idx="26">
                  <c:v>9591.1085981999986</c:v>
                </c:pt>
                <c:pt idx="27">
                  <c:v>12439.2443188</c:v>
                </c:pt>
                <c:pt idx="28">
                  <c:v>8278.0319280000003</c:v>
                </c:pt>
                <c:pt idx="29">
                  <c:v>9702.1238335999988</c:v>
                </c:pt>
                <c:pt idx="30">
                  <c:v>9702.2524536000001</c:v>
                </c:pt>
                <c:pt idx="31">
                  <c:v>12550.4368464</c:v>
                </c:pt>
                <c:pt idx="32">
                  <c:v>8500.5474439999998</c:v>
                </c:pt>
                <c:pt idx="33">
                  <c:v>9924.6353376000006</c:v>
                </c:pt>
                <c:pt idx="34">
                  <c:v>9924.7477295999997</c:v>
                </c:pt>
                <c:pt idx="35">
                  <c:v>12772.961174400001</c:v>
                </c:pt>
                <c:pt idx="36">
                  <c:v>4819.7216722000003</c:v>
                </c:pt>
                <c:pt idx="37">
                  <c:v>5660.0738819999997</c:v>
                </c:pt>
                <c:pt idx="38">
                  <c:v>5660.4366977999998</c:v>
                </c:pt>
                <c:pt idx="39">
                  <c:v>7341.0227800000002</c:v>
                </c:pt>
                <c:pt idx="40">
                  <c:v>4885.3453535999997</c:v>
                </c:pt>
                <c:pt idx="41">
                  <c:v>5725.6889911999997</c:v>
                </c:pt>
                <c:pt idx="42">
                  <c:v>5725.8416784000001</c:v>
                </c:pt>
                <c:pt idx="43">
                  <c:v>7406.6240807999993</c:v>
                </c:pt>
                <c:pt idx="44">
                  <c:v>5016.6617568000001</c:v>
                </c:pt>
                <c:pt idx="45">
                  <c:v>5857.0003588</c:v>
                </c:pt>
                <c:pt idx="46">
                  <c:v>5857.1229196000004</c:v>
                </c:pt>
                <c:pt idx="47">
                  <c:v>7537.9320491999997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1A-46A8-9138-B2992A80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53552"/>
        <c:axId val="1143847072"/>
      </c:lineChart>
      <c:catAx>
        <c:axId val="161085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847072"/>
        <c:crosses val="autoZero"/>
        <c:auto val="1"/>
        <c:lblAlgn val="ctr"/>
        <c:lblOffset val="100"/>
        <c:noMultiLvlLbl val="0"/>
      </c:catAx>
      <c:valAx>
        <c:axId val="1143847072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08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458.sjeng CPI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('458.sjeng'!$H$4:$H$15,'458.sjeng'!$H$21:$H$32,'458.sjeng'!$H$40:$H$51,'458.sjeng'!$H$57:$H$68)</c:f>
              <c:numCache>
                <c:formatCode>General</c:formatCode>
                <c:ptCount val="48"/>
                <c:pt idx="0">
                  <c:v>5.5651665499999998</c:v>
                </c:pt>
                <c:pt idx="1">
                  <c:v>5.5633338999999999</c:v>
                </c:pt>
                <c:pt idx="2">
                  <c:v>5.5634290499999999</c:v>
                </c:pt>
                <c:pt idx="3">
                  <c:v>5.5633002999999999</c:v>
                </c:pt>
                <c:pt idx="4">
                  <c:v>5.5651206499999999</c:v>
                </c:pt>
                <c:pt idx="5">
                  <c:v>5.5632910000000004</c:v>
                </c:pt>
                <c:pt idx="6">
                  <c:v>5.5633531500000002</c:v>
                </c:pt>
                <c:pt idx="7">
                  <c:v>5.5632579</c:v>
                </c:pt>
                <c:pt idx="8">
                  <c:v>5.5651101499999998</c:v>
                </c:pt>
                <c:pt idx="9">
                  <c:v>5.5632815000000004</c:v>
                </c:pt>
                <c:pt idx="10">
                  <c:v>5.5633309000000004</c:v>
                </c:pt>
                <c:pt idx="11">
                  <c:v>5.5632484</c:v>
                </c:pt>
                <c:pt idx="12">
                  <c:v>3.2848443500000002</c:v>
                </c:pt>
                <c:pt idx="13">
                  <c:v>3.2833040499999999</c:v>
                </c:pt>
                <c:pt idx="14">
                  <c:v>3.2834975000000002</c:v>
                </c:pt>
                <c:pt idx="15">
                  <c:v>3.28327305</c:v>
                </c:pt>
                <c:pt idx="16">
                  <c:v>3.2847903999999999</c:v>
                </c:pt>
                <c:pt idx="17">
                  <c:v>3.2832520999999999</c:v>
                </c:pt>
                <c:pt idx="18">
                  <c:v>3.2833391500000002</c:v>
                </c:pt>
                <c:pt idx="19">
                  <c:v>3.2832211</c:v>
                </c:pt>
                <c:pt idx="20">
                  <c:v>3.2847697999999999</c:v>
                </c:pt>
                <c:pt idx="21">
                  <c:v>3.2832325</c:v>
                </c:pt>
                <c:pt idx="22">
                  <c:v>3.2833017</c:v>
                </c:pt>
                <c:pt idx="23">
                  <c:v>3.2832020000000002</c:v>
                </c:pt>
                <c:pt idx="24">
                  <c:v>5.5650280499999996</c:v>
                </c:pt>
                <c:pt idx="25">
                  <c:v>5.5632019000000001</c:v>
                </c:pt>
                <c:pt idx="26">
                  <c:v>5.5632865499999999</c:v>
                </c:pt>
                <c:pt idx="27">
                  <c:v>5.5631678000000004</c:v>
                </c:pt>
                <c:pt idx="28">
                  <c:v>5.5649986499999997</c:v>
                </c:pt>
                <c:pt idx="29">
                  <c:v>5.5631725000000003</c:v>
                </c:pt>
                <c:pt idx="30">
                  <c:v>5.5632136499999998</c:v>
                </c:pt>
                <c:pt idx="31">
                  <c:v>5.5631383999999997</c:v>
                </c:pt>
                <c:pt idx="32">
                  <c:v>5.5649901499999999</c:v>
                </c:pt>
                <c:pt idx="33">
                  <c:v>5.5631640000000004</c:v>
                </c:pt>
                <c:pt idx="34">
                  <c:v>5.5631934000000003</c:v>
                </c:pt>
                <c:pt idx="35">
                  <c:v>5.5631298999999999</c:v>
                </c:pt>
                <c:pt idx="36">
                  <c:v>3.28466835</c:v>
                </c:pt>
                <c:pt idx="37">
                  <c:v>3.2831410499999998</c:v>
                </c:pt>
                <c:pt idx="38">
                  <c:v>3.2833239999999999</c:v>
                </c:pt>
                <c:pt idx="39">
                  <c:v>3.28311055</c:v>
                </c:pt>
                <c:pt idx="40">
                  <c:v>3.2846329000000001</c:v>
                </c:pt>
                <c:pt idx="41">
                  <c:v>3.2831060999999999</c:v>
                </c:pt>
                <c:pt idx="42">
                  <c:v>3.2831701500000001</c:v>
                </c:pt>
                <c:pt idx="43">
                  <c:v>3.2830756000000001</c:v>
                </c:pt>
                <c:pt idx="44">
                  <c:v>3.2846253000000001</c:v>
                </c:pt>
                <c:pt idx="45">
                  <c:v>3.283099</c:v>
                </c:pt>
                <c:pt idx="46">
                  <c:v>3.2831397</c:v>
                </c:pt>
                <c:pt idx="47">
                  <c:v>3.2830685000000002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6-40D3-801E-CD5779C0B19F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('458.sjeng'!$I$4:$I$15,'458.sjeng'!$I$21:$I$32,'458.sjeng'!$I$40:$I$51,'458.sjeng'!$I$57:$I$68)</c:f>
              <c:numCache>
                <c:formatCode>General</c:formatCode>
                <c:ptCount val="48"/>
                <c:pt idx="0">
                  <c:v>5.5637908500000002</c:v>
                </c:pt>
                <c:pt idx="1">
                  <c:v>5.5633052000000003</c:v>
                </c:pt>
                <c:pt idx="2">
                  <c:v>5.5634290499999999</c:v>
                </c:pt>
                <c:pt idx="3">
                  <c:v>5.5633002999999999</c:v>
                </c:pt>
                <c:pt idx="4">
                  <c:v>5.5637449500000002</c:v>
                </c:pt>
                <c:pt idx="5">
                  <c:v>5.5632628000000004</c:v>
                </c:pt>
                <c:pt idx="6">
                  <c:v>5.5633531500000002</c:v>
                </c:pt>
                <c:pt idx="7">
                  <c:v>5.5632579</c:v>
                </c:pt>
                <c:pt idx="8">
                  <c:v>5.5637349499999997</c:v>
                </c:pt>
                <c:pt idx="9">
                  <c:v>5.5632533000000004</c:v>
                </c:pt>
                <c:pt idx="10">
                  <c:v>5.5633309000000004</c:v>
                </c:pt>
                <c:pt idx="11">
                  <c:v>5.5632484</c:v>
                </c:pt>
                <c:pt idx="12">
                  <c:v>3.2838414500000002</c:v>
                </c:pt>
                <c:pt idx="13">
                  <c:v>3.2832772000000001</c:v>
                </c:pt>
                <c:pt idx="14">
                  <c:v>3.28349695</c:v>
                </c:pt>
                <c:pt idx="15">
                  <c:v>3.2832724999999998</c:v>
                </c:pt>
                <c:pt idx="16">
                  <c:v>3.2837865000000002</c:v>
                </c:pt>
                <c:pt idx="17">
                  <c:v>3.2832252500000001</c:v>
                </c:pt>
                <c:pt idx="18">
                  <c:v>3.2833386</c:v>
                </c:pt>
                <c:pt idx="19">
                  <c:v>3.2832205499999998</c:v>
                </c:pt>
                <c:pt idx="20">
                  <c:v>3.2837673999999999</c:v>
                </c:pt>
                <c:pt idx="21">
                  <c:v>3.2832061499999998</c:v>
                </c:pt>
                <c:pt idx="22">
                  <c:v>3.2833011499999998</c:v>
                </c:pt>
                <c:pt idx="23">
                  <c:v>3.28320145</c:v>
                </c:pt>
                <c:pt idx="24">
                  <c:v>5.5636543500000002</c:v>
                </c:pt>
                <c:pt idx="25">
                  <c:v>5.5631727</c:v>
                </c:pt>
                <c:pt idx="26">
                  <c:v>5.5632865499999999</c:v>
                </c:pt>
                <c:pt idx="27">
                  <c:v>5.5631678000000004</c:v>
                </c:pt>
                <c:pt idx="28">
                  <c:v>5.5636244499999998</c:v>
                </c:pt>
                <c:pt idx="29">
                  <c:v>5.5631433000000001</c:v>
                </c:pt>
                <c:pt idx="30">
                  <c:v>5.5632136499999998</c:v>
                </c:pt>
                <c:pt idx="31">
                  <c:v>5.5631383999999997</c:v>
                </c:pt>
                <c:pt idx="32">
                  <c:v>5.56361595</c:v>
                </c:pt>
                <c:pt idx="33">
                  <c:v>5.5631348000000003</c:v>
                </c:pt>
                <c:pt idx="34">
                  <c:v>5.5631934000000003</c:v>
                </c:pt>
                <c:pt idx="35">
                  <c:v>5.5631298999999999</c:v>
                </c:pt>
                <c:pt idx="36">
                  <c:v>3.2836664500000001</c:v>
                </c:pt>
                <c:pt idx="37">
                  <c:v>3.2831152000000001</c:v>
                </c:pt>
                <c:pt idx="38">
                  <c:v>3.2833229500000001</c:v>
                </c:pt>
                <c:pt idx="39">
                  <c:v>3.2831095000000001</c:v>
                </c:pt>
                <c:pt idx="40">
                  <c:v>3.2836314999999998</c:v>
                </c:pt>
                <c:pt idx="41">
                  <c:v>3.2830802499999998</c:v>
                </c:pt>
                <c:pt idx="42">
                  <c:v>3.2831690999999998</c:v>
                </c:pt>
                <c:pt idx="43">
                  <c:v>3.2830745499999998</c:v>
                </c:pt>
                <c:pt idx="44">
                  <c:v>3.2836243999999999</c:v>
                </c:pt>
                <c:pt idx="45">
                  <c:v>3.2830731499999999</c:v>
                </c:pt>
                <c:pt idx="46">
                  <c:v>3.2831386500000002</c:v>
                </c:pt>
                <c:pt idx="47">
                  <c:v>3.2830674499999999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6-40D3-801E-CD5779C0B19F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('458.sjeng'!$J$4:$J$15,'458.sjeng'!$J$21:$J$32,'458.sjeng'!$J$40:$J$51,'458.sjeng'!$J$57:$J$68)</c:f>
              <c:numCache>
                <c:formatCode>General</c:formatCode>
                <c:ptCount val="48"/>
                <c:pt idx="0">
                  <c:v>5.5633518999999998</c:v>
                </c:pt>
                <c:pt idx="1">
                  <c:v>5.5633002999999999</c:v>
                </c:pt>
                <c:pt idx="2">
                  <c:v>5.5634290499999999</c:v>
                </c:pt>
                <c:pt idx="3">
                  <c:v>5.5633002999999999</c:v>
                </c:pt>
                <c:pt idx="4">
                  <c:v>5.5633074999999996</c:v>
                </c:pt>
                <c:pt idx="5">
                  <c:v>5.5632579</c:v>
                </c:pt>
                <c:pt idx="6">
                  <c:v>5.5633531500000002</c:v>
                </c:pt>
                <c:pt idx="7">
                  <c:v>5.5632579</c:v>
                </c:pt>
                <c:pt idx="8">
                  <c:v>5.5632979999999996</c:v>
                </c:pt>
                <c:pt idx="9">
                  <c:v>5.5632484</c:v>
                </c:pt>
                <c:pt idx="10">
                  <c:v>5.5633309000000004</c:v>
                </c:pt>
                <c:pt idx="11">
                  <c:v>5.5632484</c:v>
                </c:pt>
                <c:pt idx="12">
                  <c:v>3.2833681499999998</c:v>
                </c:pt>
                <c:pt idx="13">
                  <c:v>3.2832729999999999</c:v>
                </c:pt>
                <c:pt idx="14">
                  <c:v>3.28349695</c:v>
                </c:pt>
                <c:pt idx="15">
                  <c:v>3.2832724999999998</c:v>
                </c:pt>
                <c:pt idx="16">
                  <c:v>3.2833131999999998</c:v>
                </c:pt>
                <c:pt idx="17">
                  <c:v>3.2832205499999998</c:v>
                </c:pt>
                <c:pt idx="18">
                  <c:v>3.2833386</c:v>
                </c:pt>
                <c:pt idx="19">
                  <c:v>3.2832205499999998</c:v>
                </c:pt>
                <c:pt idx="20">
                  <c:v>3.2832941</c:v>
                </c:pt>
                <c:pt idx="21">
                  <c:v>3.28320145</c:v>
                </c:pt>
                <c:pt idx="22">
                  <c:v>3.2833011499999998</c:v>
                </c:pt>
                <c:pt idx="23">
                  <c:v>3.28320145</c:v>
                </c:pt>
                <c:pt idx="24">
                  <c:v>5.5632153999999998</c:v>
                </c:pt>
                <c:pt idx="25">
                  <c:v>5.5631678000000004</c:v>
                </c:pt>
                <c:pt idx="26">
                  <c:v>5.5632865499999999</c:v>
                </c:pt>
                <c:pt idx="27">
                  <c:v>5.5631383999999997</c:v>
                </c:pt>
                <c:pt idx="28">
                  <c:v>5.563186</c:v>
                </c:pt>
                <c:pt idx="29">
                  <c:v>5.5631383999999997</c:v>
                </c:pt>
                <c:pt idx="30">
                  <c:v>5.5632136499999998</c:v>
                </c:pt>
                <c:pt idx="31">
                  <c:v>5.5631298999999999</c:v>
                </c:pt>
                <c:pt idx="32">
                  <c:v>5.5631775000000001</c:v>
                </c:pt>
                <c:pt idx="33">
                  <c:v>5.5631298999999999</c:v>
                </c:pt>
                <c:pt idx="34">
                  <c:v>5.5631934000000003</c:v>
                </c:pt>
                <c:pt idx="35">
                  <c:v>5.5631298999999999</c:v>
                </c:pt>
                <c:pt idx="36">
                  <c:v>3.2831936499999999</c:v>
                </c:pt>
                <c:pt idx="37">
                  <c:v>3.2831100000000002</c:v>
                </c:pt>
                <c:pt idx="38">
                  <c:v>3.2833229500000001</c:v>
                </c:pt>
                <c:pt idx="39">
                  <c:v>3.2831095000000001</c:v>
                </c:pt>
                <c:pt idx="40">
                  <c:v>3.2831587</c:v>
                </c:pt>
                <c:pt idx="41">
                  <c:v>3.2830750499999999</c:v>
                </c:pt>
                <c:pt idx="42">
                  <c:v>3.2831690999999998</c:v>
                </c:pt>
                <c:pt idx="43">
                  <c:v>3.2830745499999998</c:v>
                </c:pt>
                <c:pt idx="44">
                  <c:v>3.2831516000000001</c:v>
                </c:pt>
                <c:pt idx="45">
                  <c:v>3.28306795</c:v>
                </c:pt>
                <c:pt idx="46">
                  <c:v>3.2831386500000002</c:v>
                </c:pt>
                <c:pt idx="47">
                  <c:v>3.2830674499999999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6-40D3-801E-CD5779C0B19F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('458.sjeng'!$N$4:$N$15,'458.sjeng'!$N$21:$N$32,'458.sjeng'!$N$40:$N$51,'458.sjeng'!$N$57:$N$68)</c:f>
              <c:numCache>
                <c:formatCode>General</c:formatCode>
                <c:ptCount val="48"/>
                <c:pt idx="0">
                  <c:v>5.5651395499999996</c:v>
                </c:pt>
                <c:pt idx="1">
                  <c:v>5.5633128999999997</c:v>
                </c:pt>
                <c:pt idx="2">
                  <c:v>5.5633955500000001</c:v>
                </c:pt>
                <c:pt idx="3">
                  <c:v>5.5632792999999996</c:v>
                </c:pt>
                <c:pt idx="4">
                  <c:v>5.5651126499999997</c:v>
                </c:pt>
                <c:pt idx="5">
                  <c:v>5.5632859999999997</c:v>
                </c:pt>
                <c:pt idx="6">
                  <c:v>5.5633251499999998</c:v>
                </c:pt>
                <c:pt idx="7">
                  <c:v>5.5632529000000002</c:v>
                </c:pt>
                <c:pt idx="8">
                  <c:v>5.5651016499999999</c:v>
                </c:pt>
                <c:pt idx="9">
                  <c:v>5.5632764999999997</c:v>
                </c:pt>
                <c:pt idx="10">
                  <c:v>5.5633039000000002</c:v>
                </c:pt>
                <c:pt idx="11">
                  <c:v>5.5632434000000002</c:v>
                </c:pt>
                <c:pt idx="12">
                  <c:v>3.2847808500000002</c:v>
                </c:pt>
                <c:pt idx="13">
                  <c:v>3.28324755</c:v>
                </c:pt>
                <c:pt idx="14">
                  <c:v>3.2834240000000001</c:v>
                </c:pt>
                <c:pt idx="15">
                  <c:v>3.2832170500000002</c:v>
                </c:pt>
                <c:pt idx="16">
                  <c:v>3.2847458999999999</c:v>
                </c:pt>
                <c:pt idx="17">
                  <c:v>3.2832146</c:v>
                </c:pt>
                <c:pt idx="18">
                  <c:v>3.2832751500000001</c:v>
                </c:pt>
                <c:pt idx="19">
                  <c:v>3.2831845999999998</c:v>
                </c:pt>
                <c:pt idx="20">
                  <c:v>3.2847368000000001</c:v>
                </c:pt>
                <c:pt idx="21">
                  <c:v>3.2832045000000001</c:v>
                </c:pt>
                <c:pt idx="22">
                  <c:v>3.2832436999999999</c:v>
                </c:pt>
                <c:pt idx="23">
                  <c:v>3.2831744999999999</c:v>
                </c:pt>
                <c:pt idx="24">
                  <c:v>5.5650235500000003</c:v>
                </c:pt>
                <c:pt idx="25">
                  <c:v>5.5631974</c:v>
                </c:pt>
                <c:pt idx="26">
                  <c:v>5.5632825500000003</c:v>
                </c:pt>
                <c:pt idx="27">
                  <c:v>5.5631633000000003</c:v>
                </c:pt>
                <c:pt idx="28">
                  <c:v>5.5649996499999999</c:v>
                </c:pt>
                <c:pt idx="29">
                  <c:v>5.5631735000000004</c:v>
                </c:pt>
                <c:pt idx="30">
                  <c:v>5.5632126499999996</c:v>
                </c:pt>
                <c:pt idx="31">
                  <c:v>5.5631393999999998</c:v>
                </c:pt>
                <c:pt idx="32">
                  <c:v>5.5649916499999996</c:v>
                </c:pt>
                <c:pt idx="33">
                  <c:v>5.5631655000000002</c:v>
                </c:pt>
                <c:pt idx="34">
                  <c:v>5.5631938999999999</c:v>
                </c:pt>
                <c:pt idx="35">
                  <c:v>5.5631313999999996</c:v>
                </c:pt>
                <c:pt idx="36">
                  <c:v>3.2846603499999998</c:v>
                </c:pt>
                <c:pt idx="37">
                  <c:v>3.2831335500000001</c:v>
                </c:pt>
                <c:pt idx="38">
                  <c:v>3.2833130000000001</c:v>
                </c:pt>
                <c:pt idx="39">
                  <c:v>3.2831020500000001</c:v>
                </c:pt>
                <c:pt idx="40">
                  <c:v>3.2846334000000001</c:v>
                </c:pt>
                <c:pt idx="41">
                  <c:v>3.2831066</c:v>
                </c:pt>
                <c:pt idx="42">
                  <c:v>3.28316315</c:v>
                </c:pt>
                <c:pt idx="43">
                  <c:v>3.2830751</c:v>
                </c:pt>
                <c:pt idx="44">
                  <c:v>3.2846267999999998</c:v>
                </c:pt>
                <c:pt idx="45">
                  <c:v>3.2831000000000001</c:v>
                </c:pt>
                <c:pt idx="46">
                  <c:v>3.2831377000000002</c:v>
                </c:pt>
                <c:pt idx="47">
                  <c:v>3.2830685000000002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C6-40D3-801E-CD5779C0B19F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('458.sjeng'!$O$4:$O$15,'458.sjeng'!$O$21:$O$32,'458.sjeng'!$O$40:$O$51,'458.sjeng'!$O$57:$O$68)</c:f>
              <c:numCache>
                <c:formatCode>General</c:formatCode>
                <c:ptCount val="48"/>
                <c:pt idx="0">
                  <c:v>5.5637658500000002</c:v>
                </c:pt>
                <c:pt idx="1">
                  <c:v>5.5632846999999996</c:v>
                </c:pt>
                <c:pt idx="2">
                  <c:v>5.5633955500000001</c:v>
                </c:pt>
                <c:pt idx="3">
                  <c:v>5.5632792999999996</c:v>
                </c:pt>
                <c:pt idx="4">
                  <c:v>5.5637384499999998</c:v>
                </c:pt>
                <c:pt idx="5">
                  <c:v>5.5632577999999997</c:v>
                </c:pt>
                <c:pt idx="6">
                  <c:v>5.5633251499999998</c:v>
                </c:pt>
                <c:pt idx="7">
                  <c:v>5.5632529000000002</c:v>
                </c:pt>
                <c:pt idx="8">
                  <c:v>5.56372745</c:v>
                </c:pt>
                <c:pt idx="9">
                  <c:v>5.5632482999999997</c:v>
                </c:pt>
                <c:pt idx="10">
                  <c:v>5.5633039000000002</c:v>
                </c:pt>
                <c:pt idx="11">
                  <c:v>5.5632434000000002</c:v>
                </c:pt>
                <c:pt idx="12">
                  <c:v>3.2837739500000001</c:v>
                </c:pt>
                <c:pt idx="13">
                  <c:v>3.2832211999999998</c:v>
                </c:pt>
                <c:pt idx="14">
                  <c:v>3.2834234499999999</c:v>
                </c:pt>
                <c:pt idx="15">
                  <c:v>3.2832165</c:v>
                </c:pt>
                <c:pt idx="16">
                  <c:v>3.2837415000000001</c:v>
                </c:pt>
                <c:pt idx="17">
                  <c:v>3.2831887499999999</c:v>
                </c:pt>
                <c:pt idx="18">
                  <c:v>3.2832745999999999</c:v>
                </c:pt>
                <c:pt idx="19">
                  <c:v>3.28318405</c:v>
                </c:pt>
                <c:pt idx="20">
                  <c:v>3.2837329</c:v>
                </c:pt>
                <c:pt idx="21">
                  <c:v>3.28317865</c:v>
                </c:pt>
                <c:pt idx="22">
                  <c:v>3.2832431500000001</c:v>
                </c:pt>
                <c:pt idx="23">
                  <c:v>3.2831739500000001</c:v>
                </c:pt>
                <c:pt idx="24">
                  <c:v>5.5636493500000004</c:v>
                </c:pt>
                <c:pt idx="25">
                  <c:v>5.5631687000000003</c:v>
                </c:pt>
                <c:pt idx="26">
                  <c:v>5.5632825500000003</c:v>
                </c:pt>
                <c:pt idx="27">
                  <c:v>5.5631633000000003</c:v>
                </c:pt>
                <c:pt idx="28">
                  <c:v>5.56362545</c:v>
                </c:pt>
                <c:pt idx="29">
                  <c:v>5.5631447999999999</c:v>
                </c:pt>
                <c:pt idx="30">
                  <c:v>5.5632126499999996</c:v>
                </c:pt>
                <c:pt idx="31">
                  <c:v>5.5631393999999998</c:v>
                </c:pt>
                <c:pt idx="32">
                  <c:v>5.5636174499999997</c:v>
                </c:pt>
                <c:pt idx="33">
                  <c:v>5.5631367999999997</c:v>
                </c:pt>
                <c:pt idx="34">
                  <c:v>5.5631938999999999</c:v>
                </c:pt>
                <c:pt idx="35">
                  <c:v>5.5631313999999996</c:v>
                </c:pt>
                <c:pt idx="36">
                  <c:v>3.2836579499999998</c:v>
                </c:pt>
                <c:pt idx="37">
                  <c:v>3.2831071999999999</c:v>
                </c:pt>
                <c:pt idx="38">
                  <c:v>3.2833124499999999</c:v>
                </c:pt>
                <c:pt idx="39">
                  <c:v>3.2831014999999999</c:v>
                </c:pt>
                <c:pt idx="40">
                  <c:v>3.2836310000000002</c:v>
                </c:pt>
                <c:pt idx="41">
                  <c:v>3.2830802499999998</c:v>
                </c:pt>
                <c:pt idx="42">
                  <c:v>3.2831625999999998</c:v>
                </c:pt>
                <c:pt idx="43">
                  <c:v>3.2830745499999998</c:v>
                </c:pt>
                <c:pt idx="44">
                  <c:v>3.2836243999999999</c:v>
                </c:pt>
                <c:pt idx="45">
                  <c:v>3.28307365</c:v>
                </c:pt>
                <c:pt idx="46">
                  <c:v>3.2831371499999999</c:v>
                </c:pt>
                <c:pt idx="47">
                  <c:v>3.28306795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C6-40D3-801E-CD5779C0B19F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('458.sjeng'!$P$4:$P$15,'458.sjeng'!$P$21:$P$32,'458.sjeng'!$P$40:$P$51,'458.sjeng'!$P$57:$P$68)</c:f>
              <c:numCache>
                <c:formatCode>General</c:formatCode>
                <c:ptCount val="48"/>
                <c:pt idx="0">
                  <c:v>5.5633283999999996</c:v>
                </c:pt>
                <c:pt idx="1">
                  <c:v>5.5632798000000001</c:v>
                </c:pt>
                <c:pt idx="2">
                  <c:v>5.5633955500000001</c:v>
                </c:pt>
                <c:pt idx="3">
                  <c:v>5.5632792999999996</c:v>
                </c:pt>
                <c:pt idx="4">
                  <c:v>5.5633005000000004</c:v>
                </c:pt>
                <c:pt idx="5">
                  <c:v>5.5632529000000002</c:v>
                </c:pt>
                <c:pt idx="6">
                  <c:v>5.5633251499999998</c:v>
                </c:pt>
                <c:pt idx="7">
                  <c:v>5.5632529000000002</c:v>
                </c:pt>
                <c:pt idx="8">
                  <c:v>5.5632904999999999</c:v>
                </c:pt>
                <c:pt idx="9">
                  <c:v>5.5632434000000002</c:v>
                </c:pt>
                <c:pt idx="10">
                  <c:v>5.5633039000000002</c:v>
                </c:pt>
                <c:pt idx="11">
                  <c:v>5.5632434000000002</c:v>
                </c:pt>
                <c:pt idx="12">
                  <c:v>3.2833021499999999</c:v>
                </c:pt>
                <c:pt idx="13">
                  <c:v>3.2832165</c:v>
                </c:pt>
                <c:pt idx="14">
                  <c:v>3.2834234499999999</c:v>
                </c:pt>
                <c:pt idx="15">
                  <c:v>3.2832165</c:v>
                </c:pt>
                <c:pt idx="16">
                  <c:v>3.2832712000000002</c:v>
                </c:pt>
                <c:pt idx="17">
                  <c:v>3.28318405</c:v>
                </c:pt>
                <c:pt idx="18">
                  <c:v>3.2832745999999999</c:v>
                </c:pt>
                <c:pt idx="19">
                  <c:v>3.28318405</c:v>
                </c:pt>
                <c:pt idx="20">
                  <c:v>3.2832606000000002</c:v>
                </c:pt>
                <c:pt idx="21">
                  <c:v>3.2831739500000001</c:v>
                </c:pt>
                <c:pt idx="22">
                  <c:v>3.2832431500000001</c:v>
                </c:pt>
                <c:pt idx="23">
                  <c:v>3.2831739500000001</c:v>
                </c:pt>
                <c:pt idx="24">
                  <c:v>5.5632118999999998</c:v>
                </c:pt>
                <c:pt idx="25">
                  <c:v>5.5631633000000003</c:v>
                </c:pt>
                <c:pt idx="26">
                  <c:v>5.5632825500000003</c:v>
                </c:pt>
                <c:pt idx="27">
                  <c:v>5.5631633000000003</c:v>
                </c:pt>
                <c:pt idx="28">
                  <c:v>5.5631880000000002</c:v>
                </c:pt>
                <c:pt idx="29">
                  <c:v>5.5631393999999998</c:v>
                </c:pt>
                <c:pt idx="30">
                  <c:v>5.5632126499999996</c:v>
                </c:pt>
                <c:pt idx="31">
                  <c:v>5.5631393999999998</c:v>
                </c:pt>
                <c:pt idx="32">
                  <c:v>5.56318</c:v>
                </c:pt>
                <c:pt idx="33">
                  <c:v>5.5631313999999996</c:v>
                </c:pt>
                <c:pt idx="34">
                  <c:v>5.5631938999999999</c:v>
                </c:pt>
                <c:pt idx="35">
                  <c:v>5.5631313999999996</c:v>
                </c:pt>
                <c:pt idx="36">
                  <c:v>3.2831861500000001</c:v>
                </c:pt>
                <c:pt idx="37">
                  <c:v>3.283102</c:v>
                </c:pt>
                <c:pt idx="38">
                  <c:v>3.2833124499999999</c:v>
                </c:pt>
                <c:pt idx="39">
                  <c:v>3.2831014999999999</c:v>
                </c:pt>
                <c:pt idx="40">
                  <c:v>3.2831592000000001</c:v>
                </c:pt>
                <c:pt idx="41">
                  <c:v>3.2830750499999999</c:v>
                </c:pt>
                <c:pt idx="42">
                  <c:v>3.2831625999999998</c:v>
                </c:pt>
                <c:pt idx="43">
                  <c:v>3.2830745499999998</c:v>
                </c:pt>
                <c:pt idx="44">
                  <c:v>3.2831526000000002</c:v>
                </c:pt>
                <c:pt idx="45">
                  <c:v>3.28306845</c:v>
                </c:pt>
                <c:pt idx="46">
                  <c:v>3.2831371499999999</c:v>
                </c:pt>
                <c:pt idx="47">
                  <c:v>3.28306795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C6-40D3-801E-CD5779C0B19F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('458.sjeng'!$T$4:$T$15,'458.sjeng'!$T$21:$T$32,'458.sjeng'!$T$40:$T$51,'458.sjeng'!$T$57:$T$68)</c:f>
              <c:numCache>
                <c:formatCode>General</c:formatCode>
                <c:ptCount val="48"/>
                <c:pt idx="0">
                  <c:v>5.5651300499999996</c:v>
                </c:pt>
                <c:pt idx="1">
                  <c:v>5.5633043999999998</c:v>
                </c:pt>
                <c:pt idx="2">
                  <c:v>5.5633900499999998</c:v>
                </c:pt>
                <c:pt idx="3">
                  <c:v>5.5632707999999997</c:v>
                </c:pt>
                <c:pt idx="4">
                  <c:v>5.5651051499999999</c:v>
                </c:pt>
                <c:pt idx="5">
                  <c:v>5.5632795000000002</c:v>
                </c:pt>
                <c:pt idx="6">
                  <c:v>5.5633196500000004</c:v>
                </c:pt>
                <c:pt idx="7">
                  <c:v>5.5632463999999997</c:v>
                </c:pt>
                <c:pt idx="8">
                  <c:v>5.5650961499999996</c:v>
                </c:pt>
                <c:pt idx="9">
                  <c:v>5.5632710000000003</c:v>
                </c:pt>
                <c:pt idx="10">
                  <c:v>5.5633008999999998</c:v>
                </c:pt>
                <c:pt idx="11">
                  <c:v>5.5632378999999998</c:v>
                </c:pt>
                <c:pt idx="12">
                  <c:v>3.2847583500000002</c:v>
                </c:pt>
                <c:pt idx="13">
                  <c:v>3.28323155</c:v>
                </c:pt>
                <c:pt idx="14">
                  <c:v>3.2834099999999999</c:v>
                </c:pt>
                <c:pt idx="15">
                  <c:v>3.2832005500000001</c:v>
                </c:pt>
                <c:pt idx="16">
                  <c:v>3.2847309</c:v>
                </c:pt>
                <c:pt idx="17">
                  <c:v>3.2832031000000002</c:v>
                </c:pt>
                <c:pt idx="18">
                  <c:v>3.2832596500000002</c:v>
                </c:pt>
                <c:pt idx="19">
                  <c:v>3.2831716000000002</c:v>
                </c:pt>
                <c:pt idx="20">
                  <c:v>3.2847227999999999</c:v>
                </c:pt>
                <c:pt idx="21">
                  <c:v>3.2831955000000002</c:v>
                </c:pt>
                <c:pt idx="22">
                  <c:v>3.2832347</c:v>
                </c:pt>
                <c:pt idx="23">
                  <c:v>3.2831649999999999</c:v>
                </c:pt>
                <c:pt idx="24">
                  <c:v>5.5650285500000001</c:v>
                </c:pt>
                <c:pt idx="25">
                  <c:v>5.5632029000000003</c:v>
                </c:pt>
                <c:pt idx="26">
                  <c:v>5.5632880499999997</c:v>
                </c:pt>
                <c:pt idx="27">
                  <c:v>5.5631687999999997</c:v>
                </c:pt>
                <c:pt idx="28">
                  <c:v>5.5650046499999997</c:v>
                </c:pt>
                <c:pt idx="29">
                  <c:v>5.5631789999999999</c:v>
                </c:pt>
                <c:pt idx="30">
                  <c:v>5.56321815</c:v>
                </c:pt>
                <c:pt idx="31">
                  <c:v>5.5631449000000002</c:v>
                </c:pt>
                <c:pt idx="32">
                  <c:v>5.5649966500000003</c:v>
                </c:pt>
                <c:pt idx="33">
                  <c:v>5.5631709999999996</c:v>
                </c:pt>
                <c:pt idx="34">
                  <c:v>5.5631994000000002</c:v>
                </c:pt>
                <c:pt idx="35">
                  <c:v>5.5631364000000003</c:v>
                </c:pt>
                <c:pt idx="36">
                  <c:v>3.2846633500000002</c:v>
                </c:pt>
                <c:pt idx="37">
                  <c:v>3.2831375500000002</c:v>
                </c:pt>
                <c:pt idx="38">
                  <c:v>3.2833169999999998</c:v>
                </c:pt>
                <c:pt idx="39">
                  <c:v>3.2831060500000002</c:v>
                </c:pt>
                <c:pt idx="40">
                  <c:v>3.2846364000000001</c:v>
                </c:pt>
                <c:pt idx="41">
                  <c:v>3.2831106000000001</c:v>
                </c:pt>
                <c:pt idx="42">
                  <c:v>3.2831671500000001</c:v>
                </c:pt>
                <c:pt idx="43">
                  <c:v>3.2830791000000001</c:v>
                </c:pt>
                <c:pt idx="44">
                  <c:v>3.2846297999999998</c:v>
                </c:pt>
                <c:pt idx="45">
                  <c:v>3.2831039999999998</c:v>
                </c:pt>
                <c:pt idx="46">
                  <c:v>3.2831416999999998</c:v>
                </c:pt>
                <c:pt idx="47">
                  <c:v>3.2830724999999998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C6-40D3-801E-CD5779C0B19F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('458.sjeng'!$U$4:$U$15,'458.sjeng'!$U$21:$U$32,'458.sjeng'!$U$40:$U$51,'458.sjeng'!$U$57:$U$68)</c:f>
              <c:numCache>
                <c:formatCode>General</c:formatCode>
                <c:ptCount val="48"/>
                <c:pt idx="0">
                  <c:v>5.5637558499999997</c:v>
                </c:pt>
                <c:pt idx="1">
                  <c:v>5.5632761999999998</c:v>
                </c:pt>
                <c:pt idx="2">
                  <c:v>5.5633900499999998</c:v>
                </c:pt>
                <c:pt idx="3">
                  <c:v>5.5632707999999997</c:v>
                </c:pt>
                <c:pt idx="4">
                  <c:v>5.5637309500000001</c:v>
                </c:pt>
                <c:pt idx="5">
                  <c:v>5.5632513000000001</c:v>
                </c:pt>
                <c:pt idx="6">
                  <c:v>5.5633196500000004</c:v>
                </c:pt>
                <c:pt idx="7">
                  <c:v>5.5632463999999997</c:v>
                </c:pt>
                <c:pt idx="8">
                  <c:v>5.5637219499999997</c:v>
                </c:pt>
                <c:pt idx="9">
                  <c:v>5.5632428000000003</c:v>
                </c:pt>
                <c:pt idx="10">
                  <c:v>5.5633008999999998</c:v>
                </c:pt>
                <c:pt idx="11">
                  <c:v>5.5632378999999998</c:v>
                </c:pt>
                <c:pt idx="12">
                  <c:v>3.2837549500000001</c:v>
                </c:pt>
                <c:pt idx="13">
                  <c:v>3.2832047000000002</c:v>
                </c:pt>
                <c:pt idx="14">
                  <c:v>3.2834094500000002</c:v>
                </c:pt>
                <c:pt idx="15">
                  <c:v>3.2831999999999999</c:v>
                </c:pt>
                <c:pt idx="16">
                  <c:v>3.2837274999999999</c:v>
                </c:pt>
                <c:pt idx="17">
                  <c:v>3.2831757499999998</c:v>
                </c:pt>
                <c:pt idx="18">
                  <c:v>3.2832591</c:v>
                </c:pt>
                <c:pt idx="19">
                  <c:v>3.28317105</c:v>
                </c:pt>
                <c:pt idx="20">
                  <c:v>3.2837198999999999</c:v>
                </c:pt>
                <c:pt idx="21">
                  <c:v>3.28316915</c:v>
                </c:pt>
                <c:pt idx="22">
                  <c:v>3.2832341500000002</c:v>
                </c:pt>
                <c:pt idx="23">
                  <c:v>3.2831644500000001</c:v>
                </c:pt>
                <c:pt idx="24">
                  <c:v>5.5636543500000002</c:v>
                </c:pt>
                <c:pt idx="25">
                  <c:v>5.5631747000000003</c:v>
                </c:pt>
                <c:pt idx="26">
                  <c:v>5.5632880499999997</c:v>
                </c:pt>
                <c:pt idx="27">
                  <c:v>5.5631683000000001</c:v>
                </c:pt>
                <c:pt idx="28">
                  <c:v>5.5636304499999998</c:v>
                </c:pt>
                <c:pt idx="29">
                  <c:v>5.5631507999999998</c:v>
                </c:pt>
                <c:pt idx="30">
                  <c:v>5.56321815</c:v>
                </c:pt>
                <c:pt idx="31">
                  <c:v>5.5631443999999997</c:v>
                </c:pt>
                <c:pt idx="32">
                  <c:v>5.5636224500000004</c:v>
                </c:pt>
                <c:pt idx="33">
                  <c:v>5.5631427999999996</c:v>
                </c:pt>
                <c:pt idx="34">
                  <c:v>5.5631994000000002</c:v>
                </c:pt>
                <c:pt idx="35">
                  <c:v>5.5631364000000003</c:v>
                </c:pt>
                <c:pt idx="36">
                  <c:v>3.2836609499999998</c:v>
                </c:pt>
                <c:pt idx="37">
                  <c:v>3.2831117000000001</c:v>
                </c:pt>
                <c:pt idx="38">
                  <c:v>3.28331595</c:v>
                </c:pt>
                <c:pt idx="39">
                  <c:v>3.2831049999999999</c:v>
                </c:pt>
                <c:pt idx="40">
                  <c:v>3.2836340000000002</c:v>
                </c:pt>
                <c:pt idx="41">
                  <c:v>3.28308475</c:v>
                </c:pt>
                <c:pt idx="42">
                  <c:v>3.2831660999999999</c:v>
                </c:pt>
                <c:pt idx="43">
                  <c:v>3.2830780499999999</c:v>
                </c:pt>
                <c:pt idx="44">
                  <c:v>3.2836273999999999</c:v>
                </c:pt>
                <c:pt idx="45">
                  <c:v>3.2830781500000001</c:v>
                </c:pt>
                <c:pt idx="46">
                  <c:v>3.28314065</c:v>
                </c:pt>
                <c:pt idx="47">
                  <c:v>3.28307145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C6-40D3-801E-CD5779C0B19F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('458.sjeng'!$V$4:$V$15,'458.sjeng'!$V$21:$V$32,'458.sjeng'!$V$40:$V$51,'458.sjeng'!$V$57:$V$68)</c:f>
              <c:numCache>
                <c:formatCode>General</c:formatCode>
                <c:ptCount val="48"/>
                <c:pt idx="0">
                  <c:v>5.5633179000000004</c:v>
                </c:pt>
                <c:pt idx="1">
                  <c:v>5.5632713000000003</c:v>
                </c:pt>
                <c:pt idx="2">
                  <c:v>5.5633900499999998</c:v>
                </c:pt>
                <c:pt idx="3">
                  <c:v>5.5632707999999997</c:v>
                </c:pt>
                <c:pt idx="4">
                  <c:v>5.5632935000000003</c:v>
                </c:pt>
                <c:pt idx="5">
                  <c:v>5.5632463999999997</c:v>
                </c:pt>
                <c:pt idx="6">
                  <c:v>5.5633196500000004</c:v>
                </c:pt>
                <c:pt idx="7">
                  <c:v>5.5632463999999997</c:v>
                </c:pt>
                <c:pt idx="8">
                  <c:v>5.5632849999999996</c:v>
                </c:pt>
                <c:pt idx="9">
                  <c:v>5.5632378999999998</c:v>
                </c:pt>
                <c:pt idx="10">
                  <c:v>5.5633008999999998</c:v>
                </c:pt>
                <c:pt idx="11">
                  <c:v>5.5632378999999998</c:v>
                </c:pt>
                <c:pt idx="12">
                  <c:v>3.28328365</c:v>
                </c:pt>
                <c:pt idx="13">
                  <c:v>3.2831999999999999</c:v>
                </c:pt>
                <c:pt idx="14">
                  <c:v>3.2834094500000002</c:v>
                </c:pt>
                <c:pt idx="15">
                  <c:v>3.2831999999999999</c:v>
                </c:pt>
                <c:pt idx="16">
                  <c:v>3.2832557000000002</c:v>
                </c:pt>
                <c:pt idx="17">
                  <c:v>3.28317105</c:v>
                </c:pt>
                <c:pt idx="18">
                  <c:v>3.2832591</c:v>
                </c:pt>
                <c:pt idx="19">
                  <c:v>3.28317105</c:v>
                </c:pt>
                <c:pt idx="20">
                  <c:v>3.2832480999999998</c:v>
                </c:pt>
                <c:pt idx="21">
                  <c:v>3.2831644500000001</c:v>
                </c:pt>
                <c:pt idx="22">
                  <c:v>3.2832341500000002</c:v>
                </c:pt>
                <c:pt idx="23">
                  <c:v>3.2831644500000001</c:v>
                </c:pt>
                <c:pt idx="24">
                  <c:v>5.5632174000000001</c:v>
                </c:pt>
                <c:pt idx="25">
                  <c:v>5.5631683000000001</c:v>
                </c:pt>
                <c:pt idx="26">
                  <c:v>5.5632880499999997</c:v>
                </c:pt>
                <c:pt idx="27">
                  <c:v>5.5631683000000001</c:v>
                </c:pt>
                <c:pt idx="28">
                  <c:v>5.5631934999999997</c:v>
                </c:pt>
                <c:pt idx="29">
                  <c:v>5.5631443999999997</c:v>
                </c:pt>
                <c:pt idx="30">
                  <c:v>5.56321815</c:v>
                </c:pt>
                <c:pt idx="31">
                  <c:v>5.5631368999999999</c:v>
                </c:pt>
                <c:pt idx="32">
                  <c:v>5.5631855000000003</c:v>
                </c:pt>
                <c:pt idx="33">
                  <c:v>5.5631364000000003</c:v>
                </c:pt>
                <c:pt idx="34">
                  <c:v>5.5631994000000002</c:v>
                </c:pt>
                <c:pt idx="35">
                  <c:v>5.5631364000000003</c:v>
                </c:pt>
                <c:pt idx="36">
                  <c:v>3.2831891500000001</c:v>
                </c:pt>
                <c:pt idx="37">
                  <c:v>3.2831055</c:v>
                </c:pt>
                <c:pt idx="38">
                  <c:v>3.28331595</c:v>
                </c:pt>
                <c:pt idx="39">
                  <c:v>3.2831049999999999</c:v>
                </c:pt>
                <c:pt idx="40">
                  <c:v>3.2831622</c:v>
                </c:pt>
                <c:pt idx="41">
                  <c:v>3.2830785499999999</c:v>
                </c:pt>
                <c:pt idx="42">
                  <c:v>3.2831660999999999</c:v>
                </c:pt>
                <c:pt idx="43">
                  <c:v>3.2830780499999999</c:v>
                </c:pt>
                <c:pt idx="44">
                  <c:v>3.2831556000000002</c:v>
                </c:pt>
                <c:pt idx="45">
                  <c:v>3.2830719500000001</c:v>
                </c:pt>
                <c:pt idx="46">
                  <c:v>3.28314065</c:v>
                </c:pt>
                <c:pt idx="47">
                  <c:v>3.28307145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C6-40D3-801E-CD5779C0B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597936"/>
        <c:axId val="1143825440"/>
      </c:lineChart>
      <c:catAx>
        <c:axId val="120059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825440"/>
        <c:crosses val="autoZero"/>
        <c:auto val="1"/>
        <c:lblAlgn val="ctr"/>
        <c:lblOffset val="100"/>
        <c:noMultiLvlLbl val="0"/>
      </c:catAx>
      <c:valAx>
        <c:axId val="114382544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5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470.lbm Total cost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('470.lbm'!$B$75:$B$83,'470.lbm'!$B$89:$B$97,'470.lbm'!$B$105:$B$113,'470.lbm'!$B$119:$B$127)</c:f>
              <c:numCache>
                <c:formatCode>General</c:formatCode>
                <c:ptCount val="36"/>
                <c:pt idx="0">
                  <c:v>1983.9148657999999</c:v>
                </c:pt>
                <c:pt idx="1">
                  <c:v>2455.9248167999999</c:v>
                </c:pt>
                <c:pt idx="2">
                  <c:v>2927.9336766000001</c:v>
                </c:pt>
                <c:pt idx="3">
                  <c:v>2020.7904972000001</c:v>
                </c:pt>
                <c:pt idx="4">
                  <c:v>2492.8005648000003</c:v>
                </c:pt>
                <c:pt idx="5">
                  <c:v>2964.8094156000002</c:v>
                </c:pt>
                <c:pt idx="6">
                  <c:v>2094.5419752000003</c:v>
                </c:pt>
                <c:pt idx="7">
                  <c:v>2566.5520608000002</c:v>
                </c:pt>
                <c:pt idx="8">
                  <c:v>3038.5608936000003</c:v>
                </c:pt>
                <c:pt idx="9">
                  <c:v>1530.0149182</c:v>
                </c:pt>
                <c:pt idx="10">
                  <c:v>1894.0338036000001</c:v>
                </c:pt>
                <c:pt idx="11">
                  <c:v>2258.0515977999999</c:v>
                </c:pt>
                <c:pt idx="12">
                  <c:v>1558.4537475999998</c:v>
                </c:pt>
                <c:pt idx="13">
                  <c:v>1922.4727496</c:v>
                </c:pt>
                <c:pt idx="14">
                  <c:v>2286.4905347999998</c:v>
                </c:pt>
                <c:pt idx="15">
                  <c:v>1615.3316215999998</c:v>
                </c:pt>
                <c:pt idx="16">
                  <c:v>1979.3506416</c:v>
                </c:pt>
                <c:pt idx="17">
                  <c:v>2343.3684088</c:v>
                </c:pt>
                <c:pt idx="18">
                  <c:v>1994.9775881</c:v>
                </c:pt>
                <c:pt idx="19">
                  <c:v>2466.9875412000001</c:v>
                </c:pt>
                <c:pt idx="20">
                  <c:v>2938.9963983000002</c:v>
                </c:pt>
                <c:pt idx="21">
                  <c:v>2031.8532189000002</c:v>
                </c:pt>
                <c:pt idx="22">
                  <c:v>2503.8632892000001</c:v>
                </c:pt>
                <c:pt idx="23">
                  <c:v>2975.8721373000003</c:v>
                </c:pt>
                <c:pt idx="24">
                  <c:v>2105.6046969000004</c:v>
                </c:pt>
                <c:pt idx="25">
                  <c:v>2577.6147851999999</c:v>
                </c:pt>
                <c:pt idx="26">
                  <c:v>3049.6236153000004</c:v>
                </c:pt>
                <c:pt idx="27">
                  <c:v>1538.5465998999998</c:v>
                </c:pt>
                <c:pt idx="28">
                  <c:v>1902.5654873999999</c:v>
                </c:pt>
                <c:pt idx="29">
                  <c:v>2266.5832788999996</c:v>
                </c:pt>
                <c:pt idx="30">
                  <c:v>1566.9854286999998</c:v>
                </c:pt>
                <c:pt idx="31">
                  <c:v>1931.0044333999999</c:v>
                </c:pt>
                <c:pt idx="32">
                  <c:v>2295.0222159</c:v>
                </c:pt>
                <c:pt idx="33">
                  <c:v>1623.8633026999998</c:v>
                </c:pt>
                <c:pt idx="34">
                  <c:v>1987.8823254000001</c:v>
                </c:pt>
                <c:pt idx="35">
                  <c:v>2351.9000898999998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A-4183-AF39-F439880421DC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('470.lbm'!$C$75:$C$83,'470.lbm'!$C$89:$C$97,'470.lbm'!$C$105:$C$113,'470.lbm'!$C$119:$C$127)</c:f>
              <c:numCache>
                <c:formatCode>General</c:formatCode>
                <c:ptCount val="36"/>
                <c:pt idx="0">
                  <c:v>2020.7906068</c:v>
                </c:pt>
                <c:pt idx="1">
                  <c:v>2492.8000239999997</c:v>
                </c:pt>
                <c:pt idx="2">
                  <c:v>2964.8094156000002</c:v>
                </c:pt>
                <c:pt idx="3">
                  <c:v>2057.6662362000002</c:v>
                </c:pt>
                <c:pt idx="4">
                  <c:v>2529.6757639999996</c:v>
                </c:pt>
                <c:pt idx="5">
                  <c:v>3001.6851546000003</c:v>
                </c:pt>
                <c:pt idx="6">
                  <c:v>2131.4177142000003</c:v>
                </c:pt>
                <c:pt idx="7">
                  <c:v>2603.427244</c:v>
                </c:pt>
                <c:pt idx="8">
                  <c:v>3075.4366326000004</c:v>
                </c:pt>
                <c:pt idx="9">
                  <c:v>1558.4538571999999</c:v>
                </c:pt>
                <c:pt idx="10">
                  <c:v>1922.4722088000001</c:v>
                </c:pt>
                <c:pt idx="11">
                  <c:v>2286.4905347999998</c:v>
                </c:pt>
                <c:pt idx="12">
                  <c:v>1586.8926845999999</c:v>
                </c:pt>
                <c:pt idx="13">
                  <c:v>1950.9110781999998</c:v>
                </c:pt>
                <c:pt idx="14">
                  <c:v>2314.9294717999996</c:v>
                </c:pt>
                <c:pt idx="15">
                  <c:v>1643.7705586</c:v>
                </c:pt>
                <c:pt idx="16">
                  <c:v>2007.7890228000001</c:v>
                </c:pt>
                <c:pt idx="17">
                  <c:v>2371.8073457999999</c:v>
                </c:pt>
                <c:pt idx="18">
                  <c:v>2031.8533290999999</c:v>
                </c:pt>
                <c:pt idx="19">
                  <c:v>2503.8627459999998</c:v>
                </c:pt>
                <c:pt idx="20">
                  <c:v>2975.8721373000003</c:v>
                </c:pt>
                <c:pt idx="21">
                  <c:v>2068.7289579000003</c:v>
                </c:pt>
                <c:pt idx="22">
                  <c:v>2540.7384859999997</c:v>
                </c:pt>
                <c:pt idx="23">
                  <c:v>3012.7478763000004</c:v>
                </c:pt>
                <c:pt idx="24">
                  <c:v>2142.4804359</c:v>
                </c:pt>
                <c:pt idx="25">
                  <c:v>2614.4899659999996</c:v>
                </c:pt>
                <c:pt idx="26">
                  <c:v>3086.4993543</c:v>
                </c:pt>
                <c:pt idx="27">
                  <c:v>1566.9855388999999</c:v>
                </c:pt>
                <c:pt idx="28">
                  <c:v>1931.0038902000001</c:v>
                </c:pt>
                <c:pt idx="29">
                  <c:v>2295.0222159</c:v>
                </c:pt>
                <c:pt idx="30">
                  <c:v>1595.4243657</c:v>
                </c:pt>
                <c:pt idx="31">
                  <c:v>1959.4428282000001</c:v>
                </c:pt>
                <c:pt idx="32">
                  <c:v>2323.4611528999999</c:v>
                </c:pt>
                <c:pt idx="33">
                  <c:v>1652.3022396999997</c:v>
                </c:pt>
                <c:pt idx="34">
                  <c:v>2016.3207041999999</c:v>
                </c:pt>
                <c:pt idx="35">
                  <c:v>2380.3390268999997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A-4183-AF39-F439880421DC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('470.lbm'!$D$75:$D$83,'470.lbm'!$D$89:$D$97,'470.lbm'!$D$105:$D$113,'470.lbm'!$D$119:$D$127)</c:f>
              <c:numCache>
                <c:formatCode>General</c:formatCode>
                <c:ptCount val="36"/>
                <c:pt idx="0">
                  <c:v>2094.5420887999999</c:v>
                </c:pt>
                <c:pt idx="1">
                  <c:v>2566.5514344000003</c:v>
                </c:pt>
                <c:pt idx="2">
                  <c:v>3038.5608936000003</c:v>
                </c:pt>
                <c:pt idx="3">
                  <c:v>2131.4177142000003</c:v>
                </c:pt>
                <c:pt idx="4">
                  <c:v>2603.4271734000004</c:v>
                </c:pt>
                <c:pt idx="5">
                  <c:v>3075.4366326000004</c:v>
                </c:pt>
                <c:pt idx="6">
                  <c:v>2205.1691922</c:v>
                </c:pt>
                <c:pt idx="7">
                  <c:v>2677.1786514</c:v>
                </c:pt>
                <c:pt idx="8">
                  <c:v>3149.1881106000001</c:v>
                </c:pt>
                <c:pt idx="9">
                  <c:v>1615.3317351999999</c:v>
                </c:pt>
                <c:pt idx="10">
                  <c:v>1979.3500151999999</c:v>
                </c:pt>
                <c:pt idx="11">
                  <c:v>2343.3684088</c:v>
                </c:pt>
                <c:pt idx="12">
                  <c:v>1643.7705586</c:v>
                </c:pt>
                <c:pt idx="13">
                  <c:v>2007.7889521999998</c:v>
                </c:pt>
                <c:pt idx="14">
                  <c:v>2371.8073457999999</c:v>
                </c:pt>
                <c:pt idx="15">
                  <c:v>1700.6484325999998</c:v>
                </c:pt>
                <c:pt idx="16">
                  <c:v>2064.6668261999998</c:v>
                </c:pt>
                <c:pt idx="17">
                  <c:v>2428.6852197999997</c:v>
                </c:pt>
                <c:pt idx="18">
                  <c:v>2105.6048111</c:v>
                </c:pt>
                <c:pt idx="19">
                  <c:v>2577.6141561000004</c:v>
                </c:pt>
                <c:pt idx="20">
                  <c:v>3049.6236153000004</c:v>
                </c:pt>
                <c:pt idx="21">
                  <c:v>2142.4804359</c:v>
                </c:pt>
                <c:pt idx="22">
                  <c:v>2614.4898951</c:v>
                </c:pt>
                <c:pt idx="23">
                  <c:v>3086.4993543</c:v>
                </c:pt>
                <c:pt idx="24">
                  <c:v>2216.2319139000001</c:v>
                </c:pt>
                <c:pt idx="25">
                  <c:v>2688.2413731000001</c:v>
                </c:pt>
                <c:pt idx="26">
                  <c:v>3160.2508323000002</c:v>
                </c:pt>
                <c:pt idx="27">
                  <c:v>1623.8634168999999</c:v>
                </c:pt>
                <c:pt idx="28">
                  <c:v>1987.8816962999999</c:v>
                </c:pt>
                <c:pt idx="29">
                  <c:v>2351.9000898999998</c:v>
                </c:pt>
                <c:pt idx="30">
                  <c:v>1652.3022396999997</c:v>
                </c:pt>
                <c:pt idx="31">
                  <c:v>2016.3206332999998</c:v>
                </c:pt>
                <c:pt idx="32">
                  <c:v>2380.3390268999997</c:v>
                </c:pt>
                <c:pt idx="33">
                  <c:v>1709.1801136999998</c:v>
                </c:pt>
                <c:pt idx="34">
                  <c:v>2073.1985072999996</c:v>
                </c:pt>
                <c:pt idx="35">
                  <c:v>2437.2169008999999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A-4183-AF39-F439880421DC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('470.lbm'!$H$75:$H$83,'470.lbm'!$H$89:$H$97,'470.lbm'!$H$105:$H$113,'470.lbm'!$H$119:$H$127)</c:f>
              <c:numCache>
                <c:formatCode>General</c:formatCode>
                <c:ptCount val="36"/>
                <c:pt idx="0">
                  <c:v>1983.9148657999999</c:v>
                </c:pt>
                <c:pt idx="1">
                  <c:v>2455.9248167999999</c:v>
                </c:pt>
                <c:pt idx="2">
                  <c:v>2927.9336766000001</c:v>
                </c:pt>
                <c:pt idx="3">
                  <c:v>2020.7904972000001</c:v>
                </c:pt>
                <c:pt idx="4">
                  <c:v>2492.8005648000003</c:v>
                </c:pt>
                <c:pt idx="5">
                  <c:v>2964.8094156000002</c:v>
                </c:pt>
                <c:pt idx="6">
                  <c:v>2094.5419752000003</c:v>
                </c:pt>
                <c:pt idx="7">
                  <c:v>2566.5520608000002</c:v>
                </c:pt>
                <c:pt idx="8">
                  <c:v>3038.5608935999999</c:v>
                </c:pt>
                <c:pt idx="9">
                  <c:v>1530.0149182</c:v>
                </c:pt>
                <c:pt idx="10">
                  <c:v>1894.0338036000001</c:v>
                </c:pt>
                <c:pt idx="11">
                  <c:v>2258.0515977999999</c:v>
                </c:pt>
                <c:pt idx="12">
                  <c:v>1558.4537475999998</c:v>
                </c:pt>
                <c:pt idx="13">
                  <c:v>1922.4727496</c:v>
                </c:pt>
                <c:pt idx="14">
                  <c:v>2286.4905347999998</c:v>
                </c:pt>
                <c:pt idx="15">
                  <c:v>1615.3316215999998</c:v>
                </c:pt>
                <c:pt idx="16">
                  <c:v>1979.3506416</c:v>
                </c:pt>
                <c:pt idx="17">
                  <c:v>2343.3684088</c:v>
                </c:pt>
                <c:pt idx="18">
                  <c:v>1994.9775881</c:v>
                </c:pt>
                <c:pt idx="19">
                  <c:v>2466.9875412000001</c:v>
                </c:pt>
                <c:pt idx="20">
                  <c:v>2938.9963983000002</c:v>
                </c:pt>
                <c:pt idx="21">
                  <c:v>2031.8532189000002</c:v>
                </c:pt>
                <c:pt idx="22">
                  <c:v>2503.8632892000001</c:v>
                </c:pt>
                <c:pt idx="23">
                  <c:v>2975.8721373000003</c:v>
                </c:pt>
                <c:pt idx="24">
                  <c:v>2105.6046969000004</c:v>
                </c:pt>
                <c:pt idx="25">
                  <c:v>2577.6147851999999</c:v>
                </c:pt>
                <c:pt idx="26">
                  <c:v>3049.6236153000004</c:v>
                </c:pt>
                <c:pt idx="27">
                  <c:v>1538.5465998999998</c:v>
                </c:pt>
                <c:pt idx="28">
                  <c:v>1902.5654873999999</c:v>
                </c:pt>
                <c:pt idx="29">
                  <c:v>2266.5832788999996</c:v>
                </c:pt>
                <c:pt idx="30">
                  <c:v>1566.9854286999998</c:v>
                </c:pt>
                <c:pt idx="31">
                  <c:v>1931.0038222999999</c:v>
                </c:pt>
                <c:pt idx="32">
                  <c:v>2295.0222159</c:v>
                </c:pt>
                <c:pt idx="33">
                  <c:v>1623.8633026999998</c:v>
                </c:pt>
                <c:pt idx="34">
                  <c:v>1987.8823254000001</c:v>
                </c:pt>
                <c:pt idx="35">
                  <c:v>2351.9000898999998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BA-4183-AF39-F439880421DC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('470.lbm'!$I$75:$I$83,'470.lbm'!$I$89:$I$97,'470.lbm'!$I$105:$I$113,'470.lbm'!$I$119:$I$127)</c:f>
              <c:numCache>
                <c:formatCode>General</c:formatCode>
                <c:ptCount val="36"/>
                <c:pt idx="0">
                  <c:v>2020.7906068</c:v>
                </c:pt>
                <c:pt idx="1">
                  <c:v>2492.8000239999997</c:v>
                </c:pt>
                <c:pt idx="2">
                  <c:v>2964.8094156000002</c:v>
                </c:pt>
                <c:pt idx="3">
                  <c:v>2057.6662362000002</c:v>
                </c:pt>
                <c:pt idx="4">
                  <c:v>2529.6757639999996</c:v>
                </c:pt>
                <c:pt idx="5">
                  <c:v>3001.6851546000003</c:v>
                </c:pt>
                <c:pt idx="6">
                  <c:v>2131.4177142000003</c:v>
                </c:pt>
                <c:pt idx="7">
                  <c:v>2603.427244</c:v>
                </c:pt>
                <c:pt idx="8">
                  <c:v>3075.4366326000004</c:v>
                </c:pt>
                <c:pt idx="9">
                  <c:v>1558.4538571999999</c:v>
                </c:pt>
                <c:pt idx="10">
                  <c:v>1922.4722088000001</c:v>
                </c:pt>
                <c:pt idx="11">
                  <c:v>2286.4905347999998</c:v>
                </c:pt>
                <c:pt idx="12">
                  <c:v>1586.8926845999999</c:v>
                </c:pt>
                <c:pt idx="13">
                  <c:v>1950.9111468000001</c:v>
                </c:pt>
                <c:pt idx="14">
                  <c:v>2314.9294717999996</c:v>
                </c:pt>
                <c:pt idx="15">
                  <c:v>1643.7705586</c:v>
                </c:pt>
                <c:pt idx="16">
                  <c:v>2007.7890228000001</c:v>
                </c:pt>
                <c:pt idx="17">
                  <c:v>2371.8073457999999</c:v>
                </c:pt>
                <c:pt idx="18">
                  <c:v>2031.8533290999999</c:v>
                </c:pt>
                <c:pt idx="19">
                  <c:v>2503.8627459999998</c:v>
                </c:pt>
                <c:pt idx="20">
                  <c:v>2975.8721373000003</c:v>
                </c:pt>
                <c:pt idx="21">
                  <c:v>2068.7289579000003</c:v>
                </c:pt>
                <c:pt idx="22">
                  <c:v>2540.7384859999997</c:v>
                </c:pt>
                <c:pt idx="23">
                  <c:v>3012.7478763000004</c:v>
                </c:pt>
                <c:pt idx="24">
                  <c:v>2142.4804359</c:v>
                </c:pt>
                <c:pt idx="25">
                  <c:v>2614.4899659999996</c:v>
                </c:pt>
                <c:pt idx="26">
                  <c:v>3086.4993543</c:v>
                </c:pt>
                <c:pt idx="27">
                  <c:v>1566.9855388999999</c:v>
                </c:pt>
                <c:pt idx="28">
                  <c:v>1931.0038902000001</c:v>
                </c:pt>
                <c:pt idx="29">
                  <c:v>2295.0222159</c:v>
                </c:pt>
                <c:pt idx="30">
                  <c:v>1595.4243657</c:v>
                </c:pt>
                <c:pt idx="31">
                  <c:v>1959.4427592999998</c:v>
                </c:pt>
                <c:pt idx="32">
                  <c:v>2323.4611528999999</c:v>
                </c:pt>
                <c:pt idx="33">
                  <c:v>1652.3022396999997</c:v>
                </c:pt>
                <c:pt idx="34">
                  <c:v>2016.3207041999999</c:v>
                </c:pt>
                <c:pt idx="35">
                  <c:v>2380.3390268999997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BA-4183-AF39-F439880421DC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('470.lbm'!$J$75:$J$83,'470.lbm'!$J$89:$J$97,'470.lbm'!$J$105:$J$113,'470.lbm'!$J$119:$J$127)</c:f>
              <c:numCache>
                <c:formatCode>General</c:formatCode>
                <c:ptCount val="36"/>
                <c:pt idx="0">
                  <c:v>2094.5420887999999</c:v>
                </c:pt>
                <c:pt idx="1">
                  <c:v>2566.5514344000003</c:v>
                </c:pt>
                <c:pt idx="2">
                  <c:v>3038.5608936000003</c:v>
                </c:pt>
                <c:pt idx="3">
                  <c:v>2131.4177142000003</c:v>
                </c:pt>
                <c:pt idx="4">
                  <c:v>2603.4271734000004</c:v>
                </c:pt>
                <c:pt idx="5">
                  <c:v>3075.4366326000004</c:v>
                </c:pt>
                <c:pt idx="6">
                  <c:v>2205.1691922</c:v>
                </c:pt>
                <c:pt idx="7">
                  <c:v>2677.1786514</c:v>
                </c:pt>
                <c:pt idx="8">
                  <c:v>3149.1881106000001</c:v>
                </c:pt>
                <c:pt idx="9">
                  <c:v>1615.3317351999999</c:v>
                </c:pt>
                <c:pt idx="10">
                  <c:v>1979.3500151999999</c:v>
                </c:pt>
                <c:pt idx="11">
                  <c:v>2343.3684088</c:v>
                </c:pt>
                <c:pt idx="12">
                  <c:v>1643.7705586</c:v>
                </c:pt>
                <c:pt idx="13">
                  <c:v>2007.7889521999998</c:v>
                </c:pt>
                <c:pt idx="14">
                  <c:v>2371.8073457999999</c:v>
                </c:pt>
                <c:pt idx="15">
                  <c:v>1700.6484325999998</c:v>
                </c:pt>
                <c:pt idx="16">
                  <c:v>2064.6668261999998</c:v>
                </c:pt>
                <c:pt idx="17">
                  <c:v>2428.6852197999997</c:v>
                </c:pt>
                <c:pt idx="18">
                  <c:v>2105.6048111</c:v>
                </c:pt>
                <c:pt idx="19">
                  <c:v>2577.6141561000004</c:v>
                </c:pt>
                <c:pt idx="20">
                  <c:v>3049.6236153000004</c:v>
                </c:pt>
                <c:pt idx="21">
                  <c:v>2142.4804359</c:v>
                </c:pt>
                <c:pt idx="22">
                  <c:v>2614.4898951</c:v>
                </c:pt>
                <c:pt idx="23">
                  <c:v>3086.4993543</c:v>
                </c:pt>
                <c:pt idx="24">
                  <c:v>2216.2319139000001</c:v>
                </c:pt>
                <c:pt idx="25">
                  <c:v>2688.2413731000001</c:v>
                </c:pt>
                <c:pt idx="26">
                  <c:v>3160.2508323000002</c:v>
                </c:pt>
                <c:pt idx="27">
                  <c:v>1623.8634168999999</c:v>
                </c:pt>
                <c:pt idx="28">
                  <c:v>1987.8816962999999</c:v>
                </c:pt>
                <c:pt idx="29">
                  <c:v>2351.9000898999998</c:v>
                </c:pt>
                <c:pt idx="30">
                  <c:v>1652.3022396999997</c:v>
                </c:pt>
                <c:pt idx="31">
                  <c:v>2016.3206332999998</c:v>
                </c:pt>
                <c:pt idx="32">
                  <c:v>2380.3390268999997</c:v>
                </c:pt>
                <c:pt idx="33">
                  <c:v>1709.1801136999998</c:v>
                </c:pt>
                <c:pt idx="34">
                  <c:v>2073.1985072999996</c:v>
                </c:pt>
                <c:pt idx="35">
                  <c:v>2437.2169008999999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BA-4183-AF39-F439880421DC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('470.lbm'!$N$75:$N$83,'470.lbm'!$N$89:$N$97,'470.lbm'!$N$105:$N$113,'470.lbm'!$N$119:$N$127)</c:f>
              <c:numCache>
                <c:formatCode>General</c:formatCode>
                <c:ptCount val="36"/>
                <c:pt idx="0">
                  <c:v>1983.9148657999999</c:v>
                </c:pt>
                <c:pt idx="1">
                  <c:v>2455.9248167999999</c:v>
                </c:pt>
                <c:pt idx="2">
                  <c:v>2927.9336766000001</c:v>
                </c:pt>
                <c:pt idx="3">
                  <c:v>2020.7904972000001</c:v>
                </c:pt>
                <c:pt idx="4">
                  <c:v>2492.8005648000003</c:v>
                </c:pt>
                <c:pt idx="5">
                  <c:v>2964.8094156000002</c:v>
                </c:pt>
                <c:pt idx="6">
                  <c:v>2094.5419751999998</c:v>
                </c:pt>
                <c:pt idx="7">
                  <c:v>2566.5520608000002</c:v>
                </c:pt>
                <c:pt idx="8">
                  <c:v>3038.5608936000003</c:v>
                </c:pt>
                <c:pt idx="9">
                  <c:v>1530.0149182</c:v>
                </c:pt>
                <c:pt idx="10">
                  <c:v>1894.0338036000001</c:v>
                </c:pt>
                <c:pt idx="11">
                  <c:v>2258.0515977999999</c:v>
                </c:pt>
                <c:pt idx="12">
                  <c:v>1558.4537475999998</c:v>
                </c:pt>
                <c:pt idx="13">
                  <c:v>1922.4727496</c:v>
                </c:pt>
                <c:pt idx="14">
                  <c:v>2286.4905347999998</c:v>
                </c:pt>
                <c:pt idx="15">
                  <c:v>1615.3316215999998</c:v>
                </c:pt>
                <c:pt idx="16">
                  <c:v>1979.3506416</c:v>
                </c:pt>
                <c:pt idx="17">
                  <c:v>2343.3684088</c:v>
                </c:pt>
                <c:pt idx="18">
                  <c:v>1994.9775881</c:v>
                </c:pt>
                <c:pt idx="19">
                  <c:v>2466.9875412000001</c:v>
                </c:pt>
                <c:pt idx="20">
                  <c:v>2938.9963983000002</c:v>
                </c:pt>
                <c:pt idx="21">
                  <c:v>2031.8532189000002</c:v>
                </c:pt>
                <c:pt idx="22">
                  <c:v>2503.8632892000001</c:v>
                </c:pt>
                <c:pt idx="23">
                  <c:v>2975.8721373000003</c:v>
                </c:pt>
                <c:pt idx="24">
                  <c:v>2105.6046969000004</c:v>
                </c:pt>
                <c:pt idx="25">
                  <c:v>2577.6147851999999</c:v>
                </c:pt>
                <c:pt idx="26">
                  <c:v>3049.6236153000004</c:v>
                </c:pt>
                <c:pt idx="27">
                  <c:v>1538.5465998999998</c:v>
                </c:pt>
                <c:pt idx="28">
                  <c:v>1902.5654873999999</c:v>
                </c:pt>
                <c:pt idx="29">
                  <c:v>2266.5832788999996</c:v>
                </c:pt>
                <c:pt idx="30">
                  <c:v>1566.9854286999998</c:v>
                </c:pt>
                <c:pt idx="31">
                  <c:v>1931.0038222999999</c:v>
                </c:pt>
                <c:pt idx="32">
                  <c:v>2295.0222159</c:v>
                </c:pt>
                <c:pt idx="33">
                  <c:v>1623.8633026999998</c:v>
                </c:pt>
                <c:pt idx="34">
                  <c:v>1987.8823254000001</c:v>
                </c:pt>
                <c:pt idx="35">
                  <c:v>2351.9000898999998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BA-4183-AF39-F439880421DC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('470.lbm'!$O$75:$O$83,'470.lbm'!$O$89:$O$97,'470.lbm'!$O$105:$O$113,'470.lbm'!$O$119:$O$127)</c:f>
              <c:numCache>
                <c:formatCode>General</c:formatCode>
                <c:ptCount val="36"/>
                <c:pt idx="0">
                  <c:v>2020.7906068</c:v>
                </c:pt>
                <c:pt idx="1">
                  <c:v>2492.8000239999997</c:v>
                </c:pt>
                <c:pt idx="2">
                  <c:v>2964.8094156000002</c:v>
                </c:pt>
                <c:pt idx="3">
                  <c:v>2057.6662362000002</c:v>
                </c:pt>
                <c:pt idx="4">
                  <c:v>2529.6757639999996</c:v>
                </c:pt>
                <c:pt idx="5">
                  <c:v>3001.6851546000003</c:v>
                </c:pt>
                <c:pt idx="6">
                  <c:v>2131.4177142000003</c:v>
                </c:pt>
                <c:pt idx="7">
                  <c:v>2603.427244</c:v>
                </c:pt>
                <c:pt idx="8">
                  <c:v>3075.4366326000004</c:v>
                </c:pt>
                <c:pt idx="9">
                  <c:v>1558.4538571999999</c:v>
                </c:pt>
                <c:pt idx="10">
                  <c:v>1922.4722088000001</c:v>
                </c:pt>
                <c:pt idx="11">
                  <c:v>2286.4905347999998</c:v>
                </c:pt>
                <c:pt idx="12">
                  <c:v>1586.8926845999999</c:v>
                </c:pt>
                <c:pt idx="13">
                  <c:v>1950.9111468000001</c:v>
                </c:pt>
                <c:pt idx="14">
                  <c:v>2314.9294717999996</c:v>
                </c:pt>
                <c:pt idx="15">
                  <c:v>1643.7705586</c:v>
                </c:pt>
                <c:pt idx="16">
                  <c:v>2007.7890228000001</c:v>
                </c:pt>
                <c:pt idx="17">
                  <c:v>2371.8073457999999</c:v>
                </c:pt>
                <c:pt idx="18">
                  <c:v>2031.8533290999999</c:v>
                </c:pt>
                <c:pt idx="19">
                  <c:v>2503.8627459999998</c:v>
                </c:pt>
                <c:pt idx="20">
                  <c:v>2975.8721373000003</c:v>
                </c:pt>
                <c:pt idx="21">
                  <c:v>2068.7289579000003</c:v>
                </c:pt>
                <c:pt idx="22">
                  <c:v>2540.7384859999997</c:v>
                </c:pt>
                <c:pt idx="23">
                  <c:v>3012.7478763000004</c:v>
                </c:pt>
                <c:pt idx="24">
                  <c:v>2142.4804359</c:v>
                </c:pt>
                <c:pt idx="25">
                  <c:v>2614.4899659999996</c:v>
                </c:pt>
                <c:pt idx="26">
                  <c:v>3086.4993543</c:v>
                </c:pt>
                <c:pt idx="27">
                  <c:v>1566.9855388999999</c:v>
                </c:pt>
                <c:pt idx="28">
                  <c:v>1931.0038902000001</c:v>
                </c:pt>
                <c:pt idx="29">
                  <c:v>2295.0222159</c:v>
                </c:pt>
                <c:pt idx="30">
                  <c:v>1595.4243657</c:v>
                </c:pt>
                <c:pt idx="31">
                  <c:v>1959.4427592999998</c:v>
                </c:pt>
                <c:pt idx="32">
                  <c:v>2323.4611528999999</c:v>
                </c:pt>
                <c:pt idx="33">
                  <c:v>1652.3022396999997</c:v>
                </c:pt>
                <c:pt idx="34">
                  <c:v>2016.3207041999999</c:v>
                </c:pt>
                <c:pt idx="35">
                  <c:v>2380.3390268999997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BA-4183-AF39-F439880421DC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('470.lbm'!$P$75:$P$83,'470.lbm'!$P$89:$P$97,'470.lbm'!$P$105:$P$113,'470.lbm'!$P$119:$P$127)</c:f>
              <c:numCache>
                <c:formatCode>General</c:formatCode>
                <c:ptCount val="36"/>
                <c:pt idx="0">
                  <c:v>2094.5420887999999</c:v>
                </c:pt>
                <c:pt idx="1">
                  <c:v>2566.5514344000003</c:v>
                </c:pt>
                <c:pt idx="2">
                  <c:v>3038.5608936000003</c:v>
                </c:pt>
                <c:pt idx="3">
                  <c:v>2131.4177142000003</c:v>
                </c:pt>
                <c:pt idx="4">
                  <c:v>2603.4271734000004</c:v>
                </c:pt>
                <c:pt idx="5">
                  <c:v>3075.4366326000004</c:v>
                </c:pt>
                <c:pt idx="6">
                  <c:v>2205.1691922</c:v>
                </c:pt>
                <c:pt idx="7">
                  <c:v>2677.1786514</c:v>
                </c:pt>
                <c:pt idx="8">
                  <c:v>3149.1881106000001</c:v>
                </c:pt>
                <c:pt idx="9">
                  <c:v>1615.3317351999999</c:v>
                </c:pt>
                <c:pt idx="10">
                  <c:v>1979.3500151999999</c:v>
                </c:pt>
                <c:pt idx="11">
                  <c:v>2343.3684088</c:v>
                </c:pt>
                <c:pt idx="12">
                  <c:v>1643.7705586</c:v>
                </c:pt>
                <c:pt idx="13">
                  <c:v>2007.7889521999998</c:v>
                </c:pt>
                <c:pt idx="14">
                  <c:v>2371.8073457999999</c:v>
                </c:pt>
                <c:pt idx="15">
                  <c:v>1700.6484325999998</c:v>
                </c:pt>
                <c:pt idx="16">
                  <c:v>2064.6668261999998</c:v>
                </c:pt>
                <c:pt idx="17">
                  <c:v>2428.6852197999997</c:v>
                </c:pt>
                <c:pt idx="18">
                  <c:v>2105.6048111</c:v>
                </c:pt>
                <c:pt idx="19">
                  <c:v>2577.6141561000004</c:v>
                </c:pt>
                <c:pt idx="20">
                  <c:v>3049.6236153000004</c:v>
                </c:pt>
                <c:pt idx="21">
                  <c:v>2142.4804359</c:v>
                </c:pt>
                <c:pt idx="22">
                  <c:v>2614.4898951</c:v>
                </c:pt>
                <c:pt idx="23">
                  <c:v>3086.4993543</c:v>
                </c:pt>
                <c:pt idx="24">
                  <c:v>2216.2319139000001</c:v>
                </c:pt>
                <c:pt idx="25">
                  <c:v>2688.2413731000001</c:v>
                </c:pt>
                <c:pt idx="26">
                  <c:v>3160.2508323000002</c:v>
                </c:pt>
                <c:pt idx="27">
                  <c:v>1623.8634168999999</c:v>
                </c:pt>
                <c:pt idx="28">
                  <c:v>1987.8816962999999</c:v>
                </c:pt>
                <c:pt idx="29">
                  <c:v>2351.9000898999998</c:v>
                </c:pt>
                <c:pt idx="30">
                  <c:v>1652.3022396999997</c:v>
                </c:pt>
                <c:pt idx="31">
                  <c:v>2016.3206332999998</c:v>
                </c:pt>
                <c:pt idx="32">
                  <c:v>2380.3390268999997</c:v>
                </c:pt>
                <c:pt idx="33">
                  <c:v>1709.1801136999998</c:v>
                </c:pt>
                <c:pt idx="34">
                  <c:v>2073.1985072999996</c:v>
                </c:pt>
                <c:pt idx="35">
                  <c:v>2437.2169008999999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BA-4183-AF39-F43988042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174144"/>
        <c:axId val="1792131472"/>
      </c:lineChart>
      <c:catAx>
        <c:axId val="161417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131472"/>
        <c:crosses val="autoZero"/>
        <c:auto val="1"/>
        <c:lblAlgn val="ctr"/>
        <c:lblOffset val="100"/>
        <c:noMultiLvlLbl val="0"/>
      </c:catAx>
      <c:valAx>
        <c:axId val="17921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1682750</xdr:colOff>
      <xdr:row>155</xdr:row>
      <xdr:rowOff>28574</xdr:rowOff>
    </xdr:from>
    <xdr:to>
      <xdr:col>19</xdr:col>
      <xdr:colOff>1371600</xdr:colOff>
      <xdr:row>188</xdr:row>
      <xdr:rowOff>57149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D3B4AD3-4B12-42DA-9C4D-E9828E0C8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69850</xdr:colOff>
      <xdr:row>15</xdr:row>
      <xdr:rowOff>15874</xdr:rowOff>
    </xdr:from>
    <xdr:to>
      <xdr:col>21</xdr:col>
      <xdr:colOff>1035050</xdr:colOff>
      <xdr:row>45</xdr:row>
      <xdr:rowOff>107949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5B60938-F62A-4272-9C39-A50CBC1D0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146050</xdr:colOff>
      <xdr:row>21</xdr:row>
      <xdr:rowOff>22225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759D23-99B1-42F3-9777-C7DC75D9C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0</xdr:row>
      <xdr:rowOff>44450</xdr:rowOff>
    </xdr:from>
    <xdr:to>
      <xdr:col>17</xdr:col>
      <xdr:colOff>647700</xdr:colOff>
      <xdr:row>23</xdr:row>
      <xdr:rowOff>69850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025A5CF-FBD6-4C05-B3ED-66DA3006C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41274</xdr:rowOff>
    </xdr:from>
    <xdr:to>
      <xdr:col>6</xdr:col>
      <xdr:colOff>615950</xdr:colOff>
      <xdr:row>45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2CF02C9-ACD1-4801-A256-05A2437A7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469900</xdr:colOff>
      <xdr:row>24</xdr:row>
      <xdr:rowOff>34924</xdr:rowOff>
    </xdr:from>
    <xdr:to>
      <xdr:col>14</xdr:col>
      <xdr:colOff>247650</xdr:colOff>
      <xdr:row>45</xdr:row>
      <xdr:rowOff>158749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7512511-3E0B-47B0-A76B-6C4ECA698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</xdr:colOff>
      <xdr:row>47</xdr:row>
      <xdr:rowOff>22224</xdr:rowOff>
    </xdr:from>
    <xdr:to>
      <xdr:col>6</xdr:col>
      <xdr:colOff>101600</xdr:colOff>
      <xdr:row>69</xdr:row>
      <xdr:rowOff>146049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EC20988-A67A-4826-8971-089254D4F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119</xdr:row>
      <xdr:rowOff>149225</xdr:rowOff>
    </xdr:from>
    <xdr:to>
      <xdr:col>14</xdr:col>
      <xdr:colOff>1504950</xdr:colOff>
      <xdr:row>149</xdr:row>
      <xdr:rowOff>171451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C9C457-4C98-4DB0-9445-2FCFC670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1028700</xdr:colOff>
      <xdr:row>37</xdr:row>
      <xdr:rowOff>73024</xdr:rowOff>
    </xdr:from>
    <xdr:to>
      <xdr:col>15</xdr:col>
      <xdr:colOff>1098550</xdr:colOff>
      <xdr:row>69</xdr:row>
      <xdr:rowOff>57149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D949600-C001-45FC-8ED6-3FAA39008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42</xdr:row>
      <xdr:rowOff>161924</xdr:rowOff>
    </xdr:from>
    <xdr:to>
      <xdr:col>13</xdr:col>
      <xdr:colOff>1181100</xdr:colOff>
      <xdr:row>71</xdr:row>
      <xdr:rowOff>146049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7BD97D-2C07-4558-8900-86CBBAA12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723900</xdr:colOff>
      <xdr:row>138</xdr:row>
      <xdr:rowOff>79374</xdr:rowOff>
    </xdr:from>
    <xdr:to>
      <xdr:col>13</xdr:col>
      <xdr:colOff>1308100</xdr:colOff>
      <xdr:row>168</xdr:row>
      <xdr:rowOff>69849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1F5680D-FCD1-4807-8083-C1B20B10A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641350</xdr:colOff>
      <xdr:row>126</xdr:row>
      <xdr:rowOff>111124</xdr:rowOff>
    </xdr:from>
    <xdr:to>
      <xdr:col>23</xdr:col>
      <xdr:colOff>419100</xdr:colOff>
      <xdr:row>161</xdr:row>
      <xdr:rowOff>44449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35F3E1-CE39-4859-ABB7-19F8EB5D4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768350</xdr:colOff>
      <xdr:row>35</xdr:row>
      <xdr:rowOff>92074</xdr:rowOff>
    </xdr:from>
    <xdr:to>
      <xdr:col>19</xdr:col>
      <xdr:colOff>19050</xdr:colOff>
      <xdr:row>65</xdr:row>
      <xdr:rowOff>177799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A8C7646-1AB4-4425-81CD-36D2EA28C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927100</xdr:colOff>
      <xdr:row>90</xdr:row>
      <xdr:rowOff>111124</xdr:rowOff>
    </xdr:from>
    <xdr:to>
      <xdr:col>14</xdr:col>
      <xdr:colOff>857250</xdr:colOff>
      <xdr:row>118</xdr:row>
      <xdr:rowOff>69849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DF9014-6114-4AF0-B3F2-5C6BCF14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1689100</xdr:colOff>
      <xdr:row>8</xdr:row>
      <xdr:rowOff>66674</xdr:rowOff>
    </xdr:from>
    <xdr:to>
      <xdr:col>13</xdr:col>
      <xdr:colOff>1917700</xdr:colOff>
      <xdr:row>39</xdr:row>
      <xdr:rowOff>63499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A4D6D0D-57AD-4B11-9AB0-B7577D6DC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127000</xdr:colOff>
      <xdr:row>26</xdr:row>
      <xdr:rowOff>41275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33E14FD-E061-4D0F-8E7B-E9A1A9098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158750</xdr:colOff>
      <xdr:row>0</xdr:row>
      <xdr:rowOff>0</xdr:rowOff>
    </xdr:from>
    <xdr:to>
      <xdr:col>12</xdr:col>
      <xdr:colOff>355600</xdr:colOff>
      <xdr:row>25</xdr:row>
      <xdr:rowOff>158750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B0B3B67-2547-43E1-AB57-1C447FAD5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66674</xdr:rowOff>
    </xdr:from>
    <xdr:to>
      <xdr:col>6</xdr:col>
      <xdr:colOff>133350</xdr:colOff>
      <xdr:row>52</xdr:row>
      <xdr:rowOff>114300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93546DA-4D8A-4518-8ECF-57093F515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120650</xdr:colOff>
      <xdr:row>25</xdr:row>
      <xdr:rowOff>161924</xdr:rowOff>
    </xdr:from>
    <xdr:to>
      <xdr:col>12</xdr:col>
      <xdr:colOff>641350</xdr:colOff>
      <xdr:row>52</xdr:row>
      <xdr:rowOff>146049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44D460B-A111-4302-97A9-30700DA44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165100</xdr:colOff>
      <xdr:row>53</xdr:row>
      <xdr:rowOff>60324</xdr:rowOff>
    </xdr:from>
    <xdr:to>
      <xdr:col>6</xdr:col>
      <xdr:colOff>190500</xdr:colOff>
      <xdr:row>79</xdr:row>
      <xdr:rowOff>6349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8EE4557-4433-43D4-A7B2-A881CC925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247650</xdr:colOff>
      <xdr:row>25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42E469-4937-4873-A4A7-033821EDA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349250</xdr:colOff>
      <xdr:row>0</xdr:row>
      <xdr:rowOff>0</xdr:rowOff>
    </xdr:from>
    <xdr:to>
      <xdr:col>16</xdr:col>
      <xdr:colOff>209550</xdr:colOff>
      <xdr:row>24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217941D-C91B-471D-A56A-2F6CCD58F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292100</xdr:colOff>
      <xdr:row>25</xdr:row>
      <xdr:rowOff>85724</xdr:rowOff>
    </xdr:from>
    <xdr:to>
      <xdr:col>16</xdr:col>
      <xdr:colOff>209550</xdr:colOff>
      <xdr:row>51</xdr:row>
      <xdr:rowOff>158749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6BB4920-B56D-4593-BE74-03BAD5FBE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50800</xdr:colOff>
      <xdr:row>25</xdr:row>
      <xdr:rowOff>142874</xdr:rowOff>
    </xdr:from>
    <xdr:to>
      <xdr:col>8</xdr:col>
      <xdr:colOff>520700</xdr:colOff>
      <xdr:row>52</xdr:row>
      <xdr:rowOff>44449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B05297C-9CBA-492F-B028-909270E6D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279400</xdr:colOff>
      <xdr:row>53</xdr:row>
      <xdr:rowOff>34924</xdr:rowOff>
    </xdr:from>
    <xdr:to>
      <xdr:col>7</xdr:col>
      <xdr:colOff>222250</xdr:colOff>
      <xdr:row>78</xdr:row>
      <xdr:rowOff>177799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4196CFD-0199-4834-9499-CD18BAC2C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342900</xdr:colOff>
      <xdr:row>28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1DEE33-105F-4BD3-A433-0C5A44000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234950</xdr:colOff>
      <xdr:row>0</xdr:row>
      <xdr:rowOff>0</xdr:rowOff>
    </xdr:from>
    <xdr:to>
      <xdr:col>14</xdr:col>
      <xdr:colOff>704850</xdr:colOff>
      <xdr:row>27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AAD02CA-EB0E-438F-89C7-51773F7B7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69850</xdr:colOff>
      <xdr:row>28</xdr:row>
      <xdr:rowOff>161924</xdr:rowOff>
    </xdr:from>
    <xdr:to>
      <xdr:col>8</xdr:col>
      <xdr:colOff>222250</xdr:colOff>
      <xdr:row>52</xdr:row>
      <xdr:rowOff>76199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2DBCC2E-2CA6-4B56-B1AE-C9427392A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215900</xdr:colOff>
      <xdr:row>28</xdr:row>
      <xdr:rowOff>104774</xdr:rowOff>
    </xdr:from>
    <xdr:to>
      <xdr:col>14</xdr:col>
      <xdr:colOff>800100</xdr:colOff>
      <xdr:row>52</xdr:row>
      <xdr:rowOff>57149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56E9E53-AEA4-4132-9560-BDFCA2442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55</xdr:row>
      <xdr:rowOff>34924</xdr:rowOff>
    </xdr:from>
    <xdr:to>
      <xdr:col>5</xdr:col>
      <xdr:colOff>419100</xdr:colOff>
      <xdr:row>78</xdr:row>
      <xdr:rowOff>177799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EF3A9D7-7D98-4EC2-8C3F-29DED1562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63500</xdr:colOff>
      <xdr:row>25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BD8A83-8E43-499F-B47D-C2F87A6CF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546100</xdr:colOff>
      <xdr:row>0</xdr:row>
      <xdr:rowOff>0</xdr:rowOff>
    </xdr:from>
    <xdr:to>
      <xdr:col>13</xdr:col>
      <xdr:colOff>1809750</xdr:colOff>
      <xdr:row>25</xdr:row>
      <xdr:rowOff>28576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DFBB9D7-2C7C-49F8-A148-0F284954B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463550</xdr:colOff>
      <xdr:row>27</xdr:row>
      <xdr:rowOff>9525</xdr:rowOff>
    </xdr:from>
    <xdr:to>
      <xdr:col>7</xdr:col>
      <xdr:colOff>114300</xdr:colOff>
      <xdr:row>47</xdr:row>
      <xdr:rowOff>95251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0196015-B3CA-4282-B7E5-77B3C9695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311150</xdr:colOff>
      <xdr:row>26</xdr:row>
      <xdr:rowOff>3174</xdr:rowOff>
    </xdr:from>
    <xdr:to>
      <xdr:col>14</xdr:col>
      <xdr:colOff>19050</xdr:colOff>
      <xdr:row>48</xdr:row>
      <xdr:rowOff>31749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64B9225-E559-4BFA-BD29-D6F82EFFD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196850</xdr:colOff>
      <xdr:row>48</xdr:row>
      <xdr:rowOff>111124</xdr:rowOff>
    </xdr:from>
    <xdr:to>
      <xdr:col>7</xdr:col>
      <xdr:colOff>209550</xdr:colOff>
      <xdr:row>75</xdr:row>
      <xdr:rowOff>171449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5CFC416-4487-4BC5-A13B-8E72CAC1A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8CC8-2724-492A-8179-9BE6422A53E0}">
  <sheetPr>
    <tabColor rgb="FF7030A0"/>
  </sheetPr>
  <dimension ref="A1:W150"/>
  <sheetViews>
    <sheetView topLeftCell="A94" zoomScaleNormal="100" workbookViewId="0">
      <selection activeCell="H139" sqref="H139"/>
    </sheetView>
  </sheetViews>
  <sheetFormatPr defaultRowHeight="14" x14ac:dyDescent="0.3"/>
  <cols>
    <col min="1" max="1" width="12.1640625" bestFit="1" customWidth="1"/>
    <col min="2" max="4" width="26.33203125" bestFit="1" customWidth="1"/>
    <col min="5" max="5" width="27.25" bestFit="1" customWidth="1"/>
    <col min="7" max="7" width="12.1640625" bestFit="1" customWidth="1"/>
    <col min="8" max="10" width="26.33203125" bestFit="1" customWidth="1"/>
    <col min="11" max="11" width="27.25" bestFit="1" customWidth="1"/>
    <col min="13" max="13" width="12.1640625" bestFit="1" customWidth="1"/>
    <col min="14" max="16" width="26.33203125" bestFit="1" customWidth="1"/>
    <col min="17" max="17" width="27.25" bestFit="1" customWidth="1"/>
    <col min="19" max="19" width="12.1640625" bestFit="1" customWidth="1"/>
    <col min="20" max="22" width="26.33203125" bestFit="1" customWidth="1"/>
    <col min="23" max="23" width="27.25" bestFit="1" customWidth="1"/>
  </cols>
  <sheetData>
    <row r="1" spans="1:23" x14ac:dyDescent="0.3">
      <c r="A1" s="21" t="s">
        <v>7</v>
      </c>
      <c r="B1" s="23" t="s">
        <v>9</v>
      </c>
      <c r="C1" s="23" t="s">
        <v>17</v>
      </c>
      <c r="G1" s="21" t="s">
        <v>7</v>
      </c>
      <c r="H1" s="23" t="s">
        <v>10</v>
      </c>
      <c r="I1" s="23" t="s">
        <v>17</v>
      </c>
      <c r="M1" s="21" t="s">
        <v>7</v>
      </c>
      <c r="N1" s="23" t="s">
        <v>11</v>
      </c>
      <c r="O1" s="23" t="s">
        <v>17</v>
      </c>
      <c r="S1" s="21" t="s">
        <v>7</v>
      </c>
      <c r="T1" s="23" t="s">
        <v>12</v>
      </c>
      <c r="U1" s="23" t="s">
        <v>17</v>
      </c>
    </row>
    <row r="2" spans="1:23" x14ac:dyDescent="0.3">
      <c r="A2" s="22"/>
      <c r="B2" s="23"/>
      <c r="C2" s="23"/>
      <c r="G2" s="22"/>
      <c r="H2" s="23"/>
      <c r="I2" s="23"/>
      <c r="M2" s="22"/>
      <c r="N2" s="23"/>
      <c r="O2" s="23"/>
      <c r="S2" s="22"/>
      <c r="T2" s="23"/>
      <c r="U2" s="23"/>
    </row>
    <row r="3" spans="1:23" ht="14.5" thickBot="1" x14ac:dyDescent="0.35">
      <c r="B3" t="s">
        <v>1</v>
      </c>
      <c r="C3" t="s">
        <v>2</v>
      </c>
      <c r="D3" t="s">
        <v>3</v>
      </c>
      <c r="H3" t="s">
        <v>1</v>
      </c>
      <c r="I3" t="s">
        <v>2</v>
      </c>
      <c r="J3" t="s">
        <v>3</v>
      </c>
      <c r="N3" t="s">
        <v>1</v>
      </c>
      <c r="O3" t="s">
        <v>2</v>
      </c>
      <c r="P3" t="s">
        <v>3</v>
      </c>
      <c r="T3" t="s">
        <v>1</v>
      </c>
      <c r="U3" t="s">
        <v>2</v>
      </c>
      <c r="V3" t="s">
        <v>3</v>
      </c>
    </row>
    <row r="4" spans="1:23" x14ac:dyDescent="0.3">
      <c r="A4" s="1" t="s">
        <v>16</v>
      </c>
      <c r="B4" s="7">
        <v>1.15964205</v>
      </c>
      <c r="C4" s="7">
        <v>1.1596391500000001</v>
      </c>
      <c r="D4" s="7">
        <v>1.1596375999999999</v>
      </c>
      <c r="E4" s="1" t="s">
        <v>4</v>
      </c>
      <c r="G4" s="1" t="s">
        <v>16</v>
      </c>
      <c r="H4" s="7">
        <v>1.15745805</v>
      </c>
      <c r="I4" s="7">
        <v>1.1574566500000001</v>
      </c>
      <c r="J4" s="7">
        <v>1.1574536</v>
      </c>
      <c r="K4" s="1" t="s">
        <v>4</v>
      </c>
      <c r="M4" s="1" t="s">
        <v>16</v>
      </c>
      <c r="N4" s="7">
        <v>1.1528025500000001</v>
      </c>
      <c r="O4" s="7">
        <v>1.1527991499999999</v>
      </c>
      <c r="P4" s="7">
        <v>1.1527986000000001</v>
      </c>
      <c r="Q4" s="1" t="s">
        <v>4</v>
      </c>
      <c r="S4" s="1" t="s">
        <v>16</v>
      </c>
      <c r="T4" s="7">
        <v>1.15151055</v>
      </c>
      <c r="U4" s="7">
        <v>1.1515076500000001</v>
      </c>
      <c r="V4" s="7">
        <v>1.1515055999999999</v>
      </c>
      <c r="W4" s="1" t="s">
        <v>4</v>
      </c>
    </row>
    <row r="5" spans="1:23" x14ac:dyDescent="0.3">
      <c r="A5" s="1" t="s">
        <v>14</v>
      </c>
      <c r="B5" s="5">
        <v>1.1596396</v>
      </c>
      <c r="C5" s="5">
        <v>1.1596375999999999</v>
      </c>
      <c r="D5" s="5">
        <v>1.1596371000000001</v>
      </c>
      <c r="E5" s="1" t="s">
        <v>4</v>
      </c>
      <c r="G5" s="1" t="s">
        <v>14</v>
      </c>
      <c r="H5" s="5">
        <v>1.1574541</v>
      </c>
      <c r="I5" s="5">
        <v>1.1574531000000001</v>
      </c>
      <c r="J5" s="5">
        <v>1.1574526000000001</v>
      </c>
      <c r="K5" s="1" t="s">
        <v>4</v>
      </c>
      <c r="M5" s="1" t="s">
        <v>14</v>
      </c>
      <c r="N5" s="5">
        <v>1.1527986000000001</v>
      </c>
      <c r="O5" s="5">
        <v>1.1527976</v>
      </c>
      <c r="P5" s="5">
        <v>1.1527976</v>
      </c>
      <c r="Q5" s="1" t="s">
        <v>4</v>
      </c>
      <c r="S5" s="1" t="s">
        <v>14</v>
      </c>
      <c r="T5" s="5">
        <v>1.1515055999999999</v>
      </c>
      <c r="U5" s="5">
        <v>1.1515046</v>
      </c>
      <c r="V5" s="5">
        <v>1.1515046</v>
      </c>
      <c r="W5" s="1" t="s">
        <v>4</v>
      </c>
    </row>
    <row r="6" spans="1:23" x14ac:dyDescent="0.3">
      <c r="A6" s="1" t="s">
        <v>20</v>
      </c>
      <c r="B6" s="5">
        <v>1.1728333</v>
      </c>
      <c r="C6" s="5">
        <v>1.1728333</v>
      </c>
      <c r="D6" s="5">
        <v>1.1728333</v>
      </c>
      <c r="E6" s="1" t="s">
        <v>4</v>
      </c>
      <c r="G6" s="1" t="s">
        <v>20</v>
      </c>
      <c r="H6" s="5">
        <v>1.1672838000000001</v>
      </c>
      <c r="I6" s="5">
        <v>1.1672838000000001</v>
      </c>
      <c r="J6" s="5">
        <v>1.1672838000000001</v>
      </c>
      <c r="K6" s="1" t="s">
        <v>4</v>
      </c>
      <c r="M6" s="1" t="s">
        <v>20</v>
      </c>
      <c r="N6" s="5">
        <v>1.1615937999999999</v>
      </c>
      <c r="O6" s="5">
        <v>1.1615937999999999</v>
      </c>
      <c r="P6" s="5">
        <v>1.1615937999999999</v>
      </c>
      <c r="Q6" s="1" t="s">
        <v>4</v>
      </c>
      <c r="S6" s="1" t="s">
        <v>20</v>
      </c>
      <c r="T6" s="5">
        <v>1.1602493</v>
      </c>
      <c r="U6" s="5">
        <v>1.1602493</v>
      </c>
      <c r="V6" s="5">
        <v>1.1602493</v>
      </c>
      <c r="W6" s="1" t="s">
        <v>4</v>
      </c>
    </row>
    <row r="7" spans="1:23" ht="14.5" thickBot="1" x14ac:dyDescent="0.35">
      <c r="A7" s="4" t="s">
        <v>15</v>
      </c>
      <c r="B7" s="6">
        <v>1.1596371000000001</v>
      </c>
      <c r="C7" s="6">
        <v>1.1596371000000001</v>
      </c>
      <c r="D7" s="6">
        <v>1.1596371000000001</v>
      </c>
      <c r="E7" s="2" t="s">
        <v>4</v>
      </c>
      <c r="G7" s="4" t="s">
        <v>15</v>
      </c>
      <c r="H7" s="6">
        <v>1.1574526000000001</v>
      </c>
      <c r="I7" s="6">
        <v>1.1574526000000001</v>
      </c>
      <c r="J7" s="6">
        <v>1.1574526000000001</v>
      </c>
      <c r="K7" s="2" t="s">
        <v>4</v>
      </c>
      <c r="M7" s="4" t="s">
        <v>15</v>
      </c>
      <c r="N7" s="6">
        <v>1.1527976</v>
      </c>
      <c r="O7" s="6">
        <v>1.1527976</v>
      </c>
      <c r="P7" s="6">
        <v>1.1527976</v>
      </c>
      <c r="Q7" s="2" t="s">
        <v>4</v>
      </c>
      <c r="S7" s="4" t="s">
        <v>15</v>
      </c>
      <c r="T7" s="6">
        <v>1.1515046</v>
      </c>
      <c r="U7" s="6">
        <v>1.1515046</v>
      </c>
      <c r="V7" s="6">
        <v>1.1515046</v>
      </c>
      <c r="W7" s="2" t="s">
        <v>4</v>
      </c>
    </row>
    <row r="8" spans="1:23" x14ac:dyDescent="0.3">
      <c r="A8" s="1" t="s">
        <v>16</v>
      </c>
      <c r="B8" s="7">
        <v>1.15926485</v>
      </c>
      <c r="C8" s="7">
        <v>1.1592619500000001</v>
      </c>
      <c r="D8" s="7">
        <v>1.1592598999999999</v>
      </c>
      <c r="E8" s="1" t="s">
        <v>5</v>
      </c>
      <c r="G8" s="1" t="s">
        <v>16</v>
      </c>
      <c r="H8" s="7">
        <v>1.15682985</v>
      </c>
      <c r="I8" s="7">
        <v>1.15682895</v>
      </c>
      <c r="J8" s="7">
        <v>1.1568259000000001</v>
      </c>
      <c r="K8" s="1" t="s">
        <v>5</v>
      </c>
      <c r="M8" s="1" t="s">
        <v>16</v>
      </c>
      <c r="N8" s="7">
        <v>1.1523838500000001</v>
      </c>
      <c r="O8" s="7">
        <v>1.15238095</v>
      </c>
      <c r="P8" s="7">
        <v>1.1523799000000001</v>
      </c>
      <c r="Q8" s="1" t="s">
        <v>5</v>
      </c>
      <c r="S8" s="1" t="s">
        <v>16</v>
      </c>
      <c r="T8" s="7">
        <v>1.1512048500000001</v>
      </c>
      <c r="U8" s="7">
        <v>1.1512014500000001</v>
      </c>
      <c r="V8" s="7">
        <v>1.1511994000000001</v>
      </c>
      <c r="W8" s="1" t="s">
        <v>5</v>
      </c>
    </row>
    <row r="9" spans="1:23" x14ac:dyDescent="0.3">
      <c r="A9" s="1" t="s">
        <v>14</v>
      </c>
      <c r="B9" s="5">
        <v>1.1592624</v>
      </c>
      <c r="C9" s="5">
        <v>1.1592604</v>
      </c>
      <c r="D9" s="5">
        <v>1.1592598999999999</v>
      </c>
      <c r="E9" s="1" t="s">
        <v>5</v>
      </c>
      <c r="G9" s="1" t="s">
        <v>14</v>
      </c>
      <c r="H9" s="5">
        <v>1.1568263999999999</v>
      </c>
      <c r="I9" s="5">
        <v>1.1568254</v>
      </c>
      <c r="J9" s="5">
        <v>1.1568248999999999</v>
      </c>
      <c r="K9" s="1" t="s">
        <v>5</v>
      </c>
      <c r="M9" s="1" t="s">
        <v>14</v>
      </c>
      <c r="N9" s="5">
        <v>1.1523804</v>
      </c>
      <c r="O9" s="5">
        <v>1.1523789</v>
      </c>
      <c r="P9" s="5">
        <v>1.1523789</v>
      </c>
      <c r="Q9" s="1" t="s">
        <v>5</v>
      </c>
      <c r="S9" s="1" t="s">
        <v>14</v>
      </c>
      <c r="T9" s="5">
        <v>1.1511994000000001</v>
      </c>
      <c r="U9" s="5">
        <v>1.1511984</v>
      </c>
      <c r="V9" s="5">
        <v>1.1511984</v>
      </c>
      <c r="W9" s="1" t="s">
        <v>5</v>
      </c>
    </row>
    <row r="10" spans="1:23" x14ac:dyDescent="0.3">
      <c r="A10" s="1" t="s">
        <v>20</v>
      </c>
      <c r="B10" s="5">
        <v>1.1710006500000001</v>
      </c>
      <c r="C10" s="5">
        <v>1.1710006500000001</v>
      </c>
      <c r="D10" s="5">
        <v>1.1710006500000001</v>
      </c>
      <c r="E10" s="1" t="s">
        <v>5</v>
      </c>
      <c r="G10" s="1" t="s">
        <v>20</v>
      </c>
      <c r="H10" s="5">
        <v>1.16569615</v>
      </c>
      <c r="I10" s="5">
        <v>1.16569615</v>
      </c>
      <c r="J10" s="5">
        <v>1.16569615</v>
      </c>
      <c r="K10" s="1" t="s">
        <v>5</v>
      </c>
      <c r="M10" s="1" t="s">
        <v>20</v>
      </c>
      <c r="N10" s="5">
        <v>1.1601761500000001</v>
      </c>
      <c r="O10" s="8">
        <v>1.1601761500000001</v>
      </c>
      <c r="P10" s="8">
        <v>1.1601761500000001</v>
      </c>
      <c r="Q10" s="1" t="s">
        <v>5</v>
      </c>
      <c r="S10" s="1" t="s">
        <v>20</v>
      </c>
      <c r="T10" s="5">
        <v>1.15885215</v>
      </c>
      <c r="U10" s="5">
        <v>1.15885215</v>
      </c>
      <c r="V10" s="5">
        <v>1.15885215</v>
      </c>
      <c r="W10" s="1" t="s">
        <v>5</v>
      </c>
    </row>
    <row r="11" spans="1:23" ht="14.5" thickBot="1" x14ac:dyDescent="0.35">
      <c r="A11" s="4" t="s">
        <v>15</v>
      </c>
      <c r="B11" s="6">
        <v>1.1592598999999999</v>
      </c>
      <c r="C11" s="6">
        <v>1.1592598999999999</v>
      </c>
      <c r="D11" s="6">
        <v>1.1592598999999999</v>
      </c>
      <c r="E11" s="2" t="s">
        <v>5</v>
      </c>
      <c r="G11" s="4" t="s">
        <v>15</v>
      </c>
      <c r="H11" s="6">
        <v>1.1568248999999999</v>
      </c>
      <c r="I11" s="6">
        <v>1.1568248999999999</v>
      </c>
      <c r="J11" s="6">
        <v>1.1568248999999999</v>
      </c>
      <c r="K11" s="2" t="s">
        <v>5</v>
      </c>
      <c r="M11" s="4" t="s">
        <v>15</v>
      </c>
      <c r="N11" s="6">
        <v>1.1523789</v>
      </c>
      <c r="O11" s="6">
        <v>1.1523789</v>
      </c>
      <c r="P11" s="6">
        <v>1.1523789</v>
      </c>
      <c r="Q11" s="2" t="s">
        <v>5</v>
      </c>
      <c r="S11" s="4" t="s">
        <v>15</v>
      </c>
      <c r="T11" s="6">
        <v>1.1511984</v>
      </c>
      <c r="U11" s="6">
        <v>1.1511984</v>
      </c>
      <c r="V11" s="6">
        <v>1.1511984</v>
      </c>
      <c r="W11" s="2" t="s">
        <v>5</v>
      </c>
    </row>
    <row r="12" spans="1:23" x14ac:dyDescent="0.3">
      <c r="A12" s="1" t="s">
        <v>16</v>
      </c>
      <c r="B12" s="8">
        <v>1.1593175</v>
      </c>
      <c r="C12" s="8">
        <v>1.1593150999999999</v>
      </c>
      <c r="D12" s="8">
        <v>1.15931355</v>
      </c>
      <c r="E12" t="s">
        <v>6</v>
      </c>
      <c r="G12" s="1" t="s">
        <v>16</v>
      </c>
      <c r="H12" s="8">
        <v>1.156763</v>
      </c>
      <c r="I12" s="8">
        <v>1.1567616000000001</v>
      </c>
      <c r="J12" s="8">
        <v>1.1567585499999999</v>
      </c>
      <c r="K12" t="s">
        <v>6</v>
      </c>
      <c r="M12" s="1" t="s">
        <v>16</v>
      </c>
      <c r="N12" s="8">
        <v>1.152415</v>
      </c>
      <c r="O12" s="8">
        <v>1.1524121000000001</v>
      </c>
      <c r="P12" s="8">
        <v>1.15241105</v>
      </c>
      <c r="Q12" t="s">
        <v>6</v>
      </c>
      <c r="S12" s="1" t="s">
        <v>16</v>
      </c>
      <c r="T12" s="8">
        <v>1.1512994999999999</v>
      </c>
      <c r="U12" s="8">
        <v>1.1512960999999999</v>
      </c>
      <c r="V12" s="8">
        <v>1.15129455</v>
      </c>
      <c r="W12" t="s">
        <v>6</v>
      </c>
    </row>
    <row r="13" spans="1:23" x14ac:dyDescent="0.3">
      <c r="A13" s="1" t="s">
        <v>14</v>
      </c>
      <c r="B13" s="8">
        <v>1.1593155500000001</v>
      </c>
      <c r="C13" s="8">
        <v>1.15931355</v>
      </c>
      <c r="D13" s="8">
        <v>1.15931305</v>
      </c>
      <c r="E13" t="s">
        <v>6</v>
      </c>
      <c r="G13" s="1" t="s">
        <v>14</v>
      </c>
      <c r="H13" s="8">
        <v>1.15675905</v>
      </c>
      <c r="I13" s="8">
        <v>1.1567580500000001</v>
      </c>
      <c r="J13" s="8">
        <v>1.15675755</v>
      </c>
      <c r="K13" t="s">
        <v>6</v>
      </c>
      <c r="M13" s="1" t="s">
        <v>14</v>
      </c>
      <c r="N13" s="8">
        <v>1.1524115500000001</v>
      </c>
      <c r="O13" s="8">
        <v>1.1524100500000001</v>
      </c>
      <c r="P13" s="8">
        <v>1.1524100500000001</v>
      </c>
      <c r="Q13" t="s">
        <v>6</v>
      </c>
      <c r="S13" s="1" t="s">
        <v>14</v>
      </c>
      <c r="T13" s="8">
        <v>1.15129405</v>
      </c>
      <c r="U13" s="8">
        <v>1.1512935500000001</v>
      </c>
      <c r="V13" s="8">
        <v>1.1512935500000001</v>
      </c>
      <c r="W13" t="s">
        <v>6</v>
      </c>
    </row>
    <row r="14" spans="1:23" x14ac:dyDescent="0.3">
      <c r="A14" s="1" t="s">
        <v>20</v>
      </c>
      <c r="B14" s="8">
        <v>1.16951195</v>
      </c>
      <c r="C14" s="8">
        <v>1.16951195</v>
      </c>
      <c r="D14" s="8">
        <v>1.16951195</v>
      </c>
      <c r="E14" t="s">
        <v>6</v>
      </c>
      <c r="G14" s="1" t="s">
        <v>20</v>
      </c>
      <c r="H14" s="8">
        <v>1.16436545</v>
      </c>
      <c r="I14" s="8">
        <v>1.16436545</v>
      </c>
      <c r="J14" s="8">
        <v>1.16436545</v>
      </c>
      <c r="K14" t="s">
        <v>6</v>
      </c>
      <c r="M14" s="1" t="s">
        <v>20</v>
      </c>
      <c r="N14" s="8">
        <v>1.1588979500000001</v>
      </c>
      <c r="O14" s="8">
        <v>1.1588979500000001</v>
      </c>
      <c r="P14" s="8">
        <v>1.1588979500000001</v>
      </c>
      <c r="Q14" t="s">
        <v>6</v>
      </c>
      <c r="S14" s="1" t="s">
        <v>20</v>
      </c>
      <c r="T14" s="8">
        <v>1.15758345</v>
      </c>
      <c r="U14" s="8">
        <v>1.15758345</v>
      </c>
      <c r="V14" s="8">
        <v>1.15758345</v>
      </c>
      <c r="W14" t="s">
        <v>6</v>
      </c>
    </row>
    <row r="15" spans="1:23" ht="14.5" thickBot="1" x14ac:dyDescent="0.35">
      <c r="A15" s="4" t="s">
        <v>15</v>
      </c>
      <c r="B15" s="6">
        <v>1.15931305</v>
      </c>
      <c r="C15" s="6">
        <v>1.15931305</v>
      </c>
      <c r="D15" s="6">
        <v>1.15931305</v>
      </c>
      <c r="E15" s="2" t="s">
        <v>6</v>
      </c>
      <c r="G15" s="4" t="s">
        <v>15</v>
      </c>
      <c r="H15" s="6">
        <v>1.15675755</v>
      </c>
      <c r="I15" s="6">
        <v>1.15675755</v>
      </c>
      <c r="J15" s="6">
        <v>1.15675755</v>
      </c>
      <c r="K15" s="2" t="s">
        <v>6</v>
      </c>
      <c r="M15" s="4" t="s">
        <v>15</v>
      </c>
      <c r="N15" s="6">
        <v>1.1524100500000001</v>
      </c>
      <c r="O15" s="6">
        <v>1.1524100500000001</v>
      </c>
      <c r="P15" s="6">
        <v>1.1524100500000001</v>
      </c>
      <c r="Q15" s="2" t="s">
        <v>6</v>
      </c>
      <c r="S15" s="4" t="s">
        <v>15</v>
      </c>
      <c r="T15" s="6">
        <v>1.1512935500000001</v>
      </c>
      <c r="U15" s="6">
        <v>1.1512935500000001</v>
      </c>
      <c r="V15" s="6">
        <v>1.1512935500000001</v>
      </c>
      <c r="W15" s="2" t="s">
        <v>6</v>
      </c>
    </row>
    <row r="18" spans="1:23" x14ac:dyDescent="0.3">
      <c r="A18" s="21" t="s">
        <v>8</v>
      </c>
      <c r="B18" s="23" t="s">
        <v>9</v>
      </c>
      <c r="C18" s="23" t="s">
        <v>17</v>
      </c>
      <c r="G18" s="21" t="s">
        <v>8</v>
      </c>
      <c r="H18" s="23" t="s">
        <v>10</v>
      </c>
      <c r="I18" s="23" t="s">
        <v>17</v>
      </c>
      <c r="M18" s="21" t="s">
        <v>8</v>
      </c>
      <c r="N18" s="23" t="s">
        <v>11</v>
      </c>
      <c r="O18" s="23" t="s">
        <v>17</v>
      </c>
      <c r="S18" s="21" t="s">
        <v>8</v>
      </c>
      <c r="T18" s="23" t="s">
        <v>12</v>
      </c>
      <c r="U18" s="23" t="s">
        <v>17</v>
      </c>
    </row>
    <row r="19" spans="1:23" x14ac:dyDescent="0.3">
      <c r="A19" s="22"/>
      <c r="B19" s="23"/>
      <c r="C19" s="23"/>
      <c r="G19" s="22"/>
      <c r="H19" s="23"/>
      <c r="I19" s="23"/>
      <c r="M19" s="22"/>
      <c r="N19" s="23"/>
      <c r="O19" s="23"/>
      <c r="S19" s="22"/>
      <c r="T19" s="23"/>
      <c r="U19" s="23"/>
    </row>
    <row r="20" spans="1:23" ht="14.5" thickBot="1" x14ac:dyDescent="0.35">
      <c r="B20" t="s">
        <v>1</v>
      </c>
      <c r="C20" t="s">
        <v>2</v>
      </c>
      <c r="D20" t="s">
        <v>3</v>
      </c>
      <c r="H20" t="s">
        <v>1</v>
      </c>
      <c r="I20" t="s">
        <v>2</v>
      </c>
      <c r="J20" t="s">
        <v>3</v>
      </c>
      <c r="N20" t="s">
        <v>1</v>
      </c>
      <c r="O20" t="s">
        <v>2</v>
      </c>
      <c r="P20" t="s">
        <v>3</v>
      </c>
      <c r="T20" t="s">
        <v>1</v>
      </c>
      <c r="U20" t="s">
        <v>2</v>
      </c>
      <c r="V20" t="s">
        <v>3</v>
      </c>
    </row>
    <row r="21" spans="1:23" x14ac:dyDescent="0.3">
      <c r="A21" s="1" t="s">
        <v>16</v>
      </c>
      <c r="B21" s="7">
        <v>1.1161871000000001</v>
      </c>
      <c r="C21" s="7">
        <v>1.1161840999999999</v>
      </c>
      <c r="D21" s="7">
        <v>1.1161830500000001</v>
      </c>
      <c r="E21" s="1" t="s">
        <v>4</v>
      </c>
      <c r="G21" s="1" t="s">
        <v>16</v>
      </c>
      <c r="H21" s="7">
        <v>1.1120987</v>
      </c>
      <c r="I21" s="7">
        <v>1.1120972499999999</v>
      </c>
      <c r="J21" s="7">
        <v>1.1120957</v>
      </c>
      <c r="K21" s="1" t="s">
        <v>4</v>
      </c>
      <c r="M21" s="1" t="s">
        <v>16</v>
      </c>
      <c r="N21" s="7">
        <v>1.1072784499999999</v>
      </c>
      <c r="O21" s="7">
        <v>1.10727745</v>
      </c>
      <c r="P21" s="7">
        <v>1.1072754</v>
      </c>
      <c r="Q21" s="1" t="s">
        <v>4</v>
      </c>
      <c r="S21" s="1" t="s">
        <v>16</v>
      </c>
      <c r="T21" s="7">
        <v>1.1056426500000001</v>
      </c>
      <c r="U21" s="7">
        <v>1.1056416499999999</v>
      </c>
      <c r="V21" s="7">
        <v>1.1056401</v>
      </c>
      <c r="W21" s="1" t="s">
        <v>4</v>
      </c>
    </row>
    <row r="22" spans="1:23" x14ac:dyDescent="0.3">
      <c r="A22" s="1" t="s">
        <v>14</v>
      </c>
      <c r="B22" s="5">
        <v>1.1161830500000001</v>
      </c>
      <c r="C22" s="5">
        <v>1.11618255</v>
      </c>
      <c r="D22" s="5">
        <v>1.1161820499999999</v>
      </c>
      <c r="E22" s="1" t="s">
        <v>4</v>
      </c>
      <c r="G22" s="1" t="s">
        <v>14</v>
      </c>
      <c r="H22" s="5">
        <v>1.1120952</v>
      </c>
      <c r="I22" s="5">
        <v>1.1120952</v>
      </c>
      <c r="J22" s="5">
        <v>1.1120947000000001</v>
      </c>
      <c r="K22" s="1" t="s">
        <v>4</v>
      </c>
      <c r="M22" s="1" t="s">
        <v>14</v>
      </c>
      <c r="N22" s="5">
        <v>1.1072749</v>
      </c>
      <c r="O22" s="5">
        <v>1.1072744000000001</v>
      </c>
      <c r="P22" s="5">
        <v>1.1072744000000001</v>
      </c>
      <c r="Q22" s="1" t="s">
        <v>4</v>
      </c>
      <c r="S22" s="1" t="s">
        <v>14</v>
      </c>
      <c r="T22" s="5">
        <v>1.1056395999999999</v>
      </c>
      <c r="U22" s="5">
        <v>1.1056391000000001</v>
      </c>
      <c r="V22" s="5">
        <v>1.1056391000000001</v>
      </c>
      <c r="W22" s="1" t="s">
        <v>4</v>
      </c>
    </row>
    <row r="23" spans="1:23" x14ac:dyDescent="0.3">
      <c r="A23" s="1" t="s">
        <v>20</v>
      </c>
      <c r="B23" s="5"/>
      <c r="C23" s="5"/>
      <c r="D23" s="5"/>
      <c r="E23" s="1" t="s">
        <v>4</v>
      </c>
      <c r="G23" s="1" t="s">
        <v>20</v>
      </c>
      <c r="H23" s="5">
        <v>1.1230351999999999</v>
      </c>
      <c r="I23" s="5">
        <v>1.1230351999999999</v>
      </c>
      <c r="J23" s="5">
        <v>1.1230351999999999</v>
      </c>
      <c r="K23" s="1" t="s">
        <v>4</v>
      </c>
      <c r="M23" s="1" t="s">
        <v>20</v>
      </c>
      <c r="N23" s="5">
        <v>1.1171637000000001</v>
      </c>
      <c r="O23" s="5">
        <v>1.1171637000000001</v>
      </c>
      <c r="P23" s="5">
        <v>1.1171637000000001</v>
      </c>
      <c r="Q23" s="1" t="s">
        <v>4</v>
      </c>
      <c r="S23" s="1" t="s">
        <v>20</v>
      </c>
      <c r="T23" s="5">
        <v>1.1154637000000001</v>
      </c>
      <c r="U23" s="5">
        <v>1.1154637000000001</v>
      </c>
      <c r="V23" s="5">
        <v>1.1154637000000001</v>
      </c>
      <c r="W23" s="1" t="s">
        <v>4</v>
      </c>
    </row>
    <row r="24" spans="1:23" ht="14.5" thickBot="1" x14ac:dyDescent="0.35">
      <c r="A24" s="4" t="s">
        <v>15</v>
      </c>
      <c r="B24" s="6"/>
      <c r="C24" s="6"/>
      <c r="D24" s="6"/>
      <c r="E24" s="2" t="s">
        <v>4</v>
      </c>
      <c r="G24" s="4" t="s">
        <v>15</v>
      </c>
      <c r="H24" s="6">
        <v>1.1120947000000001</v>
      </c>
      <c r="I24" s="6">
        <v>1.1120947000000001</v>
      </c>
      <c r="J24" s="6">
        <v>1.1120947000000001</v>
      </c>
      <c r="K24" s="2" t="s">
        <v>4</v>
      </c>
      <c r="M24" s="4" t="s">
        <v>15</v>
      </c>
      <c r="N24" s="6">
        <v>1.1072744000000001</v>
      </c>
      <c r="O24" s="6">
        <v>1.1072744000000001</v>
      </c>
      <c r="P24" s="6">
        <v>1.1072744000000001</v>
      </c>
      <c r="Q24" s="2" t="s">
        <v>4</v>
      </c>
      <c r="S24" s="4" t="s">
        <v>15</v>
      </c>
      <c r="T24" s="6">
        <v>1.1056391000000001</v>
      </c>
      <c r="U24" s="6">
        <v>1.1056391000000001</v>
      </c>
      <c r="V24" s="6">
        <v>1.1056391000000001</v>
      </c>
      <c r="W24" s="2" t="s">
        <v>4</v>
      </c>
    </row>
    <row r="25" spans="1:23" x14ac:dyDescent="0.3">
      <c r="A25" s="1" t="s">
        <v>16</v>
      </c>
      <c r="B25" s="7">
        <v>1.11553225</v>
      </c>
      <c r="C25" s="7">
        <v>1.1155290499999999</v>
      </c>
      <c r="D25" s="7">
        <v>1.1155280000000001</v>
      </c>
      <c r="E25" s="1" t="s">
        <v>5</v>
      </c>
      <c r="G25" s="1" t="s">
        <v>16</v>
      </c>
      <c r="H25" s="7">
        <v>1.1110854999999999</v>
      </c>
      <c r="I25" s="7">
        <v>1.11108385</v>
      </c>
      <c r="J25" s="7">
        <v>1.1110827999999999</v>
      </c>
      <c r="K25" s="1" t="s">
        <v>5</v>
      </c>
      <c r="M25" s="1" t="s">
        <v>16</v>
      </c>
      <c r="N25" s="7">
        <v>1.10664505</v>
      </c>
      <c r="O25" s="7">
        <v>1.1066440500000001</v>
      </c>
      <c r="P25" s="7">
        <v>1.1066419999999999</v>
      </c>
      <c r="Q25" s="1" t="s">
        <v>5</v>
      </c>
      <c r="S25" s="1" t="s">
        <v>16</v>
      </c>
      <c r="T25" s="7">
        <v>1.1051845499999999</v>
      </c>
      <c r="U25" s="7">
        <v>1.1051830499999999</v>
      </c>
      <c r="V25" s="7">
        <v>1.1051815</v>
      </c>
      <c r="W25" s="1" t="s">
        <v>5</v>
      </c>
    </row>
    <row r="26" spans="1:23" x14ac:dyDescent="0.3">
      <c r="A26" s="1" t="s">
        <v>14</v>
      </c>
      <c r="B26" s="5">
        <v>1.1155280000000001</v>
      </c>
      <c r="C26" s="5">
        <v>1.1155275</v>
      </c>
      <c r="D26" s="5">
        <v>1.1155269999999999</v>
      </c>
      <c r="E26" s="1" t="s">
        <v>5</v>
      </c>
      <c r="G26" s="1" t="s">
        <v>14</v>
      </c>
      <c r="H26" s="5">
        <v>1.1110823000000001</v>
      </c>
      <c r="I26" s="5">
        <v>1.1110823000000001</v>
      </c>
      <c r="J26" s="5">
        <v>1.1110818</v>
      </c>
      <c r="K26" s="1" t="s">
        <v>5</v>
      </c>
      <c r="M26" s="1" t="s">
        <v>14</v>
      </c>
      <c r="N26" s="5">
        <v>1.1066415000000001</v>
      </c>
      <c r="O26" s="5">
        <v>1.106641</v>
      </c>
      <c r="P26" s="5">
        <v>1.106641</v>
      </c>
      <c r="Q26" s="1" t="s">
        <v>5</v>
      </c>
      <c r="S26" s="1" t="s">
        <v>14</v>
      </c>
      <c r="T26" s="5">
        <v>1.105181</v>
      </c>
      <c r="U26" s="5">
        <v>1.1051804999999999</v>
      </c>
      <c r="V26" s="5">
        <v>1.1051804999999999</v>
      </c>
      <c r="W26" s="1" t="s">
        <v>5</v>
      </c>
    </row>
    <row r="27" spans="1:23" x14ac:dyDescent="0.3">
      <c r="A27" s="1" t="s">
        <v>20</v>
      </c>
      <c r="B27" s="5"/>
      <c r="C27" s="5"/>
      <c r="D27" s="5"/>
      <c r="E27" s="1" t="s">
        <v>5</v>
      </c>
      <c r="G27" s="1" t="s">
        <v>20</v>
      </c>
      <c r="H27" s="5">
        <v>1.1211206</v>
      </c>
      <c r="I27" s="5">
        <v>1.1211206</v>
      </c>
      <c r="J27" s="5">
        <v>1.1211206</v>
      </c>
      <c r="K27" s="1" t="s">
        <v>5</v>
      </c>
      <c r="M27" s="1" t="s">
        <v>20</v>
      </c>
      <c r="N27" s="5">
        <v>1.1154546000000001</v>
      </c>
      <c r="O27" s="5">
        <v>1.1154546000000001</v>
      </c>
      <c r="P27" s="5">
        <v>1.1154546000000001</v>
      </c>
      <c r="Q27" s="1" t="s">
        <v>5</v>
      </c>
      <c r="S27" s="1" t="s">
        <v>20</v>
      </c>
      <c r="T27" s="5">
        <v>1.1137706000000001</v>
      </c>
      <c r="U27" s="5">
        <v>1.1137706000000001</v>
      </c>
      <c r="V27" s="5">
        <v>1.1137706000000001</v>
      </c>
      <c r="W27" s="1" t="s">
        <v>5</v>
      </c>
    </row>
    <row r="28" spans="1:23" ht="14.5" thickBot="1" x14ac:dyDescent="0.35">
      <c r="A28" s="4" t="s">
        <v>15</v>
      </c>
      <c r="B28" s="6"/>
      <c r="C28" s="6"/>
      <c r="D28" s="6"/>
      <c r="E28" s="2" t="s">
        <v>5</v>
      </c>
      <c r="G28" s="4" t="s">
        <v>15</v>
      </c>
      <c r="H28" s="6">
        <v>1.1110818</v>
      </c>
      <c r="I28" s="6">
        <v>1.1110818</v>
      </c>
      <c r="J28" s="6">
        <v>1.1110818</v>
      </c>
      <c r="K28" s="2" t="s">
        <v>5</v>
      </c>
      <c r="M28" s="4" t="s">
        <v>15</v>
      </c>
      <c r="N28" s="6">
        <v>1.106641</v>
      </c>
      <c r="O28" s="6">
        <v>1.106641</v>
      </c>
      <c r="P28" s="6">
        <v>1.106641</v>
      </c>
      <c r="Q28" s="2" t="s">
        <v>5</v>
      </c>
      <c r="S28" s="4" t="s">
        <v>15</v>
      </c>
      <c r="T28" s="6">
        <v>1.1051804999999999</v>
      </c>
      <c r="U28" s="6">
        <v>1.1051804999999999</v>
      </c>
      <c r="V28" s="6">
        <v>1.1051804999999999</v>
      </c>
      <c r="W28" s="2" t="s">
        <v>5</v>
      </c>
    </row>
    <row r="29" spans="1:23" x14ac:dyDescent="0.3">
      <c r="A29" s="1" t="s">
        <v>16</v>
      </c>
      <c r="B29" s="8">
        <v>1.1154036999999999</v>
      </c>
      <c r="C29" s="8">
        <v>1.1154013</v>
      </c>
      <c r="D29" s="8">
        <v>1.11540025</v>
      </c>
      <c r="E29" t="s">
        <v>6</v>
      </c>
      <c r="G29" s="1" t="s">
        <v>16</v>
      </c>
      <c r="H29" s="8">
        <v>1.1109226000000001</v>
      </c>
      <c r="I29" s="8">
        <v>1.1109209499999999</v>
      </c>
      <c r="J29" s="8">
        <v>1.1109199000000001</v>
      </c>
      <c r="K29" t="s">
        <v>6</v>
      </c>
      <c r="M29" s="1" t="s">
        <v>16</v>
      </c>
      <c r="N29" s="8">
        <v>1.1065567999999999</v>
      </c>
      <c r="O29" s="8">
        <v>1.1065558</v>
      </c>
      <c r="P29" s="8">
        <v>1.10655375</v>
      </c>
      <c r="Q29" t="s">
        <v>6</v>
      </c>
      <c r="S29" s="1" t="s">
        <v>16</v>
      </c>
      <c r="T29" s="8">
        <v>1.1051901500000001</v>
      </c>
      <c r="U29" s="8">
        <v>1.10518915</v>
      </c>
      <c r="V29" s="8">
        <v>1.1051876</v>
      </c>
      <c r="W29" t="s">
        <v>6</v>
      </c>
    </row>
    <row r="30" spans="1:23" x14ac:dyDescent="0.3">
      <c r="A30" s="1" t="s">
        <v>14</v>
      </c>
      <c r="B30" s="8">
        <v>1.11540025</v>
      </c>
      <c r="C30" s="8">
        <v>1.1153997499999999</v>
      </c>
      <c r="D30" s="8">
        <v>1.1153992500000001</v>
      </c>
      <c r="E30" t="s">
        <v>6</v>
      </c>
      <c r="G30" s="1" t="s">
        <v>14</v>
      </c>
      <c r="H30" s="8">
        <v>1.1109194</v>
      </c>
      <c r="I30" s="8">
        <v>1.1109194</v>
      </c>
      <c r="J30" s="8">
        <v>1.1109188999999999</v>
      </c>
      <c r="K30" t="s">
        <v>6</v>
      </c>
      <c r="M30" s="1" t="s">
        <v>14</v>
      </c>
      <c r="N30" s="8">
        <v>1.1065532499999999</v>
      </c>
      <c r="O30" s="8">
        <v>1.1065527500000001</v>
      </c>
      <c r="P30" s="8">
        <v>1.1065527500000001</v>
      </c>
      <c r="Q30" t="s">
        <v>6</v>
      </c>
      <c r="S30" s="1" t="s">
        <v>14</v>
      </c>
      <c r="T30" s="8">
        <v>1.1051871</v>
      </c>
      <c r="U30" s="8">
        <v>1.1051865999999999</v>
      </c>
      <c r="V30" s="8">
        <v>1.1051865999999999</v>
      </c>
      <c r="W30" t="s">
        <v>6</v>
      </c>
    </row>
    <row r="31" spans="1:23" x14ac:dyDescent="0.3">
      <c r="A31" s="1" t="s">
        <v>20</v>
      </c>
      <c r="B31" s="8"/>
      <c r="C31" s="8"/>
      <c r="D31" s="8"/>
      <c r="E31" t="s">
        <v>6</v>
      </c>
      <c r="G31" s="1" t="s">
        <v>20</v>
      </c>
      <c r="H31" s="8">
        <v>1.1194778000000001</v>
      </c>
      <c r="I31" s="8">
        <v>1.1194778000000001</v>
      </c>
      <c r="J31" s="8">
        <v>1.1194778000000001</v>
      </c>
      <c r="K31" t="s">
        <v>6</v>
      </c>
      <c r="M31" s="1" t="s">
        <v>20</v>
      </c>
      <c r="N31" s="8">
        <v>1.1139378</v>
      </c>
      <c r="O31" s="8">
        <v>1.1139378</v>
      </c>
      <c r="P31" s="8">
        <v>1.1139378</v>
      </c>
      <c r="Q31" t="s">
        <v>6</v>
      </c>
      <c r="S31" s="1" t="s">
        <v>20</v>
      </c>
      <c r="T31" s="8">
        <v>1.1122653</v>
      </c>
      <c r="U31" s="8">
        <v>1.1122653</v>
      </c>
      <c r="V31" s="8">
        <v>1.1122653</v>
      </c>
      <c r="W31" t="s">
        <v>6</v>
      </c>
    </row>
    <row r="32" spans="1:23" ht="14.5" thickBot="1" x14ac:dyDescent="0.35">
      <c r="A32" s="4" t="s">
        <v>15</v>
      </c>
      <c r="B32" s="6"/>
      <c r="C32" s="6"/>
      <c r="D32" s="6"/>
      <c r="E32" s="2" t="s">
        <v>6</v>
      </c>
      <c r="G32" s="4" t="s">
        <v>15</v>
      </c>
      <c r="H32" s="6">
        <v>1.1109188999999999</v>
      </c>
      <c r="I32" s="6">
        <v>1.1109188999999999</v>
      </c>
      <c r="J32" s="6">
        <v>1.1109188999999999</v>
      </c>
      <c r="K32" s="2" t="s">
        <v>6</v>
      </c>
      <c r="M32" s="4" t="s">
        <v>15</v>
      </c>
      <c r="N32" s="6">
        <v>1.1065527500000001</v>
      </c>
      <c r="O32" s="6">
        <v>1.1065527500000001</v>
      </c>
      <c r="P32" s="6">
        <v>1.1065527500000001</v>
      </c>
      <c r="Q32" s="2" t="s">
        <v>6</v>
      </c>
      <c r="S32" s="4" t="s">
        <v>15</v>
      </c>
      <c r="T32" s="6">
        <v>1.1051865999999999</v>
      </c>
      <c r="U32" s="6">
        <v>1.1051865999999999</v>
      </c>
      <c r="V32" s="6">
        <v>1.1051865999999999</v>
      </c>
      <c r="W32" s="2" t="s">
        <v>6</v>
      </c>
    </row>
    <row r="33" spans="1:23" x14ac:dyDescent="0.3">
      <c r="A33" s="10"/>
      <c r="B33" s="1"/>
      <c r="C33" s="1"/>
      <c r="D33" s="1"/>
      <c r="E33" s="1"/>
      <c r="G33" s="10"/>
      <c r="H33" s="1"/>
      <c r="I33" s="1"/>
      <c r="J33" s="1"/>
      <c r="K33" s="1"/>
      <c r="M33" s="10"/>
      <c r="N33" s="1"/>
      <c r="O33" s="1"/>
      <c r="P33" s="1"/>
      <c r="Q33" s="1"/>
    </row>
    <row r="34" spans="1:23" x14ac:dyDescent="0.3">
      <c r="A34" s="10"/>
      <c r="B34" s="1"/>
      <c r="C34" s="1"/>
      <c r="D34" s="1"/>
      <c r="E34" s="1"/>
      <c r="G34" s="10"/>
      <c r="H34" s="1"/>
      <c r="I34" s="1"/>
      <c r="J34" s="1"/>
      <c r="K34" s="1"/>
      <c r="M34" s="10"/>
      <c r="N34" s="1"/>
      <c r="O34" s="1"/>
      <c r="P34" s="1"/>
      <c r="Q34" s="1"/>
    </row>
    <row r="35" spans="1:23" x14ac:dyDescent="0.3">
      <c r="A35" s="10"/>
      <c r="B35" s="1"/>
      <c r="C35" s="1"/>
      <c r="D35" s="1"/>
      <c r="E35" s="1"/>
      <c r="G35" s="10"/>
      <c r="H35" s="1"/>
      <c r="I35" s="1"/>
      <c r="J35" s="1"/>
      <c r="K35" s="1"/>
      <c r="M35" s="10"/>
      <c r="N35" s="1"/>
      <c r="O35" s="1"/>
      <c r="P35" s="1"/>
      <c r="Q35" s="1"/>
    </row>
    <row r="36" spans="1:23" x14ac:dyDescent="0.3">
      <c r="A36" s="10"/>
      <c r="B36" s="1"/>
      <c r="C36" s="1"/>
      <c r="D36" s="1"/>
      <c r="E36" s="1"/>
      <c r="G36" s="10"/>
      <c r="H36" s="1"/>
      <c r="I36" s="1"/>
      <c r="J36" s="1"/>
      <c r="K36" s="1"/>
      <c r="M36" s="10"/>
      <c r="N36" s="1"/>
      <c r="O36" s="1"/>
      <c r="P36" s="1"/>
      <c r="Q36" s="1"/>
    </row>
    <row r="37" spans="1:23" x14ac:dyDescent="0.3">
      <c r="A37" s="21" t="s">
        <v>7</v>
      </c>
      <c r="B37" s="23" t="s">
        <v>9</v>
      </c>
      <c r="C37" s="23" t="s">
        <v>18</v>
      </c>
      <c r="G37" s="21" t="s">
        <v>7</v>
      </c>
      <c r="H37" s="23" t="s">
        <v>10</v>
      </c>
      <c r="I37" s="23" t="s">
        <v>18</v>
      </c>
      <c r="M37" s="21" t="s">
        <v>7</v>
      </c>
      <c r="N37" s="23" t="s">
        <v>11</v>
      </c>
      <c r="O37" s="23" t="s">
        <v>18</v>
      </c>
      <c r="S37" s="21" t="s">
        <v>7</v>
      </c>
      <c r="T37" s="23" t="s">
        <v>12</v>
      </c>
      <c r="U37" s="23" t="s">
        <v>18</v>
      </c>
    </row>
    <row r="38" spans="1:23" x14ac:dyDescent="0.3">
      <c r="A38" s="22"/>
      <c r="B38" s="23"/>
      <c r="C38" s="23"/>
      <c r="G38" s="22"/>
      <c r="H38" s="23"/>
      <c r="I38" s="23"/>
      <c r="M38" s="22"/>
      <c r="N38" s="23"/>
      <c r="O38" s="23"/>
      <c r="S38" s="22"/>
      <c r="T38" s="23"/>
      <c r="U38" s="23"/>
    </row>
    <row r="39" spans="1:23" ht="14.5" thickBot="1" x14ac:dyDescent="0.35">
      <c r="B39" t="s">
        <v>1</v>
      </c>
      <c r="C39" t="s">
        <v>2</v>
      </c>
      <c r="D39" t="s">
        <v>3</v>
      </c>
      <c r="H39" t="s">
        <v>1</v>
      </c>
      <c r="I39" t="s">
        <v>2</v>
      </c>
      <c r="J39" t="s">
        <v>3</v>
      </c>
      <c r="N39" t="s">
        <v>1</v>
      </c>
      <c r="O39" t="s">
        <v>2</v>
      </c>
      <c r="P39" t="s">
        <v>3</v>
      </c>
      <c r="T39" t="s">
        <v>1</v>
      </c>
      <c r="U39" t="s">
        <v>2</v>
      </c>
      <c r="V39" t="s">
        <v>3</v>
      </c>
    </row>
    <row r="40" spans="1:23" x14ac:dyDescent="0.3">
      <c r="A40" s="1" t="s">
        <v>16</v>
      </c>
      <c r="B40" s="7">
        <v>1.11349605</v>
      </c>
      <c r="C40" s="7">
        <v>1.1134921499999999</v>
      </c>
      <c r="D40" s="7">
        <v>1.1134885999999999</v>
      </c>
      <c r="E40" s="1" t="s">
        <v>4</v>
      </c>
      <c r="G40" s="1" t="s">
        <v>16</v>
      </c>
      <c r="H40" s="7">
        <v>1.1127840499999999</v>
      </c>
      <c r="I40" s="7">
        <v>1.11277815</v>
      </c>
      <c r="J40" s="7">
        <v>1.1127741</v>
      </c>
      <c r="K40" s="1" t="s">
        <v>4</v>
      </c>
      <c r="M40" s="1" t="s">
        <v>16</v>
      </c>
      <c r="N40" s="7">
        <v>1.1129205499999999</v>
      </c>
      <c r="O40" s="7">
        <v>1.1129141499999999</v>
      </c>
      <c r="P40" s="7">
        <v>1.1129096000000001</v>
      </c>
      <c r="Q40" s="1" t="s">
        <v>4</v>
      </c>
      <c r="S40" s="1" t="s">
        <v>16</v>
      </c>
      <c r="T40" s="7">
        <v>1.1125755500000001</v>
      </c>
      <c r="U40" s="7">
        <v>1.11256865</v>
      </c>
      <c r="V40" s="7">
        <v>1.1125670999999999</v>
      </c>
      <c r="W40" s="1" t="s">
        <v>4</v>
      </c>
    </row>
    <row r="41" spans="1:23" x14ac:dyDescent="0.3">
      <c r="A41" s="1" t="s">
        <v>14</v>
      </c>
      <c r="B41" s="5">
        <v>1.1134881000000001</v>
      </c>
      <c r="C41" s="5">
        <v>1.1134866000000001</v>
      </c>
      <c r="D41" s="5">
        <v>1.1134861</v>
      </c>
      <c r="E41" s="1" t="s">
        <v>4</v>
      </c>
      <c r="G41" s="1" t="s">
        <v>14</v>
      </c>
      <c r="H41" s="5">
        <v>1.1127735999999999</v>
      </c>
      <c r="I41" s="5">
        <v>1.1127720999999999</v>
      </c>
      <c r="J41" s="5">
        <v>1.1127716000000001</v>
      </c>
      <c r="K41" s="1" t="s">
        <v>4</v>
      </c>
      <c r="M41" s="1" t="s">
        <v>14</v>
      </c>
      <c r="N41" s="5">
        <v>1.1129091</v>
      </c>
      <c r="O41" s="5">
        <v>1.1129076</v>
      </c>
      <c r="P41" s="5">
        <v>1.1129070999999999</v>
      </c>
      <c r="Q41" s="1" t="s">
        <v>4</v>
      </c>
      <c r="S41" s="1" t="s">
        <v>14</v>
      </c>
      <c r="T41" s="5">
        <v>1.1125670999999999</v>
      </c>
      <c r="U41" s="5">
        <v>1.1125670999999999</v>
      </c>
      <c r="V41" s="5">
        <v>1.1125670999999999</v>
      </c>
      <c r="W41" s="1" t="s">
        <v>4</v>
      </c>
    </row>
    <row r="42" spans="1:23" x14ac:dyDescent="0.3">
      <c r="A42" s="1" t="s">
        <v>20</v>
      </c>
      <c r="B42" s="5"/>
      <c r="C42" s="5"/>
      <c r="D42" s="5"/>
      <c r="E42" s="1" t="s">
        <v>4</v>
      </c>
      <c r="G42" s="1" t="s">
        <v>20</v>
      </c>
      <c r="H42" s="5">
        <v>1.1215212999999999</v>
      </c>
      <c r="I42" s="5">
        <v>1.1215212999999999</v>
      </c>
      <c r="J42" s="5">
        <v>1.1215212999999999</v>
      </c>
      <c r="K42" s="1" t="s">
        <v>4</v>
      </c>
      <c r="M42" s="1" t="s">
        <v>20</v>
      </c>
      <c r="N42" s="5">
        <v>1.1216387999999999</v>
      </c>
      <c r="O42" s="5">
        <v>1.1216387999999999</v>
      </c>
      <c r="P42" s="5">
        <v>1.1216387999999999</v>
      </c>
      <c r="Q42" s="1" t="s">
        <v>4</v>
      </c>
      <c r="S42" s="1" t="s">
        <v>20</v>
      </c>
      <c r="T42" s="5">
        <v>1.1212877999999999</v>
      </c>
      <c r="U42" s="5">
        <v>1.1212877999999999</v>
      </c>
      <c r="V42" s="5">
        <v>1.1212877999999999</v>
      </c>
      <c r="W42" s="1" t="s">
        <v>4</v>
      </c>
    </row>
    <row r="43" spans="1:23" ht="14.5" thickBot="1" x14ac:dyDescent="0.35">
      <c r="A43" s="4" t="s">
        <v>15</v>
      </c>
      <c r="B43" s="6">
        <v>1.1134861</v>
      </c>
      <c r="C43" s="6">
        <v>1.1134861</v>
      </c>
      <c r="D43" s="6">
        <v>1.1134861</v>
      </c>
      <c r="E43" s="2" t="s">
        <v>4</v>
      </c>
      <c r="G43" s="4" t="s">
        <v>15</v>
      </c>
      <c r="H43" s="6">
        <v>1.1127716000000001</v>
      </c>
      <c r="I43" s="6">
        <v>1.1127716000000001</v>
      </c>
      <c r="J43" s="6">
        <v>1.1127716000000001</v>
      </c>
      <c r="K43" s="2" t="s">
        <v>4</v>
      </c>
      <c r="M43" s="4" t="s">
        <v>15</v>
      </c>
      <c r="N43" s="6">
        <v>1.1129070999999999</v>
      </c>
      <c r="O43" s="6">
        <v>1.1129070999999999</v>
      </c>
      <c r="P43" s="6">
        <v>1.1129070999999999</v>
      </c>
      <c r="Q43" s="2" t="s">
        <v>4</v>
      </c>
      <c r="S43" s="4" t="s">
        <v>15</v>
      </c>
      <c r="T43" s="6">
        <v>1.1125670999999999</v>
      </c>
      <c r="U43" s="6">
        <v>1.1125670999999999</v>
      </c>
      <c r="V43" s="6">
        <v>1.1125670999999999</v>
      </c>
      <c r="W43" s="2" t="s">
        <v>4</v>
      </c>
    </row>
    <row r="44" spans="1:23" x14ac:dyDescent="0.3">
      <c r="A44" s="1" t="s">
        <v>16</v>
      </c>
      <c r="B44" s="7">
        <v>1.1132803499999999</v>
      </c>
      <c r="C44" s="7">
        <v>1.1132764500000001</v>
      </c>
      <c r="D44" s="7">
        <v>1.1132728999999999</v>
      </c>
      <c r="E44" s="1" t="s">
        <v>5</v>
      </c>
      <c r="G44" s="1" t="s">
        <v>16</v>
      </c>
      <c r="H44" s="7">
        <v>1.11259135</v>
      </c>
      <c r="I44" s="7">
        <v>1.1125854500000001</v>
      </c>
      <c r="J44" s="7">
        <v>1.1125814000000001</v>
      </c>
      <c r="K44" s="1" t="s">
        <v>5</v>
      </c>
      <c r="M44" s="1" t="s">
        <v>16</v>
      </c>
      <c r="N44" s="7">
        <v>1.1127098499999999</v>
      </c>
      <c r="O44" s="7">
        <v>1.1127034499999999</v>
      </c>
      <c r="P44" s="7">
        <v>1.1126989</v>
      </c>
      <c r="Q44" s="1" t="s">
        <v>5</v>
      </c>
      <c r="S44" s="1" t="s">
        <v>16</v>
      </c>
      <c r="T44" s="7">
        <v>1.11235335</v>
      </c>
      <c r="U44" s="7">
        <v>1.11234645</v>
      </c>
      <c r="V44" s="7">
        <v>1.1123449000000001</v>
      </c>
      <c r="W44" s="1" t="s">
        <v>5</v>
      </c>
    </row>
    <row r="45" spans="1:23" x14ac:dyDescent="0.3">
      <c r="A45" s="1" t="s">
        <v>14</v>
      </c>
      <c r="B45" s="5">
        <v>1.1132724000000001</v>
      </c>
      <c r="C45" s="5">
        <v>1.1132709000000001</v>
      </c>
      <c r="D45" s="5">
        <v>1.1132704</v>
      </c>
      <c r="E45" s="1" t="s">
        <v>5</v>
      </c>
      <c r="G45" s="1" t="s">
        <v>14</v>
      </c>
      <c r="H45" s="5">
        <v>1.1125809</v>
      </c>
      <c r="I45" s="5">
        <v>1.1125794</v>
      </c>
      <c r="J45" s="5">
        <v>1.1125788999999999</v>
      </c>
      <c r="K45" s="1" t="s">
        <v>5</v>
      </c>
      <c r="M45" s="1" t="s">
        <v>14</v>
      </c>
      <c r="N45" s="5">
        <v>1.1126984</v>
      </c>
      <c r="O45" s="5">
        <v>1.1126969</v>
      </c>
      <c r="P45" s="5">
        <v>1.1126963999999999</v>
      </c>
      <c r="Q45" s="1" t="s">
        <v>5</v>
      </c>
      <c r="S45" s="1" t="s">
        <v>14</v>
      </c>
      <c r="T45" s="5">
        <v>1.1123449000000001</v>
      </c>
      <c r="U45" s="5">
        <v>1.1123449000000001</v>
      </c>
      <c r="V45" s="5">
        <v>1.1123449000000001</v>
      </c>
      <c r="W45" s="1" t="s">
        <v>5</v>
      </c>
    </row>
    <row r="46" spans="1:23" x14ac:dyDescent="0.3">
      <c r="A46" s="1" t="s">
        <v>20</v>
      </c>
      <c r="B46" s="5"/>
      <c r="C46" s="5"/>
      <c r="D46" s="5"/>
      <c r="E46" s="1" t="s">
        <v>5</v>
      </c>
      <c r="G46" s="1" t="s">
        <v>20</v>
      </c>
      <c r="H46" s="5">
        <v>1.1201356499999999</v>
      </c>
      <c r="I46" s="5">
        <v>1.1201356499999999</v>
      </c>
      <c r="J46" s="5">
        <v>1.1201356499999999</v>
      </c>
      <c r="K46" s="1" t="s">
        <v>5</v>
      </c>
      <c r="M46" s="1" t="s">
        <v>20</v>
      </c>
      <c r="N46" s="5">
        <v>1.12025365</v>
      </c>
      <c r="O46" s="5">
        <v>1.12025365</v>
      </c>
      <c r="P46" s="5">
        <v>1.12025365</v>
      </c>
      <c r="Q46" s="1" t="s">
        <v>5</v>
      </c>
      <c r="S46" s="1" t="s">
        <v>20</v>
      </c>
      <c r="T46" s="5">
        <v>1.11990265</v>
      </c>
      <c r="U46" s="5">
        <v>1.11990265</v>
      </c>
      <c r="V46" s="5">
        <v>1.11990265</v>
      </c>
      <c r="W46" s="1" t="s">
        <v>5</v>
      </c>
    </row>
    <row r="47" spans="1:23" ht="14.5" thickBot="1" x14ac:dyDescent="0.35">
      <c r="A47" s="4" t="s">
        <v>15</v>
      </c>
      <c r="B47" s="6">
        <v>1.1132704</v>
      </c>
      <c r="C47" s="6">
        <v>1.1132704</v>
      </c>
      <c r="D47" s="6">
        <v>1.1132704</v>
      </c>
      <c r="E47" s="2" t="s">
        <v>5</v>
      </c>
      <c r="G47" s="4" t="s">
        <v>15</v>
      </c>
      <c r="H47" s="6">
        <v>1.1125788999999999</v>
      </c>
      <c r="I47" s="6">
        <v>1.1125788999999999</v>
      </c>
      <c r="J47" s="6">
        <v>1.1125788999999999</v>
      </c>
      <c r="K47" s="2" t="s">
        <v>5</v>
      </c>
      <c r="M47" s="4" t="s">
        <v>15</v>
      </c>
      <c r="N47" s="6">
        <v>1.1126963999999999</v>
      </c>
      <c r="O47" s="6">
        <v>1.1126963999999999</v>
      </c>
      <c r="P47" s="6">
        <v>1.1126963999999999</v>
      </c>
      <c r="Q47" s="2" t="s">
        <v>5</v>
      </c>
      <c r="S47" s="4" t="s">
        <v>15</v>
      </c>
      <c r="T47" s="6">
        <v>1.1123449000000001</v>
      </c>
      <c r="U47" s="6">
        <v>1.1123449000000001</v>
      </c>
      <c r="V47" s="6">
        <v>1.1123449000000001</v>
      </c>
      <c r="W47" s="2" t="s">
        <v>5</v>
      </c>
    </row>
    <row r="48" spans="1:23" x14ac:dyDescent="0.3">
      <c r="A48" s="1" t="s">
        <v>16</v>
      </c>
      <c r="B48" s="8">
        <v>1.1134375000000001</v>
      </c>
      <c r="C48" s="8">
        <v>1.1134336</v>
      </c>
      <c r="D48" s="8">
        <v>1.1134300500000001</v>
      </c>
      <c r="E48" t="s">
        <v>6</v>
      </c>
      <c r="G48" s="1" t="s">
        <v>16</v>
      </c>
      <c r="H48" s="8">
        <v>1.1127514999999999</v>
      </c>
      <c r="I48" s="8">
        <v>1.1127456</v>
      </c>
      <c r="J48" s="8">
        <v>1.11274155</v>
      </c>
      <c r="K48" t="s">
        <v>6</v>
      </c>
      <c r="M48" s="1" t="s">
        <v>16</v>
      </c>
      <c r="N48" s="8">
        <v>1.11287</v>
      </c>
      <c r="O48" s="8">
        <v>1.1128636000000001</v>
      </c>
      <c r="P48" s="8">
        <v>1.11285905</v>
      </c>
      <c r="Q48" t="s">
        <v>6</v>
      </c>
      <c r="S48" s="1" t="s">
        <v>16</v>
      </c>
      <c r="T48" s="8">
        <v>1.1125134999999999</v>
      </c>
      <c r="U48" s="8">
        <v>1.1125065999999999</v>
      </c>
      <c r="V48" s="8">
        <v>1.11250505</v>
      </c>
      <c r="W48" t="s">
        <v>6</v>
      </c>
    </row>
    <row r="49" spans="1:23" x14ac:dyDescent="0.3">
      <c r="A49" s="1" t="s">
        <v>14</v>
      </c>
      <c r="B49" s="8">
        <v>1.11342955</v>
      </c>
      <c r="C49" s="8">
        <v>1.11342805</v>
      </c>
      <c r="D49" s="8">
        <v>1.1134275499999999</v>
      </c>
      <c r="E49" t="s">
        <v>6</v>
      </c>
      <c r="G49" s="1" t="s">
        <v>14</v>
      </c>
      <c r="H49" s="8">
        <v>1.1127410499999999</v>
      </c>
      <c r="I49" s="8">
        <v>1.1127395499999999</v>
      </c>
      <c r="J49" s="8">
        <v>1.1127390500000001</v>
      </c>
      <c r="K49" t="s">
        <v>6</v>
      </c>
      <c r="M49" s="1" t="s">
        <v>14</v>
      </c>
      <c r="N49" s="8">
        <v>1.1128585499999999</v>
      </c>
      <c r="O49" s="8">
        <v>1.1128570499999999</v>
      </c>
      <c r="P49" s="8">
        <v>1.1128565500000001</v>
      </c>
      <c r="Q49" t="s">
        <v>6</v>
      </c>
      <c r="S49" s="1" t="s">
        <v>14</v>
      </c>
      <c r="T49" s="8">
        <v>1.11250505</v>
      </c>
      <c r="U49" s="8">
        <v>1.11250505</v>
      </c>
      <c r="V49" s="8">
        <v>1.11250505</v>
      </c>
      <c r="W49" t="s">
        <v>6</v>
      </c>
    </row>
    <row r="50" spans="1:23" x14ac:dyDescent="0.3">
      <c r="A50" s="1" t="s">
        <v>20</v>
      </c>
      <c r="B50" s="8"/>
      <c r="C50" s="8"/>
      <c r="D50" s="8"/>
      <c r="E50" t="s">
        <v>6</v>
      </c>
      <c r="G50" s="1" t="s">
        <v>20</v>
      </c>
      <c r="H50" s="8">
        <v>1.11887695</v>
      </c>
      <c r="I50" s="8">
        <v>1.11887695</v>
      </c>
      <c r="J50" s="8">
        <v>1.11887695</v>
      </c>
      <c r="K50" t="s">
        <v>6</v>
      </c>
      <c r="M50" s="1" t="s">
        <v>20</v>
      </c>
      <c r="N50" s="8">
        <v>1.1189954499999999</v>
      </c>
      <c r="O50" s="8">
        <v>1.1189954499999999</v>
      </c>
      <c r="P50" s="8">
        <v>1.1189954499999999</v>
      </c>
      <c r="Q50" t="s">
        <v>6</v>
      </c>
      <c r="S50" s="1" t="s">
        <v>20</v>
      </c>
      <c r="T50" s="8">
        <v>1.1186444499999999</v>
      </c>
      <c r="U50" s="8">
        <v>1.1186444499999999</v>
      </c>
      <c r="V50" s="8">
        <v>1.1186444499999999</v>
      </c>
      <c r="W50" t="s">
        <v>6</v>
      </c>
    </row>
    <row r="51" spans="1:23" ht="14.5" thickBot="1" x14ac:dyDescent="0.35">
      <c r="A51" s="4" t="s">
        <v>15</v>
      </c>
      <c r="B51" s="6">
        <v>1.1134275499999999</v>
      </c>
      <c r="C51" s="6">
        <v>1.1134275499999999</v>
      </c>
      <c r="D51" s="6">
        <v>1.1134275499999999</v>
      </c>
      <c r="E51" s="2" t="s">
        <v>6</v>
      </c>
      <c r="G51" s="4" t="s">
        <v>15</v>
      </c>
      <c r="H51" s="6">
        <v>1.1127390500000001</v>
      </c>
      <c r="I51" s="6">
        <v>1.1127390500000001</v>
      </c>
      <c r="J51" s="6">
        <v>1.1127390500000001</v>
      </c>
      <c r="K51" s="2" t="s">
        <v>6</v>
      </c>
      <c r="M51" s="4" t="s">
        <v>15</v>
      </c>
      <c r="N51" s="6">
        <v>1.1128565500000001</v>
      </c>
      <c r="O51" s="6">
        <v>1.1128565500000001</v>
      </c>
      <c r="P51" s="6">
        <v>1.1128565500000001</v>
      </c>
      <c r="Q51" s="2" t="s">
        <v>6</v>
      </c>
      <c r="S51" s="4" t="s">
        <v>15</v>
      </c>
      <c r="T51" s="6">
        <v>1.11250505</v>
      </c>
      <c r="U51" s="6">
        <v>1.11250505</v>
      </c>
      <c r="V51" s="6">
        <v>1.11250505</v>
      </c>
      <c r="W51" s="2" t="s">
        <v>6</v>
      </c>
    </row>
    <row r="54" spans="1:23" x14ac:dyDescent="0.3">
      <c r="A54" s="21" t="s">
        <v>8</v>
      </c>
      <c r="B54" s="23" t="s">
        <v>9</v>
      </c>
      <c r="C54" s="23" t="s">
        <v>18</v>
      </c>
      <c r="G54" s="21" t="s">
        <v>8</v>
      </c>
      <c r="H54" s="23" t="s">
        <v>10</v>
      </c>
      <c r="I54" s="23" t="s">
        <v>18</v>
      </c>
      <c r="M54" s="21" t="s">
        <v>8</v>
      </c>
      <c r="N54" s="23" t="s">
        <v>11</v>
      </c>
      <c r="O54" s="23" t="s">
        <v>18</v>
      </c>
      <c r="S54" s="21" t="s">
        <v>8</v>
      </c>
      <c r="T54" s="23" t="s">
        <v>12</v>
      </c>
      <c r="U54" s="23" t="s">
        <v>18</v>
      </c>
    </row>
    <row r="55" spans="1:23" x14ac:dyDescent="0.3">
      <c r="A55" s="22"/>
      <c r="B55" s="23"/>
      <c r="C55" s="23"/>
      <c r="G55" s="22"/>
      <c r="H55" s="23"/>
      <c r="I55" s="23"/>
      <c r="M55" s="22"/>
      <c r="N55" s="23"/>
      <c r="O55" s="23"/>
      <c r="S55" s="22"/>
      <c r="T55" s="23"/>
      <c r="U55" s="23"/>
    </row>
    <row r="56" spans="1:23" ht="14.5" thickBot="1" x14ac:dyDescent="0.35">
      <c r="B56" t="s">
        <v>1</v>
      </c>
      <c r="C56" t="s">
        <v>2</v>
      </c>
      <c r="D56" t="s">
        <v>3</v>
      </c>
      <c r="H56" t="s">
        <v>1</v>
      </c>
      <c r="I56" t="s">
        <v>2</v>
      </c>
      <c r="J56" t="s">
        <v>3</v>
      </c>
      <c r="N56" t="s">
        <v>1</v>
      </c>
      <c r="O56" t="s">
        <v>2</v>
      </c>
      <c r="P56" t="s">
        <v>3</v>
      </c>
      <c r="T56" t="s">
        <v>1</v>
      </c>
      <c r="U56" t="s">
        <v>2</v>
      </c>
      <c r="V56" t="s">
        <v>3</v>
      </c>
    </row>
    <row r="57" spans="1:23" x14ac:dyDescent="0.3">
      <c r="A57" s="1" t="s">
        <v>16</v>
      </c>
      <c r="B57" s="7">
        <v>1.0754276</v>
      </c>
      <c r="C57" s="7">
        <v>1.0754246000000001</v>
      </c>
      <c r="D57" s="7">
        <v>1.0754215499999999</v>
      </c>
      <c r="E57" s="1" t="s">
        <v>4</v>
      </c>
      <c r="G57" s="1" t="s">
        <v>16</v>
      </c>
      <c r="H57" s="7">
        <v>1.0746433500000001</v>
      </c>
      <c r="I57" s="7">
        <v>1.0746388499999999</v>
      </c>
      <c r="J57" s="7">
        <v>1.0746353</v>
      </c>
      <c r="K57" s="1" t="s">
        <v>4</v>
      </c>
      <c r="M57" s="1" t="s">
        <v>16</v>
      </c>
      <c r="N57" s="7">
        <v>1.0747035</v>
      </c>
      <c r="O57" s="7">
        <v>1.0746990000000001</v>
      </c>
      <c r="P57" s="7">
        <v>1.07469445</v>
      </c>
      <c r="Q57" s="1" t="s">
        <v>4</v>
      </c>
      <c r="S57" s="1" t="s">
        <v>16</v>
      </c>
      <c r="T57" s="7">
        <v>1.0745153999999999</v>
      </c>
      <c r="U57" s="7">
        <v>1.0745108999999999</v>
      </c>
      <c r="V57" s="7">
        <v>1.0745103499999999</v>
      </c>
      <c r="W57" s="1" t="s">
        <v>4</v>
      </c>
    </row>
    <row r="58" spans="1:23" x14ac:dyDescent="0.3">
      <c r="A58" s="1" t="s">
        <v>14</v>
      </c>
      <c r="B58" s="5">
        <v>1.0754210500000001</v>
      </c>
      <c r="C58" s="5">
        <v>1.07542005</v>
      </c>
      <c r="D58" s="5">
        <v>1.0754195499999999</v>
      </c>
      <c r="E58" s="1" t="s">
        <v>4</v>
      </c>
      <c r="G58" s="1" t="s">
        <v>14</v>
      </c>
      <c r="H58" s="5">
        <v>1.0746348000000001</v>
      </c>
      <c r="I58" s="5">
        <v>1.0746338</v>
      </c>
      <c r="J58" s="5">
        <v>1.0746332999999999</v>
      </c>
      <c r="K58" s="1" t="s">
        <v>4</v>
      </c>
      <c r="M58" s="1" t="s">
        <v>14</v>
      </c>
      <c r="N58" s="5">
        <v>1.0746939499999999</v>
      </c>
      <c r="O58" s="5">
        <v>1.07469295</v>
      </c>
      <c r="P58" s="5">
        <v>1.0746924499999999</v>
      </c>
      <c r="Q58" s="1" t="s">
        <v>4</v>
      </c>
      <c r="S58" s="1" t="s">
        <v>14</v>
      </c>
      <c r="T58" s="5">
        <v>1.07450935</v>
      </c>
      <c r="U58" s="5">
        <v>1.07450935</v>
      </c>
      <c r="V58" s="5">
        <v>1.07450935</v>
      </c>
      <c r="W58" s="1" t="s">
        <v>4</v>
      </c>
    </row>
    <row r="59" spans="1:23" x14ac:dyDescent="0.3">
      <c r="A59" s="1" t="s">
        <v>20</v>
      </c>
      <c r="B59" s="5"/>
      <c r="C59" s="5"/>
      <c r="D59" s="5"/>
      <c r="E59" s="1" t="s">
        <v>4</v>
      </c>
      <c r="G59" s="1" t="s">
        <v>20</v>
      </c>
      <c r="H59" s="5">
        <v>1.0844445</v>
      </c>
      <c r="I59" s="5">
        <v>1.0844445</v>
      </c>
      <c r="J59" s="5">
        <v>1.0844445</v>
      </c>
      <c r="K59" s="1" t="s">
        <v>4</v>
      </c>
      <c r="M59" s="1" t="s">
        <v>20</v>
      </c>
      <c r="N59" s="5">
        <v>1.0845031000000001</v>
      </c>
      <c r="O59" s="5">
        <v>1.0845031000000001</v>
      </c>
      <c r="P59" s="5">
        <v>1.0845031000000001</v>
      </c>
      <c r="Q59" s="1" t="s">
        <v>4</v>
      </c>
      <c r="S59" s="1" t="s">
        <v>20</v>
      </c>
      <c r="T59" s="5">
        <v>1.084319</v>
      </c>
      <c r="U59" s="5">
        <v>1.084319</v>
      </c>
      <c r="V59" s="5">
        <v>1.084319</v>
      </c>
      <c r="W59" s="1" t="s">
        <v>4</v>
      </c>
    </row>
    <row r="60" spans="1:23" ht="14.5" thickBot="1" x14ac:dyDescent="0.35">
      <c r="A60" s="4" t="s">
        <v>15</v>
      </c>
      <c r="B60" s="6">
        <v>1.0754195499999999</v>
      </c>
      <c r="C60" s="6">
        <v>1.0754195499999999</v>
      </c>
      <c r="D60" s="6">
        <v>1.0754195499999999</v>
      </c>
      <c r="E60" s="2" t="s">
        <v>4</v>
      </c>
      <c r="G60" s="4" t="s">
        <v>15</v>
      </c>
      <c r="H60" s="6">
        <v>1.0746332999999999</v>
      </c>
      <c r="I60" s="6">
        <v>1.0746332999999999</v>
      </c>
      <c r="J60" s="6">
        <v>1.0746332999999999</v>
      </c>
      <c r="K60" s="2" t="s">
        <v>4</v>
      </c>
      <c r="M60" s="4" t="s">
        <v>15</v>
      </c>
      <c r="N60" s="6">
        <v>1.0746924499999999</v>
      </c>
      <c r="O60" s="6">
        <v>1.0746924499999999</v>
      </c>
      <c r="P60" s="6">
        <v>1.0746924499999999</v>
      </c>
      <c r="Q60" s="2" t="s">
        <v>4</v>
      </c>
      <c r="S60" s="4" t="s">
        <v>15</v>
      </c>
      <c r="T60" s="6">
        <v>1.07450935</v>
      </c>
      <c r="U60" s="6">
        <v>1.07450935</v>
      </c>
      <c r="V60" s="6">
        <v>1.07450935</v>
      </c>
      <c r="W60" s="2" t="s">
        <v>4</v>
      </c>
    </row>
    <row r="61" spans="1:23" x14ac:dyDescent="0.3">
      <c r="A61" s="1" t="s">
        <v>16</v>
      </c>
      <c r="B61" s="7">
        <v>1.0750316500000001</v>
      </c>
      <c r="C61" s="7">
        <v>1.0750286499999999</v>
      </c>
      <c r="D61" s="7">
        <v>1.0750256</v>
      </c>
      <c r="E61" s="1" t="s">
        <v>5</v>
      </c>
      <c r="G61" s="1" t="s">
        <v>16</v>
      </c>
      <c r="H61" s="7">
        <v>1.0742518999999999</v>
      </c>
      <c r="I61" s="7">
        <v>1.0742474</v>
      </c>
      <c r="J61" s="7">
        <v>1.07424385</v>
      </c>
      <c r="K61" s="1" t="s">
        <v>5</v>
      </c>
      <c r="M61" s="1" t="s">
        <v>16</v>
      </c>
      <c r="N61" s="7">
        <v>1.0743120500000001</v>
      </c>
      <c r="O61" s="7">
        <v>1.0743075499999999</v>
      </c>
      <c r="P61" s="7">
        <v>1.074303</v>
      </c>
      <c r="Q61" s="1" t="s">
        <v>5</v>
      </c>
      <c r="S61" s="1" t="s">
        <v>16</v>
      </c>
      <c r="T61" s="7">
        <v>1.0741239499999999</v>
      </c>
      <c r="U61" s="7">
        <v>1.07411945</v>
      </c>
      <c r="V61" s="7">
        <v>1.0741189</v>
      </c>
      <c r="W61" s="1" t="s">
        <v>5</v>
      </c>
    </row>
    <row r="62" spans="1:23" x14ac:dyDescent="0.3">
      <c r="A62" s="1" t="s">
        <v>14</v>
      </c>
      <c r="B62" s="5">
        <v>1.0750251</v>
      </c>
      <c r="C62" s="5">
        <v>1.0750241</v>
      </c>
      <c r="D62" s="5">
        <v>1.0750236</v>
      </c>
      <c r="E62" s="1" t="s">
        <v>5</v>
      </c>
      <c r="G62" s="1" t="s">
        <v>14</v>
      </c>
      <c r="H62" s="5">
        <v>1.0742433499999999</v>
      </c>
      <c r="I62" s="5">
        <v>1.07424235</v>
      </c>
      <c r="J62" s="5">
        <v>1.0742418499999999</v>
      </c>
      <c r="K62" s="1" t="s">
        <v>5</v>
      </c>
      <c r="M62" s="1" t="s">
        <v>14</v>
      </c>
      <c r="N62" s="5">
        <v>1.0743024999999999</v>
      </c>
      <c r="O62" s="5">
        <v>1.0743015</v>
      </c>
      <c r="P62" s="5">
        <v>1.074301</v>
      </c>
      <c r="Q62" s="1" t="s">
        <v>5</v>
      </c>
      <c r="S62" s="1" t="s">
        <v>14</v>
      </c>
      <c r="T62" s="5">
        <v>1.0741179000000001</v>
      </c>
      <c r="U62" s="5">
        <v>1.0741179000000001</v>
      </c>
      <c r="V62" s="5">
        <v>1.0741179000000001</v>
      </c>
      <c r="W62" s="1" t="s">
        <v>5</v>
      </c>
    </row>
    <row r="63" spans="1:23" x14ac:dyDescent="0.3">
      <c r="A63" s="1" t="s">
        <v>20</v>
      </c>
      <c r="B63" s="5"/>
      <c r="C63" s="5"/>
      <c r="D63" s="5"/>
      <c r="E63" s="1" t="s">
        <v>5</v>
      </c>
      <c r="G63" s="1" t="s">
        <v>20</v>
      </c>
      <c r="H63" s="5">
        <v>1.0827599000000001</v>
      </c>
      <c r="I63" s="5">
        <v>1.0827599000000001</v>
      </c>
      <c r="J63" s="5">
        <v>1.0827599000000001</v>
      </c>
      <c r="K63" s="1" t="s">
        <v>5</v>
      </c>
      <c r="M63" s="1" t="s">
        <v>20</v>
      </c>
      <c r="N63" s="5">
        <v>1.0828184999999999</v>
      </c>
      <c r="O63" s="5">
        <v>1.0828184999999999</v>
      </c>
      <c r="P63" s="5">
        <v>1.0828184999999999</v>
      </c>
      <c r="Q63" s="1" t="s">
        <v>5</v>
      </c>
      <c r="S63" s="1" t="s">
        <v>20</v>
      </c>
      <c r="T63" s="5">
        <v>1.0826343999999999</v>
      </c>
      <c r="U63" s="5">
        <v>1.0826343999999999</v>
      </c>
      <c r="V63" s="5">
        <v>1.0826343999999999</v>
      </c>
      <c r="W63" s="1" t="s">
        <v>5</v>
      </c>
    </row>
    <row r="64" spans="1:23" ht="14.5" thickBot="1" x14ac:dyDescent="0.35">
      <c r="A64" s="4" t="s">
        <v>15</v>
      </c>
      <c r="B64" s="6">
        <v>1.0750236</v>
      </c>
      <c r="C64" s="6">
        <v>1.0750236</v>
      </c>
      <c r="D64" s="6">
        <v>1.0750236</v>
      </c>
      <c r="E64" s="2" t="s">
        <v>5</v>
      </c>
      <c r="G64" s="4" t="s">
        <v>15</v>
      </c>
      <c r="H64" s="6">
        <v>1.0742418499999999</v>
      </c>
      <c r="I64" s="6">
        <v>1.0742418499999999</v>
      </c>
      <c r="J64" s="6">
        <v>1.0742418499999999</v>
      </c>
      <c r="K64" s="2" t="s">
        <v>5</v>
      </c>
      <c r="M64" s="4" t="s">
        <v>15</v>
      </c>
      <c r="N64" s="6">
        <v>1.074301</v>
      </c>
      <c r="O64" s="6">
        <v>1.074301</v>
      </c>
      <c r="P64" s="6">
        <v>1.074301</v>
      </c>
      <c r="Q64" s="2" t="s">
        <v>5</v>
      </c>
      <c r="S64" s="4" t="s">
        <v>15</v>
      </c>
      <c r="T64" s="6">
        <v>1.0741179000000001</v>
      </c>
      <c r="U64" s="6">
        <v>1.0741179000000001</v>
      </c>
      <c r="V64" s="6">
        <v>1.0741179000000001</v>
      </c>
      <c r="W64" s="2" t="s">
        <v>5</v>
      </c>
    </row>
    <row r="65" spans="1:23" x14ac:dyDescent="0.3">
      <c r="A65" s="1" t="s">
        <v>16</v>
      </c>
      <c r="B65" s="8">
        <v>1.07510675</v>
      </c>
      <c r="C65" s="8">
        <v>1.07510375</v>
      </c>
      <c r="D65" s="8">
        <v>1.0751006999999999</v>
      </c>
      <c r="E65" t="s">
        <v>6</v>
      </c>
      <c r="G65" s="1" t="s">
        <v>16</v>
      </c>
      <c r="H65" s="8">
        <v>1.07433</v>
      </c>
      <c r="I65" s="8">
        <v>1.0743255</v>
      </c>
      <c r="J65" s="8">
        <v>1.0743219500000001</v>
      </c>
      <c r="K65" t="s">
        <v>6</v>
      </c>
      <c r="M65" s="1" t="s">
        <v>16</v>
      </c>
      <c r="N65" s="8">
        <v>1.0743901499999999</v>
      </c>
      <c r="O65" s="8">
        <v>1.07438565</v>
      </c>
      <c r="P65" s="8">
        <v>1.0743811000000001</v>
      </c>
      <c r="Q65" t="s">
        <v>6</v>
      </c>
      <c r="S65" s="1" t="s">
        <v>16</v>
      </c>
      <c r="T65" s="8">
        <v>1.0742025500000001</v>
      </c>
      <c r="U65" s="8">
        <v>1.0741980499999999</v>
      </c>
      <c r="V65" s="8">
        <v>1.0741974999999999</v>
      </c>
      <c r="W65" t="s">
        <v>6</v>
      </c>
    </row>
    <row r="66" spans="1:23" x14ac:dyDescent="0.3">
      <c r="A66" s="1" t="s">
        <v>14</v>
      </c>
      <c r="B66" s="8">
        <v>1.0751002000000001</v>
      </c>
      <c r="C66" s="8">
        <v>1.0750991999999999</v>
      </c>
      <c r="D66" s="8">
        <v>1.0750987000000001</v>
      </c>
      <c r="E66" t="s">
        <v>6</v>
      </c>
      <c r="G66" s="1" t="s">
        <v>14</v>
      </c>
      <c r="H66" s="8">
        <v>1.07432145</v>
      </c>
      <c r="I66" s="8">
        <v>1.0743204500000001</v>
      </c>
      <c r="J66" s="8">
        <v>1.07431995</v>
      </c>
      <c r="K66" t="s">
        <v>6</v>
      </c>
      <c r="M66" s="1" t="s">
        <v>14</v>
      </c>
      <c r="N66" s="8">
        <v>1.0743806</v>
      </c>
      <c r="O66" s="8">
        <v>1.0743796000000001</v>
      </c>
      <c r="P66" s="8">
        <v>1.0743791</v>
      </c>
      <c r="Q66" t="s">
        <v>6</v>
      </c>
      <c r="S66" s="1" t="s">
        <v>14</v>
      </c>
      <c r="T66" s="8">
        <v>1.0741965</v>
      </c>
      <c r="U66" s="8">
        <v>1.0741965</v>
      </c>
      <c r="V66" s="8">
        <v>1.0741965</v>
      </c>
      <c r="W66" t="s">
        <v>6</v>
      </c>
    </row>
    <row r="67" spans="1:23" x14ac:dyDescent="0.3">
      <c r="A67" s="1" t="s">
        <v>20</v>
      </c>
      <c r="B67" s="8"/>
      <c r="C67" s="8"/>
      <c r="D67" s="8"/>
      <c r="E67" t="s">
        <v>6</v>
      </c>
      <c r="G67" s="1" t="s">
        <v>20</v>
      </c>
      <c r="H67" s="8">
        <v>1.0812591</v>
      </c>
      <c r="I67" s="8">
        <v>1.0812591</v>
      </c>
      <c r="J67" s="8">
        <v>1.0812591</v>
      </c>
      <c r="K67" t="s">
        <v>6</v>
      </c>
      <c r="M67" s="1" t="s">
        <v>20</v>
      </c>
      <c r="N67" s="8">
        <v>1.0813177</v>
      </c>
      <c r="O67" s="8">
        <v>1.0813177</v>
      </c>
      <c r="P67" s="8">
        <v>1.0813177</v>
      </c>
      <c r="Q67" t="s">
        <v>6</v>
      </c>
      <c r="S67" s="1" t="s">
        <v>20</v>
      </c>
      <c r="T67" s="8">
        <v>1.0811336</v>
      </c>
      <c r="U67" s="8">
        <v>1.0811336</v>
      </c>
      <c r="V67" s="8">
        <v>1.0811336</v>
      </c>
      <c r="W67" t="s">
        <v>6</v>
      </c>
    </row>
    <row r="68" spans="1:23" ht="14.5" thickBot="1" x14ac:dyDescent="0.35">
      <c r="A68" s="4" t="s">
        <v>15</v>
      </c>
      <c r="B68" s="6">
        <v>1.0750987000000001</v>
      </c>
      <c r="C68" s="6">
        <v>1.0750987000000001</v>
      </c>
      <c r="D68" s="6">
        <v>1.0750987000000001</v>
      </c>
      <c r="E68" s="2" t="s">
        <v>6</v>
      </c>
      <c r="G68" s="4" t="s">
        <v>15</v>
      </c>
      <c r="H68" s="6">
        <v>1.07431995</v>
      </c>
      <c r="I68" s="6">
        <v>1.07431995</v>
      </c>
      <c r="J68" s="6">
        <v>1.07431995</v>
      </c>
      <c r="K68" s="2" t="s">
        <v>6</v>
      </c>
      <c r="M68" s="4" t="s">
        <v>15</v>
      </c>
      <c r="N68" s="6">
        <v>1.0743791</v>
      </c>
      <c r="O68" s="6">
        <v>1.0743791</v>
      </c>
      <c r="P68" s="6">
        <v>1.0743791</v>
      </c>
      <c r="Q68" s="2" t="s">
        <v>6</v>
      </c>
      <c r="S68" s="4" t="s">
        <v>15</v>
      </c>
      <c r="T68" s="6">
        <v>1.0741965</v>
      </c>
      <c r="U68" s="6">
        <v>1.0741965</v>
      </c>
      <c r="V68" s="6">
        <v>1.0741965</v>
      </c>
      <c r="W68" s="2" t="s">
        <v>6</v>
      </c>
    </row>
    <row r="72" spans="1:23" x14ac:dyDescent="0.3">
      <c r="A72" t="s">
        <v>42</v>
      </c>
      <c r="B72">
        <f>MIN(A1:W68)</f>
        <v>1.0741179000000001</v>
      </c>
    </row>
    <row r="81" spans="1:23" x14ac:dyDescent="0.3">
      <c r="A81" t="s">
        <v>44</v>
      </c>
      <c r="B81">
        <f>MIN(G83:W150)</f>
        <v>1448.6192358000001</v>
      </c>
    </row>
    <row r="83" spans="1:23" x14ac:dyDescent="0.3">
      <c r="A83" s="21" t="s">
        <v>7</v>
      </c>
      <c r="B83" s="23" t="s">
        <v>9</v>
      </c>
      <c r="C83" s="23" t="s">
        <v>17</v>
      </c>
      <c r="G83" s="21" t="s">
        <v>7</v>
      </c>
      <c r="H83" s="23" t="s">
        <v>10</v>
      </c>
      <c r="I83" s="23" t="s">
        <v>17</v>
      </c>
      <c r="M83" s="21" t="s">
        <v>7</v>
      </c>
      <c r="N83" s="23" t="s">
        <v>11</v>
      </c>
      <c r="O83" s="23" t="s">
        <v>17</v>
      </c>
      <c r="S83" s="21" t="s">
        <v>7</v>
      </c>
      <c r="T83" s="23" t="s">
        <v>12</v>
      </c>
      <c r="U83" s="23" t="s">
        <v>17</v>
      </c>
    </row>
    <row r="84" spans="1:23" x14ac:dyDescent="0.3">
      <c r="A84" s="22"/>
      <c r="B84" s="23"/>
      <c r="C84" s="23"/>
      <c r="G84" s="22"/>
      <c r="H84" s="23"/>
      <c r="I84" s="23"/>
      <c r="M84" s="22"/>
      <c r="N84" s="23"/>
      <c r="O84" s="23"/>
      <c r="S84" s="22"/>
      <c r="T84" s="23"/>
      <c r="U84" s="23"/>
    </row>
    <row r="85" spans="1:23" ht="14.5" thickBot="1" x14ac:dyDescent="0.35">
      <c r="B85" s="2" t="s">
        <v>1</v>
      </c>
      <c r="C85" s="2" t="s">
        <v>2</v>
      </c>
      <c r="D85" s="2" t="s">
        <v>3</v>
      </c>
      <c r="H85" s="2" t="s">
        <v>1</v>
      </c>
      <c r="I85" s="2" t="s">
        <v>2</v>
      </c>
      <c r="J85" s="2" t="s">
        <v>3</v>
      </c>
      <c r="N85" s="2" t="s">
        <v>1</v>
      </c>
      <c r="O85" s="2" t="s">
        <v>2</v>
      </c>
      <c r="P85" s="2" t="s">
        <v>3</v>
      </c>
      <c r="T85" s="2" t="s">
        <v>1</v>
      </c>
      <c r="U85" s="2" t="s">
        <v>2</v>
      </c>
      <c r="V85" s="2" t="s">
        <v>3</v>
      </c>
    </row>
    <row r="86" spans="1:23" x14ac:dyDescent="0.3">
      <c r="A86" s="1" t="s">
        <v>16</v>
      </c>
      <c r="E86" s="1" t="s">
        <v>4</v>
      </c>
      <c r="G86" s="1" t="s">
        <v>16</v>
      </c>
      <c r="H86" s="8">
        <f>(64*4+256*4+1*2+20+20+20)*H4</f>
        <v>1553.3087031</v>
      </c>
      <c r="I86" s="8">
        <f>(64*4+256*4+1*2+40+20+20)*I4</f>
        <v>1576.4559573000001</v>
      </c>
      <c r="J86" s="8">
        <f>(64*4+256*4+1*2+80+20+20)*J4</f>
        <v>1622.7499472</v>
      </c>
      <c r="K86" s="1" t="s">
        <v>4</v>
      </c>
      <c r="M86" s="1" t="s">
        <v>16</v>
      </c>
      <c r="N86" s="8">
        <f>(64*4+256*4+1*2+20+20+40)*N4</f>
        <v>1570.1170731000002</v>
      </c>
      <c r="O86" s="8">
        <f>(64*4+256*4+1*2+40+20+40)*O4</f>
        <v>1593.1684252999999</v>
      </c>
      <c r="P86" s="8">
        <f>(64*4+256*4+1*2+80+20+40)*P4</f>
        <v>1639.2796092000001</v>
      </c>
      <c r="Q86" s="1" t="s">
        <v>4</v>
      </c>
      <c r="S86" s="1" t="s">
        <v>16</v>
      </c>
      <c r="T86" s="8">
        <f>(64*4+256*4+1*2+20+20+80)*T4</f>
        <v>1614.4177910999999</v>
      </c>
      <c r="U86" s="8">
        <f>(64*4+256*4+1*2+40+20+80)*U4</f>
        <v>1637.4438783000001</v>
      </c>
      <c r="V86" s="8">
        <f>(64*4+256*4+1*2+80+20+80)*V4</f>
        <v>1683.5011871999998</v>
      </c>
      <c r="W86" s="1" t="s">
        <v>4</v>
      </c>
    </row>
    <row r="87" spans="1:23" x14ac:dyDescent="0.3">
      <c r="A87" s="1" t="s">
        <v>14</v>
      </c>
      <c r="E87" s="1" t="s">
        <v>4</v>
      </c>
      <c r="G87" s="1" t="s">
        <v>14</v>
      </c>
      <c r="H87" s="8">
        <f>(128*4+256*4+1*2+20+20+20)*H5</f>
        <v>1849.6116518000001</v>
      </c>
      <c r="I87" s="8">
        <f>(128*4+256*4+1*2+40+20+20)*I5</f>
        <v>1872.7591158000002</v>
      </c>
      <c r="J87" s="8">
        <f>(128*4+256*4+1*2+80+20+20)*J5</f>
        <v>1919.0564108000001</v>
      </c>
      <c r="K87" s="1" t="s">
        <v>4</v>
      </c>
      <c r="M87" s="1" t="s">
        <v>14</v>
      </c>
      <c r="N87" s="8">
        <f>(128*4+256*4+1*2+20+20+40)*N5</f>
        <v>1865.2281348000001</v>
      </c>
      <c r="O87" s="8">
        <f>(128*4+256*4+1*2+40+20+40)*O5</f>
        <v>1888.2824688000001</v>
      </c>
      <c r="P87" s="8">
        <f>(128*4+256*4+1*2+80+20+40)*P5</f>
        <v>1934.3943727999999</v>
      </c>
      <c r="Q87" s="1" t="s">
        <v>4</v>
      </c>
      <c r="S87" s="1" t="s">
        <v>14</v>
      </c>
      <c r="T87" s="8">
        <f>(128*4+256*4+1*2+20+20+80)*T5</f>
        <v>1909.1962847999998</v>
      </c>
      <c r="U87" s="8">
        <f>(128*4+256*4+1*2+40+20+80)*U5</f>
        <v>1932.2247187999999</v>
      </c>
      <c r="V87" s="8">
        <f>(128*4+256*4+1*2+80+20+80)*V5</f>
        <v>1978.2849028000001</v>
      </c>
      <c r="W87" s="1" t="s">
        <v>4</v>
      </c>
    </row>
    <row r="88" spans="1:23" x14ac:dyDescent="0.3">
      <c r="A88" s="1" t="s">
        <v>20</v>
      </c>
      <c r="E88" s="1" t="s">
        <v>4</v>
      </c>
      <c r="G88" s="1" t="s">
        <v>20</v>
      </c>
      <c r="H88" s="8">
        <f>(256*4+128*4+2+20+20+20)*H6</f>
        <v>1865.3195124000001</v>
      </c>
      <c r="I88" s="8">
        <f>(256*4+128*4+2+40+20+20)*I6</f>
        <v>1888.6651884000003</v>
      </c>
      <c r="J88" s="8">
        <f>(256*4+128*4+2+80+20+20)*J6</f>
        <v>1935.3565404000001</v>
      </c>
      <c r="K88" s="1" t="s">
        <v>4</v>
      </c>
      <c r="M88" s="1" t="s">
        <v>20</v>
      </c>
      <c r="N88" s="8">
        <f>(256*4+128*4+2+20+20+40)*N6</f>
        <v>1879.4587683999998</v>
      </c>
      <c r="O88" s="8">
        <f>(256*4+128*4+2+40+20+40)*O6</f>
        <v>1902.6906443999999</v>
      </c>
      <c r="P88" s="8">
        <f>(256*4+128*4+2+80+20+40)*P6</f>
        <v>1949.1543963999998</v>
      </c>
      <c r="Q88" s="1" t="s">
        <v>4</v>
      </c>
      <c r="S88" s="1" t="s">
        <v>20</v>
      </c>
      <c r="T88" s="8">
        <f>(256*4+128*4+2+20+20+80)*T6</f>
        <v>1923.6933394</v>
      </c>
      <c r="U88" s="8">
        <f>(256*4+128*4+2+40+20+80)*U6</f>
        <v>1946.8983254</v>
      </c>
      <c r="V88" s="8">
        <f>(256*4+128*4+2+80+20+80)*V6</f>
        <v>1993.3082974000001</v>
      </c>
      <c r="W88" s="1" t="s">
        <v>4</v>
      </c>
    </row>
    <row r="89" spans="1:23" ht="14.5" thickBot="1" x14ac:dyDescent="0.35">
      <c r="A89" s="4" t="s">
        <v>15</v>
      </c>
      <c r="B89" s="2"/>
      <c r="C89" s="2"/>
      <c r="D89" s="2"/>
      <c r="E89" s="2" t="s">
        <v>4</v>
      </c>
      <c r="G89" s="4" t="s">
        <v>15</v>
      </c>
      <c r="H89" s="6">
        <f>(256*4+256*4+2+20+20+20)*H7</f>
        <v>2442.2249860000002</v>
      </c>
      <c r="I89" s="6">
        <f>(256*4+256*4+2+40+20+20)*I7</f>
        <v>2465.3740379999999</v>
      </c>
      <c r="J89" s="6">
        <f>(256*4+256*4+2+80+20+20)*J7</f>
        <v>2511.6721419999999</v>
      </c>
      <c r="K89" s="2" t="s">
        <v>4</v>
      </c>
      <c r="M89" s="4" t="s">
        <v>15</v>
      </c>
      <c r="N89" s="6">
        <f>(256*4+256*4+2+20+20+40)*N7</f>
        <v>2455.4588880000001</v>
      </c>
      <c r="O89" s="6">
        <f>(256*4+256*4+2+40+20+40)*O7</f>
        <v>2478.5148399999998</v>
      </c>
      <c r="P89" s="6">
        <f>(256*4+256*4+2+80+20+40)*P7</f>
        <v>2524.6267440000001</v>
      </c>
      <c r="Q89" s="2" t="s">
        <v>4</v>
      </c>
      <c r="S89" s="4" t="s">
        <v>15</v>
      </c>
      <c r="T89" s="6">
        <f>(256*4+256*4+2+20+20+80)*T7</f>
        <v>2498.7649820000001</v>
      </c>
      <c r="U89" s="6">
        <f>(256*4+256*4+2+40+20+80)*U7</f>
        <v>2521.7950740000001</v>
      </c>
      <c r="V89" s="6">
        <f>(256*4+256*4+2+80+20+80)*V7</f>
        <v>2567.855258</v>
      </c>
      <c r="W89" s="2" t="s">
        <v>4</v>
      </c>
    </row>
    <row r="90" spans="1:23" x14ac:dyDescent="0.3">
      <c r="A90" s="1" t="s">
        <v>16</v>
      </c>
      <c r="E90" s="1" t="s">
        <v>5</v>
      </c>
      <c r="G90" s="1" t="s">
        <v>16</v>
      </c>
      <c r="H90" s="8">
        <f>(64*4+256*4+1*2+20+40+20)*H8</f>
        <v>1575.6022557000001</v>
      </c>
      <c r="I90" s="8">
        <f>(64*4+256*4+1*2+40+40+20)*I8</f>
        <v>1598.7376088999999</v>
      </c>
      <c r="J90" s="8">
        <f>(64*4+256*4+1*2+80+40+20)*J8</f>
        <v>1645.0064298000002</v>
      </c>
      <c r="K90" s="1" t="s">
        <v>5</v>
      </c>
      <c r="M90" s="1" t="s">
        <v>16</v>
      </c>
      <c r="N90" s="8">
        <f>(64*4+256*4+1*2+20+40+40)*N8</f>
        <v>1592.5944807000001</v>
      </c>
      <c r="O90" s="8">
        <f>(64*4+256*4+1*2+40+40+40)*O8</f>
        <v>1615.6380918999998</v>
      </c>
      <c r="P90" s="8">
        <f>(64*4+256*4+1*2+80+40+40)*P8</f>
        <v>1661.7318158000003</v>
      </c>
      <c r="Q90" s="1" t="s">
        <v>5</v>
      </c>
      <c r="S90" s="1" t="s">
        <v>16</v>
      </c>
      <c r="T90" s="8">
        <f>(64*4+256*4+1*2+20+40+80)*T8</f>
        <v>1637.0132967000002</v>
      </c>
      <c r="U90" s="8">
        <f>(64*4+256*4+1*2+40+40+80)*U8</f>
        <v>1660.0324909000001</v>
      </c>
      <c r="V90" s="8">
        <f>(64*4+256*4+1*2+80+40+80)*V8</f>
        <v>1706.0775108</v>
      </c>
      <c r="W90" s="1" t="s">
        <v>5</v>
      </c>
    </row>
    <row r="91" spans="1:23" x14ac:dyDescent="0.3">
      <c r="A91" s="1" t="s">
        <v>14</v>
      </c>
      <c r="E91" s="1" t="s">
        <v>5</v>
      </c>
      <c r="G91" s="1" t="s">
        <v>14</v>
      </c>
      <c r="H91" s="8">
        <f>(128*4+256*4+1*2+20+40+20)*H9</f>
        <v>1871.7451151999999</v>
      </c>
      <c r="I91" s="8">
        <f>(128*4+256*4+1*2+40+40+20)*I9</f>
        <v>1894.8800051999999</v>
      </c>
      <c r="J91" s="8">
        <f>(128*4+256*4+1*2+80+40+20)*J9</f>
        <v>1941.1521822</v>
      </c>
      <c r="K91" s="1" t="s">
        <v>5</v>
      </c>
      <c r="M91" s="1" t="s">
        <v>14</v>
      </c>
      <c r="N91" s="8">
        <f>(128*4+256*4+1*2+20+40+40)*N9</f>
        <v>1887.5990952</v>
      </c>
      <c r="O91" s="8">
        <f>(128*4+256*4+1*2+40+40+40)*O9</f>
        <v>1910.6442162000001</v>
      </c>
      <c r="P91" s="8">
        <f>(128*4+256*4+1*2+80+40+40)*P9</f>
        <v>1956.7393721999999</v>
      </c>
      <c r="Q91" s="1" t="s">
        <v>5</v>
      </c>
      <c r="S91" s="1" t="s">
        <v>14</v>
      </c>
      <c r="T91" s="8">
        <f>(128*4+256*4+1*2+20+40+80)*T9</f>
        <v>1931.7125932000001</v>
      </c>
      <c r="U91" s="8">
        <f>(128*4+256*4+1*2+40+40+80)*U9</f>
        <v>1954.7348832</v>
      </c>
      <c r="V91" s="8">
        <f>(128*4+256*4+1*2+80+40+80)*V9</f>
        <v>2000.7828191999999</v>
      </c>
      <c r="W91" s="1" t="s">
        <v>5</v>
      </c>
    </row>
    <row r="92" spans="1:23" x14ac:dyDescent="0.3">
      <c r="A92" s="1" t="s">
        <v>20</v>
      </c>
      <c r="E92" s="1" t="s">
        <v>5</v>
      </c>
      <c r="G92" s="1" t="s">
        <v>20</v>
      </c>
      <c r="H92" s="8">
        <f>(256*4+128*4+2+20+40+20)*H10</f>
        <v>1886.0963707000001</v>
      </c>
      <c r="I92" s="8">
        <f>(256*4+128*4+2+40+40+20)*I10</f>
        <v>1909.4102937</v>
      </c>
      <c r="J92" s="8">
        <f>(256*4+128*4+2+80+40+20)*J10</f>
        <v>1956.0381397000001</v>
      </c>
      <c r="K92" s="1" t="s">
        <v>5</v>
      </c>
      <c r="M92" s="1" t="s">
        <v>20</v>
      </c>
      <c r="N92" s="8">
        <f>(256*4+128*4+2+20+40+40)*N10</f>
        <v>1900.3685337000002</v>
      </c>
      <c r="O92" s="8">
        <f>(256*4+128*4+2+40+40+40)*O10</f>
        <v>1923.5720567000001</v>
      </c>
      <c r="P92" s="8">
        <f>(256*4+128*4+2+80+40+40)*P10</f>
        <v>1969.9791027000001</v>
      </c>
      <c r="Q92" s="1" t="s">
        <v>5</v>
      </c>
      <c r="S92" s="1" t="s">
        <v>20</v>
      </c>
      <c r="T92" s="8">
        <f>(256*4+128*4+2+20+40+80)*T10</f>
        <v>1944.5539076999999</v>
      </c>
      <c r="U92" s="8">
        <f>(256*4+128*4+2+40+40+80)*U10</f>
        <v>1967.7309507</v>
      </c>
      <c r="V92" s="8">
        <f>(256*4+128*4+2+80+40+80)*V10</f>
        <v>2014.0850367</v>
      </c>
      <c r="W92" s="1" t="s">
        <v>5</v>
      </c>
    </row>
    <row r="93" spans="1:23" ht="14.5" thickBot="1" x14ac:dyDescent="0.35">
      <c r="A93" s="4" t="s">
        <v>15</v>
      </c>
      <c r="B93" s="2"/>
      <c r="C93" s="2"/>
      <c r="D93" s="2"/>
      <c r="E93" s="2" t="s">
        <v>5</v>
      </c>
      <c r="G93" s="4" t="s">
        <v>15</v>
      </c>
      <c r="H93" s="6">
        <f>(256*4+256*4+2+20+40+20)*H11</f>
        <v>2464.0370370000001</v>
      </c>
      <c r="I93" s="6">
        <f>(256*4+256*4+2+40+40+20)*I11</f>
        <v>2487.1735349999999</v>
      </c>
      <c r="J93" s="6">
        <f>(256*4+256*4+2+80+40+20)*J11</f>
        <v>2533.446531</v>
      </c>
      <c r="K93" s="2" t="s">
        <v>5</v>
      </c>
      <c r="M93" s="4" t="s">
        <v>15</v>
      </c>
      <c r="N93" s="6">
        <f>(256*4+256*4+2+20+40+40)*N11</f>
        <v>2477.6146349999999</v>
      </c>
      <c r="O93" s="6">
        <f>(256*4+256*4+2+40+40+40)*O11</f>
        <v>2500.6622130000001</v>
      </c>
      <c r="P93" s="6">
        <f>(256*4+256*4+2+80+40+40)*P11</f>
        <v>2546.7573689999999</v>
      </c>
      <c r="Q93" s="2" t="s">
        <v>5</v>
      </c>
      <c r="S93" s="4" t="s">
        <v>15</v>
      </c>
      <c r="T93" s="6">
        <f>(256*4+256*4+2+20+40+80)*T11</f>
        <v>2521.1244959999999</v>
      </c>
      <c r="U93" s="6">
        <f>(256*4+256*4+2+40+40+80)*U11</f>
        <v>2544.1484639999999</v>
      </c>
      <c r="V93" s="6">
        <f>(256*4+256*4+2+80+40+80)*V11</f>
        <v>2590.1963999999998</v>
      </c>
      <c r="W93" s="2" t="s">
        <v>5</v>
      </c>
    </row>
    <row r="94" spans="1:23" x14ac:dyDescent="0.3">
      <c r="A94" s="1" t="s">
        <v>16</v>
      </c>
      <c r="E94" t="s">
        <v>6</v>
      </c>
      <c r="G94" s="1" t="s">
        <v>16</v>
      </c>
      <c r="H94" s="8">
        <f>(64*4+256*4+1*2+20+80+20)*H12</f>
        <v>1621.7817259999999</v>
      </c>
      <c r="I94" s="8">
        <f>(64*4+256*4+1*2+40+80+20)*I12</f>
        <v>1644.9149952</v>
      </c>
      <c r="J94" s="8">
        <f>(64*4+256*4+1*2+80+80+20)*J12</f>
        <v>1691.1810000999999</v>
      </c>
      <c r="K94" t="s">
        <v>6</v>
      </c>
      <c r="M94" s="1" t="s">
        <v>16</v>
      </c>
      <c r="N94" s="8">
        <f>(64*4+256*4+1*2+20+80+40)*N12</f>
        <v>1638.7341300000001</v>
      </c>
      <c r="O94" s="8">
        <f>(64*4+256*4+1*2+40+80+40)*O12</f>
        <v>1661.7782482</v>
      </c>
      <c r="P94" s="8">
        <f>(64*4+256*4+1*2+80+80+40)*P12</f>
        <v>1707.8731760999999</v>
      </c>
      <c r="Q94" t="s">
        <v>6</v>
      </c>
      <c r="S94" s="1" t="s">
        <v>16</v>
      </c>
      <c r="T94" s="8">
        <f>(64*4+256*4+1*2+20+80+80)*T12</f>
        <v>1683.1998689999998</v>
      </c>
      <c r="U94" s="8">
        <f>(64*4+256*4+1*2+40+80+80)*U12</f>
        <v>1706.2208201999999</v>
      </c>
      <c r="V94" s="8">
        <f>(64*4+256*4+1*2+80+80+80)*V12</f>
        <v>1752.2703051000001</v>
      </c>
      <c r="W94" t="s">
        <v>6</v>
      </c>
    </row>
    <row r="95" spans="1:23" x14ac:dyDescent="0.3">
      <c r="A95" s="1" t="s">
        <v>14</v>
      </c>
      <c r="E95" t="s">
        <v>6</v>
      </c>
      <c r="G95" s="1" t="s">
        <v>14</v>
      </c>
      <c r="H95" s="8">
        <f>(128*4+256*4+1*2+20+80+20)*H13</f>
        <v>1917.9065049000001</v>
      </c>
      <c r="I95" s="8">
        <f>(128*4+256*4+1*2+40+80+20)*I13</f>
        <v>1941.0400079000001</v>
      </c>
      <c r="J95" s="8">
        <f>(128*4+256*4+1*2+80+80+20)*J13</f>
        <v>1987.3094709</v>
      </c>
      <c r="K95" t="s">
        <v>6</v>
      </c>
      <c r="M95" s="1" t="s">
        <v>14</v>
      </c>
      <c r="N95" s="8">
        <f>(128*4+256*4+1*2+20+80+40)*N13</f>
        <v>1933.7465809</v>
      </c>
      <c r="O95" s="8">
        <f>(128*4+256*4+1*2+40+80+40)*O13</f>
        <v>1956.7922649000002</v>
      </c>
      <c r="P95" s="8">
        <f>(128*4+256*4+1*2+80+80+40)*P13</f>
        <v>2002.8886669000001</v>
      </c>
      <c r="Q95" t="s">
        <v>6</v>
      </c>
      <c r="S95" s="1" t="s">
        <v>14</v>
      </c>
      <c r="T95" s="8">
        <f>(128*4+256*4+1*2+20+80+80)*T13</f>
        <v>1977.9231778999999</v>
      </c>
      <c r="U95" s="8">
        <f>(128*4+256*4+1*2+40+80+80)*U13</f>
        <v>2000.9481899000002</v>
      </c>
      <c r="V95" s="8">
        <f>(128*4+256*4+1*2+80+80+80)*V13</f>
        <v>2046.9999319000001</v>
      </c>
      <c r="W95" t="s">
        <v>6</v>
      </c>
    </row>
    <row r="96" spans="1:23" x14ac:dyDescent="0.3">
      <c r="A96" s="1" t="s">
        <v>20</v>
      </c>
      <c r="E96" t="s">
        <v>6</v>
      </c>
      <c r="G96" s="1" t="s">
        <v>20</v>
      </c>
      <c r="H96" s="8">
        <f>(256*4+128*4+2+20+80+20)*H14</f>
        <v>1930.5179161000001</v>
      </c>
      <c r="I96" s="8">
        <f>(256*4+128*4+2+40+80+20)*I14</f>
        <v>1953.8052251000001</v>
      </c>
      <c r="J96" s="8">
        <f>(256*4+128*4+2+80+80+20)*J14</f>
        <v>2000.3798431</v>
      </c>
      <c r="K96" t="s">
        <v>6</v>
      </c>
      <c r="M96" s="1" t="s">
        <v>20</v>
      </c>
      <c r="N96" s="8">
        <f>(256*4+128*4+2+20+80+40)*N14</f>
        <v>1944.6307601000001</v>
      </c>
      <c r="O96" s="8">
        <f>(256*4+128*4+2+40+80+40)*O14</f>
        <v>1967.8087191000002</v>
      </c>
      <c r="P96" s="8">
        <f>(256*4+128*4+2+80+80+40)*P14</f>
        <v>2014.1646371000002</v>
      </c>
      <c r="Q96" t="s">
        <v>6</v>
      </c>
      <c r="S96" s="1" t="s">
        <v>20</v>
      </c>
      <c r="T96" s="8">
        <f>(256*4+128*4+2+20+80+80)*T14</f>
        <v>1988.7283671</v>
      </c>
      <c r="U96" s="8">
        <f>(256*4+128*4+2+40+80+80)*U14</f>
        <v>2011.8800360999999</v>
      </c>
      <c r="V96" s="8">
        <f>(256*4+128*4+2+80+80+80)*V14</f>
        <v>2058.1833741</v>
      </c>
      <c r="W96" t="s">
        <v>6</v>
      </c>
    </row>
    <row r="97" spans="1:23" ht="14.5" thickBot="1" x14ac:dyDescent="0.35">
      <c r="A97" s="4" t="s">
        <v>15</v>
      </c>
      <c r="B97" s="2"/>
      <c r="C97" s="2"/>
      <c r="D97" s="2"/>
      <c r="E97" s="2" t="s">
        <v>6</v>
      </c>
      <c r="G97" s="4" t="s">
        <v>15</v>
      </c>
      <c r="H97" s="6">
        <f>(256*4+256*4+2+20+80+20)*H15</f>
        <v>2510.1638834999999</v>
      </c>
      <c r="I97" s="6">
        <f>(256*4+256*4+2+40+80+20)*I15</f>
        <v>2533.2990344999998</v>
      </c>
      <c r="J97" s="6">
        <f>(256*4+256*4+2+80+80+20)*J15</f>
        <v>2579.5693365000002</v>
      </c>
      <c r="K97" s="2" t="s">
        <v>6</v>
      </c>
      <c r="M97" s="4" t="s">
        <v>15</v>
      </c>
      <c r="N97" s="6">
        <f>(256*4+256*4+2+20+80+40)*N15</f>
        <v>2523.7780095000003</v>
      </c>
      <c r="O97" s="6">
        <f>(256*4+256*4+2+40+80+40)*O15</f>
        <v>2546.8262105000003</v>
      </c>
      <c r="P97" s="6">
        <f>(256*4+256*4+2+80+80+40)*P15</f>
        <v>2592.9226125</v>
      </c>
      <c r="Q97" s="2" t="s">
        <v>6</v>
      </c>
      <c r="S97" s="4" t="s">
        <v>15</v>
      </c>
      <c r="T97" s="6">
        <f>(256*4+256*4+2+20+80+80)*T15</f>
        <v>2567.3846165000004</v>
      </c>
      <c r="U97" s="6">
        <f>(256*4+256*4+2+40+80+80)*U15</f>
        <v>2590.4104875000003</v>
      </c>
      <c r="V97" s="6">
        <f>(256*4+256*4+2+80+80+80)*V15</f>
        <v>2636.4622295000004</v>
      </c>
      <c r="W97" s="2" t="s">
        <v>6</v>
      </c>
    </row>
    <row r="100" spans="1:23" x14ac:dyDescent="0.3">
      <c r="A100" s="21" t="s">
        <v>8</v>
      </c>
      <c r="B100" s="23" t="s">
        <v>9</v>
      </c>
      <c r="C100" s="23" t="s">
        <v>17</v>
      </c>
      <c r="G100" s="21" t="s">
        <v>8</v>
      </c>
      <c r="H100" s="23" t="s">
        <v>10</v>
      </c>
      <c r="I100" s="23" t="s">
        <v>17</v>
      </c>
      <c r="M100" s="21" t="s">
        <v>8</v>
      </c>
      <c r="N100" s="23" t="s">
        <v>11</v>
      </c>
      <c r="O100" s="23" t="s">
        <v>17</v>
      </c>
      <c r="S100" s="21" t="s">
        <v>8</v>
      </c>
      <c r="T100" s="23" t="s">
        <v>12</v>
      </c>
      <c r="U100" s="23" t="s">
        <v>17</v>
      </c>
    </row>
    <row r="101" spans="1:23" x14ac:dyDescent="0.3">
      <c r="A101" s="22"/>
      <c r="B101" s="23"/>
      <c r="C101" s="23"/>
      <c r="G101" s="22"/>
      <c r="H101" s="23"/>
      <c r="I101" s="23"/>
      <c r="M101" s="22"/>
      <c r="N101" s="23"/>
      <c r="O101" s="23"/>
      <c r="S101" s="22"/>
      <c r="T101" s="23"/>
      <c r="U101" s="23"/>
    </row>
    <row r="102" spans="1:23" ht="14.5" thickBot="1" x14ac:dyDescent="0.35">
      <c r="B102" s="2" t="s">
        <v>1</v>
      </c>
      <c r="C102" s="2" t="s">
        <v>2</v>
      </c>
      <c r="D102" s="2" t="s">
        <v>3</v>
      </c>
      <c r="H102" s="2" t="s">
        <v>1</v>
      </c>
      <c r="I102" s="2" t="s">
        <v>2</v>
      </c>
      <c r="J102" s="2" t="s">
        <v>3</v>
      </c>
      <c r="N102" s="2" t="s">
        <v>1</v>
      </c>
      <c r="O102" s="2" t="s">
        <v>2</v>
      </c>
      <c r="P102" s="2" t="s">
        <v>3</v>
      </c>
      <c r="T102" s="2" t="s">
        <v>1</v>
      </c>
      <c r="U102" s="2" t="s">
        <v>2</v>
      </c>
      <c r="V102" s="2" t="s">
        <v>3</v>
      </c>
    </row>
    <row r="103" spans="1:23" x14ac:dyDescent="0.3">
      <c r="A103" s="1" t="s">
        <v>16</v>
      </c>
      <c r="E103" s="1" t="s">
        <v>4</v>
      </c>
      <c r="G103" s="1" t="s">
        <v>16</v>
      </c>
      <c r="H103" s="8">
        <f>(64*4+256*4+1*2+20+20+20)*H21</f>
        <v>1492.4364553999999</v>
      </c>
      <c r="I103" s="8">
        <f>(64*4+256*4+1*2+40+20+20)*I21</f>
        <v>1514.6764544999999</v>
      </c>
      <c r="J103" s="8">
        <f>(64*4+256*4+1*2+80+20+20)*J21</f>
        <v>1559.1581714000001</v>
      </c>
      <c r="K103" s="1" t="s">
        <v>4</v>
      </c>
      <c r="M103" s="1" t="s">
        <v>16</v>
      </c>
      <c r="N103" s="8">
        <f>(64*4+256*4+1*2+20+20+40)*N21</f>
        <v>1508.1132488999999</v>
      </c>
      <c r="O103" s="8">
        <f>(64*4+256*4+1*2+40+20+40)*O21</f>
        <v>1530.2574359</v>
      </c>
      <c r="P103" s="8">
        <f>(64*4+256*4+1*2+80+20+40)*P21</f>
        <v>1574.5456188000001</v>
      </c>
      <c r="Q103" s="1" t="s">
        <v>4</v>
      </c>
      <c r="S103" s="1" t="s">
        <v>16</v>
      </c>
      <c r="T103" s="8">
        <f>(64*4+256*4+1*2+20+20+80)*T21</f>
        <v>1550.1109953</v>
      </c>
      <c r="U103" s="8">
        <f>(64*4+256*4+1*2+40+20+80)*U21</f>
        <v>1572.2224262999998</v>
      </c>
      <c r="V103" s="8">
        <f>(64*4+256*4+1*2+80+20+80)*V21</f>
        <v>1616.4458262000001</v>
      </c>
      <c r="W103" s="1" t="s">
        <v>4</v>
      </c>
    </row>
    <row r="104" spans="1:23" x14ac:dyDescent="0.3">
      <c r="A104" s="1" t="s">
        <v>14</v>
      </c>
      <c r="E104" s="1" t="s">
        <v>4</v>
      </c>
      <c r="G104" s="1" t="s">
        <v>14</v>
      </c>
      <c r="H104" s="8">
        <f>(128*4+256*4+1*2+20+20+20)*H22</f>
        <v>1777.1281296</v>
      </c>
      <c r="I104" s="8">
        <f>(128*4+256*4+1*2+40+20+20)*I22</f>
        <v>1799.3700335999999</v>
      </c>
      <c r="J104" s="8">
        <f>(128*4+256*4+1*2+80+20+20)*J22</f>
        <v>1843.8530126000001</v>
      </c>
      <c r="K104" s="1" t="s">
        <v>4</v>
      </c>
      <c r="M104" s="1" t="s">
        <v>14</v>
      </c>
      <c r="N104" s="8">
        <f>(128*4+256*4+1*2+20+20+40)*N22</f>
        <v>1791.5707881999999</v>
      </c>
      <c r="O104" s="8">
        <f>(128*4+256*4+1*2+40+20+40)*O22</f>
        <v>1813.7154672000001</v>
      </c>
      <c r="P104" s="8">
        <f>(128*4+256*4+1*2+80+20+40)*P22</f>
        <v>1858.0064432000001</v>
      </c>
      <c r="Q104" s="1" t="s">
        <v>4</v>
      </c>
      <c r="S104" s="1" t="s">
        <v>14</v>
      </c>
      <c r="T104" s="8">
        <f>(128*4+256*4+1*2+20+20+80)*T22</f>
        <v>1833.1504567999998</v>
      </c>
      <c r="U104" s="8">
        <f>(128*4+256*4+1*2+40+20+80)*U22</f>
        <v>1855.2624098000001</v>
      </c>
      <c r="V104" s="8">
        <f>(128*4+256*4+1*2+80+20+80)*V22</f>
        <v>1899.4879738000002</v>
      </c>
      <c r="W104" s="1" t="s">
        <v>4</v>
      </c>
    </row>
    <row r="105" spans="1:23" x14ac:dyDescent="0.3">
      <c r="A105" s="1" t="s">
        <v>20</v>
      </c>
      <c r="E105" s="1" t="s">
        <v>4</v>
      </c>
      <c r="G105" s="1" t="s">
        <v>20</v>
      </c>
      <c r="H105" s="8">
        <f>(256*4+128*4+2+20+20+20)*H23</f>
        <v>1794.6102495999999</v>
      </c>
      <c r="I105" s="8">
        <f>(256*4+128*4+2+40+20+20)*I23</f>
        <v>1817.0709535999999</v>
      </c>
      <c r="J105" s="8">
        <f>(256*4+128*4+2+80+20+20)*J23</f>
        <v>1861.9923615999999</v>
      </c>
      <c r="K105" s="1" t="s">
        <v>4</v>
      </c>
      <c r="M105" s="1" t="s">
        <v>20</v>
      </c>
      <c r="N105" s="8">
        <f>(256*4+128*4+2+20+20+40)*N23</f>
        <v>1807.5708666</v>
      </c>
      <c r="O105" s="8">
        <f>(256*4+128*4+2+40+20+40)*O23</f>
        <v>1829.9141406000001</v>
      </c>
      <c r="P105" s="8">
        <f>(256*4+128*4+2+80+20+40)*P23</f>
        <v>1874.6006886000002</v>
      </c>
      <c r="Q105" s="1" t="s">
        <v>4</v>
      </c>
      <c r="S105" s="1" t="s">
        <v>20</v>
      </c>
      <c r="T105" s="8">
        <f>(256*4+128*4+2+20+20+80)*T23</f>
        <v>1849.4388146000001</v>
      </c>
      <c r="U105" s="8">
        <f>(256*4+128*4+2+40+20+80)*U23</f>
        <v>1871.7480886000001</v>
      </c>
      <c r="V105" s="8">
        <f>(256*4+128*4+2+80+20+80)*V23</f>
        <v>1916.3666366</v>
      </c>
      <c r="W105" s="1" t="s">
        <v>4</v>
      </c>
    </row>
    <row r="106" spans="1:23" ht="14.5" thickBot="1" x14ac:dyDescent="0.35">
      <c r="A106" s="4" t="s">
        <v>15</v>
      </c>
      <c r="B106" s="2"/>
      <c r="C106" s="2"/>
      <c r="D106" s="2"/>
      <c r="E106" s="2" t="s">
        <v>4</v>
      </c>
      <c r="G106" s="4" t="s">
        <v>15</v>
      </c>
      <c r="H106" s="6">
        <f>(256*4+256*4+2+20+20+20)*H24</f>
        <v>2346.5198170000003</v>
      </c>
      <c r="I106" s="6">
        <f>(256*4+256*4+2+40+20+20)*I24</f>
        <v>2368.7617110000001</v>
      </c>
      <c r="J106" s="6">
        <f>(256*4+256*4+2+80+20+20)*J24</f>
        <v>2413.2454990000001</v>
      </c>
      <c r="K106" s="2" t="s">
        <v>4</v>
      </c>
      <c r="M106" s="4" t="s">
        <v>15</v>
      </c>
      <c r="N106" s="6">
        <f>(256*4+256*4+2+20+20+40)*N24</f>
        <v>2358.4944720000003</v>
      </c>
      <c r="O106" s="6">
        <f>(256*4+256*4+2+40+20+40)*O24</f>
        <v>2380.6399600000004</v>
      </c>
      <c r="P106" s="6">
        <f>(256*4+256*4+2+80+20+40)*P24</f>
        <v>2424.9309360000002</v>
      </c>
      <c r="Q106" s="2" t="s">
        <v>4</v>
      </c>
      <c r="S106" s="4" t="s">
        <v>15</v>
      </c>
      <c r="T106" s="6">
        <f>(256*4+256*4+2+20+20+80)*T24</f>
        <v>2399.2368470000001</v>
      </c>
      <c r="U106" s="6">
        <f>(256*4+256*4+2+40+20+80)*U24</f>
        <v>2421.3496290000003</v>
      </c>
      <c r="V106" s="6">
        <f>(256*4+256*4+2+80+20+80)*V24</f>
        <v>2465.5751930000001</v>
      </c>
      <c r="W106" s="2" t="s">
        <v>4</v>
      </c>
    </row>
    <row r="107" spans="1:23" x14ac:dyDescent="0.3">
      <c r="A107" s="1" t="s">
        <v>16</v>
      </c>
      <c r="E107" s="1" t="s">
        <v>5</v>
      </c>
      <c r="G107" s="1" t="s">
        <v>16</v>
      </c>
      <c r="H107" s="8">
        <f>(64*4+256*4+1*2+20+40+20)*H25</f>
        <v>1513.2984509999999</v>
      </c>
      <c r="I107" s="8">
        <f>(64*4+256*4+1*2+40+40+20)*I25</f>
        <v>1535.5178807</v>
      </c>
      <c r="J107" s="8">
        <f>(64*4+256*4+1*2+80+40+20)*J25</f>
        <v>1579.9597415999999</v>
      </c>
      <c r="K107" s="1" t="s">
        <v>5</v>
      </c>
      <c r="M107" s="1" t="s">
        <v>16</v>
      </c>
      <c r="N107" s="8">
        <f>(64*4+256*4+1*2+20+40+40)*N25</f>
        <v>1529.3834591</v>
      </c>
      <c r="O107" s="8">
        <f>(64*4+256*4+1*2+40+40+40)*O25</f>
        <v>1551.5149581000001</v>
      </c>
      <c r="P107" s="8">
        <f>(64*4+256*4+1*2+80+40+40)*P25</f>
        <v>1595.7777639999999</v>
      </c>
      <c r="Q107" s="1" t="s">
        <v>5</v>
      </c>
      <c r="S107" s="1" t="s">
        <v>16</v>
      </c>
      <c r="T107" s="8">
        <f>(64*4+256*4+1*2+20+40+80)*T25</f>
        <v>1571.5724300999998</v>
      </c>
      <c r="U107" s="8">
        <f>(64*4+256*4+1*2+40+40+80)*U25</f>
        <v>1593.6739580999999</v>
      </c>
      <c r="V107" s="8">
        <f>(64*4+256*4+1*2+80+40+80)*V25</f>
        <v>1637.8789830000001</v>
      </c>
      <c r="W107" s="1" t="s">
        <v>5</v>
      </c>
    </row>
    <row r="108" spans="1:23" x14ac:dyDescent="0.3">
      <c r="A108" s="1" t="s">
        <v>14</v>
      </c>
      <c r="E108" s="1" t="s">
        <v>5</v>
      </c>
      <c r="G108" s="1" t="s">
        <v>14</v>
      </c>
      <c r="H108" s="8">
        <f>(128*4+256*4+1*2+20+40+20)*H26</f>
        <v>1797.7311614</v>
      </c>
      <c r="I108" s="8">
        <f>(128*4+256*4+1*2+40+40+20)*I26</f>
        <v>1819.9528074000002</v>
      </c>
      <c r="J108" s="8">
        <f>(128*4+256*4+1*2+80+40+20)*J26</f>
        <v>1864.3952604000001</v>
      </c>
      <c r="K108" s="1" t="s">
        <v>5</v>
      </c>
      <c r="M108" s="1" t="s">
        <v>14</v>
      </c>
      <c r="N108" s="8">
        <f>(128*4+256*4+1*2+20+40+40)*N26</f>
        <v>1812.6787770000001</v>
      </c>
      <c r="O108" s="8">
        <f>(128*4+256*4+1*2+40+40+40)*O26</f>
        <v>1834.810778</v>
      </c>
      <c r="P108" s="8">
        <f>(128*4+256*4+1*2+80+40+40)*P26</f>
        <v>1879.0764179999999</v>
      </c>
      <c r="Q108" s="1" t="s">
        <v>5</v>
      </c>
      <c r="S108" s="1" t="s">
        <v>14</v>
      </c>
      <c r="T108" s="8">
        <f>(128*4+256*4+1*2+20+40+80)*T26</f>
        <v>1854.4937179999999</v>
      </c>
      <c r="U108" s="8">
        <f>(128*4+256*4+1*2+40+40+80)*U26</f>
        <v>1876.5964889999998</v>
      </c>
      <c r="V108" s="8">
        <f>(128*4+256*4+1*2+80+40+80)*V26</f>
        <v>1920.8037089999998</v>
      </c>
      <c r="W108" s="1" t="s">
        <v>5</v>
      </c>
    </row>
    <row r="109" spans="1:23" x14ac:dyDescent="0.3">
      <c r="A109" s="1" t="s">
        <v>20</v>
      </c>
      <c r="E109" s="1" t="s">
        <v>5</v>
      </c>
      <c r="G109" s="1" t="s">
        <v>20</v>
      </c>
      <c r="H109" s="8">
        <f>(256*4+128*4+2+20+40+20)*H27</f>
        <v>1813.9731308</v>
      </c>
      <c r="I109" s="8">
        <f>(256*4+128*4+2+40+40+20)*I27</f>
        <v>1836.3955427999999</v>
      </c>
      <c r="J109" s="8">
        <f>(256*4+128*4+2+80+40+20)*J27</f>
        <v>1881.2403667999999</v>
      </c>
      <c r="K109" s="1" t="s">
        <v>5</v>
      </c>
      <c r="M109" s="1" t="s">
        <v>20</v>
      </c>
      <c r="N109" s="8">
        <f>(256*4+128*4+2+20+40+40)*N27</f>
        <v>1827.1146348000002</v>
      </c>
      <c r="O109" s="8">
        <f>(256*4+128*4+2+40+40+40)*O27</f>
        <v>1849.4237268000002</v>
      </c>
      <c r="P109" s="8">
        <f>(256*4+128*4+2+80+40+40)*P27</f>
        <v>1894.0419108000001</v>
      </c>
      <c r="Q109" s="1" t="s">
        <v>5</v>
      </c>
      <c r="S109" s="1" t="s">
        <v>20</v>
      </c>
      <c r="T109" s="8">
        <f>(256*4+128*4+2+20+40+80)*T27</f>
        <v>1868.9070668000002</v>
      </c>
      <c r="U109" s="8">
        <f>(256*4+128*4+2+40+40+80)*U27</f>
        <v>1891.1824788000001</v>
      </c>
      <c r="V109" s="8">
        <f>(256*4+128*4+2+80+40+80)*V27</f>
        <v>1935.7333028</v>
      </c>
      <c r="W109" s="1" t="s">
        <v>5</v>
      </c>
    </row>
    <row r="110" spans="1:23" ht="14.5" thickBot="1" x14ac:dyDescent="0.35">
      <c r="A110" s="4" t="s">
        <v>15</v>
      </c>
      <c r="B110" s="2"/>
      <c r="C110" s="2"/>
      <c r="D110" s="2"/>
      <c r="E110" s="2" t="s">
        <v>5</v>
      </c>
      <c r="G110" s="4" t="s">
        <v>15</v>
      </c>
      <c r="H110" s="6">
        <f>(256*4+256*4+2+20+40+20)*H28</f>
        <v>2366.6042339999999</v>
      </c>
      <c r="I110" s="6">
        <f>(256*4+256*4+2+40+40+20)*I28</f>
        <v>2388.8258700000001</v>
      </c>
      <c r="J110" s="6">
        <f>(256*4+256*4+2+80+40+20)*J28</f>
        <v>2433.2691420000001</v>
      </c>
      <c r="K110" s="2" t="s">
        <v>5</v>
      </c>
      <c r="M110" s="4" t="s">
        <v>15</v>
      </c>
      <c r="N110" s="6">
        <f>(256*4+256*4+2+20+40+40)*N28</f>
        <v>2379.2781500000001</v>
      </c>
      <c r="O110" s="6">
        <f>(256*4+256*4+2+40+40+40)*O28</f>
        <v>2401.4109699999999</v>
      </c>
      <c r="P110" s="6">
        <f>(256*4+256*4+2+80+40+40)*P28</f>
        <v>2445.67661</v>
      </c>
      <c r="Q110" s="2" t="s">
        <v>5</v>
      </c>
      <c r="S110" s="4" t="s">
        <v>15</v>
      </c>
      <c r="T110" s="6">
        <f>(256*4+256*4+2+20+40+80)*T28</f>
        <v>2420.3452949999996</v>
      </c>
      <c r="U110" s="6">
        <f>(256*4+256*4+2+40+40+80)*U28</f>
        <v>2442.4489049999997</v>
      </c>
      <c r="V110" s="6">
        <f>(256*4+256*4+2+80+40+80)*V28</f>
        <v>2486.656125</v>
      </c>
      <c r="W110" s="2" t="s">
        <v>5</v>
      </c>
    </row>
    <row r="111" spans="1:23" x14ac:dyDescent="0.3">
      <c r="A111" s="1" t="s">
        <v>16</v>
      </c>
      <c r="E111" t="s">
        <v>6</v>
      </c>
      <c r="G111" s="1" t="s">
        <v>16</v>
      </c>
      <c r="H111" s="8">
        <f>(64*4+256*4+1*2+20+80+20)*H29</f>
        <v>1557.5134852000001</v>
      </c>
      <c r="I111" s="8">
        <f>(64*4+256*4+1*2+40+80+20)*I29</f>
        <v>1579.7295908999999</v>
      </c>
      <c r="J111" s="8">
        <f>(64*4+256*4+1*2+80+80+20)*J29</f>
        <v>1624.1648938000001</v>
      </c>
      <c r="K111" t="s">
        <v>6</v>
      </c>
      <c r="M111" s="1" t="s">
        <v>16</v>
      </c>
      <c r="N111" s="8">
        <f>(64*4+256*4+1*2+20+80+40)*N29</f>
        <v>1573.5237695999999</v>
      </c>
      <c r="O111" s="8">
        <f>(64*4+256*4+1*2+40+80+40)*O29</f>
        <v>1595.6534635999999</v>
      </c>
      <c r="P111" s="8">
        <f>(64*4+256*4+1*2+80+80+40)*P29</f>
        <v>1639.9126575</v>
      </c>
      <c r="Q111" t="s">
        <v>6</v>
      </c>
      <c r="S111" s="1" t="s">
        <v>16</v>
      </c>
      <c r="T111" s="8">
        <f>(64*4+256*4+1*2+20+80+80)*T29</f>
        <v>1615.7879993000001</v>
      </c>
      <c r="U111" s="8">
        <f>(64*4+256*4+1*2+40+80+80)*U29</f>
        <v>1637.8903203</v>
      </c>
      <c r="V111" s="8">
        <f>(64*4+256*4+1*2+80+80+80)*V29</f>
        <v>1682.0955272000001</v>
      </c>
      <c r="W111" t="s">
        <v>6</v>
      </c>
    </row>
    <row r="112" spans="1:23" x14ac:dyDescent="0.3">
      <c r="A112" s="1" t="s">
        <v>14</v>
      </c>
      <c r="E112" t="s">
        <v>6</v>
      </c>
      <c r="G112" s="1" t="s">
        <v>14</v>
      </c>
      <c r="H112" s="8">
        <f>(128*4+256*4+1*2+20+80+20)*H30</f>
        <v>1841.9043652</v>
      </c>
      <c r="I112" s="8">
        <f>(128*4+256*4+1*2+40+80+20)*I30</f>
        <v>1864.1227532</v>
      </c>
      <c r="J112" s="8">
        <f>(128*4+256*4+1*2+80+80+20)*J30</f>
        <v>1908.5586701999998</v>
      </c>
      <c r="K112" t="s">
        <v>6</v>
      </c>
      <c r="M112" s="1" t="s">
        <v>14</v>
      </c>
      <c r="N112" s="8">
        <f>(128*4+256*4+1*2+20+80+40)*N30</f>
        <v>1856.7963534999999</v>
      </c>
      <c r="O112" s="8">
        <f>(128*4+256*4+1*2+40+80+40)*O30</f>
        <v>1878.9265695000001</v>
      </c>
      <c r="P112" s="8">
        <f>(128*4+256*4+1*2+80+80+40)*P30</f>
        <v>1923.1886795</v>
      </c>
      <c r="Q112" t="s">
        <v>6</v>
      </c>
      <c r="S112" s="1" t="s">
        <v>14</v>
      </c>
      <c r="T112" s="8">
        <f>(128*4+256*4+1*2+20+80+80)*T30</f>
        <v>1898.7114377999999</v>
      </c>
      <c r="U112" s="8">
        <f>(128*4+256*4+1*2+40+80+80)*U30</f>
        <v>1920.8143107999999</v>
      </c>
      <c r="V112" s="8">
        <f>(128*4+256*4+1*2+80+80+80)*V30</f>
        <v>1965.0217747999998</v>
      </c>
      <c r="W112" t="s">
        <v>6</v>
      </c>
    </row>
    <row r="113" spans="1:23" x14ac:dyDescent="0.3">
      <c r="A113" s="1" t="s">
        <v>20</v>
      </c>
      <c r="E113" t="s">
        <v>6</v>
      </c>
      <c r="G113" s="1" t="s">
        <v>20</v>
      </c>
      <c r="H113" s="8">
        <f>(256*4+128*4+2+20+80+20)*H31</f>
        <v>1856.0941924000001</v>
      </c>
      <c r="I113" s="8">
        <f>(256*4+128*4+2+40+80+20)*I31</f>
        <v>1878.4837484000002</v>
      </c>
      <c r="J113" s="8">
        <f>(256*4+128*4+2+80+80+20)*J31</f>
        <v>1923.2628604000001</v>
      </c>
      <c r="K113" t="s">
        <v>6</v>
      </c>
      <c r="M113" s="1" t="s">
        <v>20</v>
      </c>
      <c r="N113" s="8">
        <f>(256*4+128*4+2+20+80+40)*N31</f>
        <v>1869.1876284</v>
      </c>
      <c r="O113" s="8">
        <f>(256*4+128*4+2+40+80+40)*O31</f>
        <v>1891.4663843999999</v>
      </c>
      <c r="P113" s="8">
        <f>(256*4+128*4+2+80+80+40)*P31</f>
        <v>1936.0238964</v>
      </c>
      <c r="Q113" t="s">
        <v>6</v>
      </c>
      <c r="S113" s="1" t="s">
        <v>20</v>
      </c>
      <c r="T113" s="8">
        <f>(256*4+128*4+2+20+80+80)*T31</f>
        <v>1910.8717853999999</v>
      </c>
      <c r="U113" s="8">
        <f>(256*4+128*4+2+40+80+80)*U31</f>
        <v>1933.1170913999999</v>
      </c>
      <c r="V113" s="8">
        <f>(256*4+128*4+2+80+80+80)*V31</f>
        <v>1977.6077034</v>
      </c>
      <c r="W113" t="s">
        <v>6</v>
      </c>
    </row>
    <row r="114" spans="1:23" ht="14.5" thickBot="1" x14ac:dyDescent="0.35">
      <c r="A114" s="4" t="s">
        <v>15</v>
      </c>
      <c r="B114" s="2"/>
      <c r="C114" s="2"/>
      <c r="D114" s="2"/>
      <c r="E114" s="2" t="s">
        <v>6</v>
      </c>
      <c r="G114" s="4" t="s">
        <v>15</v>
      </c>
      <c r="H114" s="6">
        <f>(256*4+256*4+2+20+80+20)*H32</f>
        <v>2410.6940129999998</v>
      </c>
      <c r="I114" s="6">
        <f>(256*4+256*4+2+40+80+20)*I32</f>
        <v>2432.9123909999998</v>
      </c>
      <c r="J114" s="6">
        <f>(256*4+256*4+2+80+80+20)*J32</f>
        <v>2477.3491469999999</v>
      </c>
      <c r="K114" s="2" t="s">
        <v>6</v>
      </c>
      <c r="M114" s="4" t="s">
        <v>15</v>
      </c>
      <c r="N114" s="6">
        <f>(256*4+256*4+2+20+80+40)*N32</f>
        <v>2423.3505225000004</v>
      </c>
      <c r="O114" s="6">
        <f>(256*4+256*4+2+40+80+40)*O32</f>
        <v>2445.4815775000002</v>
      </c>
      <c r="P114" s="6">
        <f>(256*4+256*4+2+80+80+40)*P32</f>
        <v>2489.7436875000003</v>
      </c>
      <c r="Q114" s="2" t="s">
        <v>6</v>
      </c>
      <c r="S114" s="4" t="s">
        <v>15</v>
      </c>
      <c r="T114" s="6">
        <f>(256*4+256*4+2+20+80+80)*T32</f>
        <v>2464.5661179999997</v>
      </c>
      <c r="U114" s="6">
        <f>(256*4+256*4+2+40+80+80)*U32</f>
        <v>2486.6698499999998</v>
      </c>
      <c r="V114" s="6">
        <f>(256*4+256*4+2+80+80+80)*V32</f>
        <v>2530.8773139999998</v>
      </c>
      <c r="W114" s="2" t="s">
        <v>6</v>
      </c>
    </row>
    <row r="119" spans="1:23" x14ac:dyDescent="0.3">
      <c r="A119" s="21" t="s">
        <v>7</v>
      </c>
      <c r="B119" s="23" t="s">
        <v>9</v>
      </c>
      <c r="C119" s="23" t="s">
        <v>18</v>
      </c>
      <c r="G119" s="21" t="s">
        <v>7</v>
      </c>
      <c r="H119" s="23" t="s">
        <v>10</v>
      </c>
      <c r="I119" s="23" t="s">
        <v>18</v>
      </c>
      <c r="M119" s="21" t="s">
        <v>7</v>
      </c>
      <c r="N119" s="23" t="s">
        <v>11</v>
      </c>
      <c r="O119" s="23" t="s">
        <v>18</v>
      </c>
      <c r="S119" s="21" t="s">
        <v>7</v>
      </c>
      <c r="T119" s="23" t="s">
        <v>12</v>
      </c>
      <c r="U119" s="23" t="s">
        <v>18</v>
      </c>
    </row>
    <row r="120" spans="1:23" x14ac:dyDescent="0.3">
      <c r="A120" s="22"/>
      <c r="B120" s="23"/>
      <c r="C120" s="23"/>
      <c r="G120" s="22"/>
      <c r="H120" s="23"/>
      <c r="I120" s="23"/>
      <c r="M120" s="22"/>
      <c r="N120" s="23"/>
      <c r="O120" s="23"/>
      <c r="S120" s="22"/>
      <c r="T120" s="23"/>
      <c r="U120" s="23"/>
    </row>
    <row r="121" spans="1:23" ht="14.5" thickBot="1" x14ac:dyDescent="0.35">
      <c r="B121" t="s">
        <v>1</v>
      </c>
      <c r="C121" t="s">
        <v>2</v>
      </c>
      <c r="D121" t="s">
        <v>3</v>
      </c>
      <c r="H121" s="2" t="s">
        <v>1</v>
      </c>
      <c r="I121" s="2" t="s">
        <v>2</v>
      </c>
      <c r="J121" s="2" t="s">
        <v>3</v>
      </c>
      <c r="N121" s="2" t="s">
        <v>1</v>
      </c>
      <c r="O121" s="2" t="s">
        <v>2</v>
      </c>
      <c r="P121" s="2" t="s">
        <v>3</v>
      </c>
      <c r="T121" s="2" t="s">
        <v>1</v>
      </c>
      <c r="U121" s="2" t="s">
        <v>2</v>
      </c>
      <c r="V121" s="2" t="s">
        <v>3</v>
      </c>
    </row>
    <row r="122" spans="1:23" x14ac:dyDescent="0.3">
      <c r="A122" s="1" t="s">
        <v>16</v>
      </c>
      <c r="E122" s="1" t="s">
        <v>4</v>
      </c>
      <c r="G122" s="1" t="s">
        <v>16</v>
      </c>
      <c r="H122" s="8">
        <f>(64*4+256*4+8+20+20+20)*H40</f>
        <v>1500.0328993999999</v>
      </c>
      <c r="I122" s="8">
        <f>(64*4+256*4+8+40+20+20)*I40</f>
        <v>1522.2805092000001</v>
      </c>
      <c r="J122" s="8">
        <f>(64*4+256*4+8+80+20+20)*J40</f>
        <v>1566.7859328</v>
      </c>
      <c r="K122" s="1" t="s">
        <v>4</v>
      </c>
      <c r="M122" s="1" t="s">
        <v>16</v>
      </c>
      <c r="N122" s="8">
        <f>(64*4+256*4+8+20+20+40)*N40</f>
        <v>1522.4753123999999</v>
      </c>
      <c r="O122" s="8">
        <f>(64*4+256*4+8+40+20+40)*O40</f>
        <v>1544.7248402</v>
      </c>
      <c r="P122" s="8">
        <f>(64*4+256*4+8+80+20+40)*P40</f>
        <v>1589.2349088000001</v>
      </c>
      <c r="Q122" s="1" t="s">
        <v>4</v>
      </c>
      <c r="S122" s="1" t="s">
        <v>16</v>
      </c>
      <c r="T122" s="8">
        <f>(64*4+256*4+8+20+20+80)*T40</f>
        <v>1566.5063744000001</v>
      </c>
      <c r="U122" s="8">
        <f>(64*4+256*4+8+40+20+80)*U40</f>
        <v>1588.7480322000001</v>
      </c>
      <c r="V122" s="8">
        <f>(64*4+256*4+8+80+20+80)*V40</f>
        <v>1633.2485027999999</v>
      </c>
      <c r="W122" s="1" t="s">
        <v>4</v>
      </c>
    </row>
    <row r="123" spans="1:23" x14ac:dyDescent="0.3">
      <c r="A123" s="1" t="s">
        <v>14</v>
      </c>
      <c r="E123" s="1" t="s">
        <v>4</v>
      </c>
      <c r="G123" s="1" t="s">
        <v>14</v>
      </c>
      <c r="H123" s="8">
        <f>(128*4+256*4+8+20+20+20)*H41</f>
        <v>1784.8888543999999</v>
      </c>
      <c r="I123" s="8">
        <f>(128*4+256*4+8+40+20+20)*I41</f>
        <v>1807.1418904</v>
      </c>
      <c r="J123" s="8">
        <f>(128*4+256*4+8+80+20+20)*J41</f>
        <v>1851.6519424000001</v>
      </c>
      <c r="K123" s="1" t="s">
        <v>4</v>
      </c>
      <c r="M123" s="1" t="s">
        <v>14</v>
      </c>
      <c r="N123" s="8">
        <f>(128*4+256*4+8+20+20+40)*N41</f>
        <v>1807.3643784000001</v>
      </c>
      <c r="O123" s="8">
        <f>(128*4+256*4+8+40+20+40)*O41</f>
        <v>1829.6200944</v>
      </c>
      <c r="P123" s="8">
        <f>(128*4+256*4+8+80+20+40)*P41</f>
        <v>1874.1355563999998</v>
      </c>
      <c r="Q123" s="1" t="s">
        <v>4</v>
      </c>
      <c r="S123" s="1" t="s">
        <v>14</v>
      </c>
      <c r="T123" s="8">
        <f>(128*4+256*4+8+20+20+80)*T41</f>
        <v>1851.3116544</v>
      </c>
      <c r="U123" s="8">
        <f>(128*4+256*4+8+40+20+80)*U41</f>
        <v>1873.5629964</v>
      </c>
      <c r="V123" s="8">
        <f>(128*4+256*4+8+80+20+80)*V41</f>
        <v>1918.0656803999998</v>
      </c>
      <c r="W123" s="1" t="s">
        <v>4</v>
      </c>
    </row>
    <row r="124" spans="1:23" x14ac:dyDescent="0.3">
      <c r="A124" s="1" t="s">
        <v>20</v>
      </c>
      <c r="E124" s="1" t="s">
        <v>4</v>
      </c>
      <c r="G124" s="1" t="s">
        <v>20</v>
      </c>
      <c r="H124" s="8">
        <f>(256*4+128*4+8+20+20+20)*H42</f>
        <v>1798.9201651999999</v>
      </c>
      <c r="I124" s="8">
        <f>(256*4+128*4+8+40+20+20)*I42</f>
        <v>1821.3505911999998</v>
      </c>
      <c r="J124" s="8">
        <f>(256*4+128*4+8+80+20+20)*J42</f>
        <v>1866.2114431999998</v>
      </c>
      <c r="K124" s="1" t="s">
        <v>4</v>
      </c>
      <c r="M124" s="1" t="s">
        <v>20</v>
      </c>
      <c r="N124" s="8">
        <f>(256*4+128*4+8+20+20+40)*N42</f>
        <v>1821.5414111999999</v>
      </c>
      <c r="O124" s="8">
        <f>(256*4+128*4+8+40+20+40)*O42</f>
        <v>1843.9741872</v>
      </c>
      <c r="P124" s="8">
        <f>(256*4+128*4+8+80+20+40)*P42</f>
        <v>1888.8397391999999</v>
      </c>
      <c r="Q124" s="1" t="s">
        <v>4</v>
      </c>
      <c r="S124" s="1" t="s">
        <v>20</v>
      </c>
      <c r="T124" s="8">
        <f>(256*4+128*4+8+20+20+80)*T42</f>
        <v>1865.8228991999999</v>
      </c>
      <c r="U124" s="8">
        <f>(256*4+128*4+8+40+20+80)*U42</f>
        <v>1888.2486551999998</v>
      </c>
      <c r="V124" s="8">
        <f>(256*4+128*4+8+80+20+80)*V42</f>
        <v>1933.1001672</v>
      </c>
      <c r="W124" s="1" t="s">
        <v>4</v>
      </c>
    </row>
    <row r="125" spans="1:23" ht="14.5" thickBot="1" x14ac:dyDescent="0.35">
      <c r="A125" s="4" t="s">
        <v>15</v>
      </c>
      <c r="E125" s="2" t="s">
        <v>4</v>
      </c>
      <c r="G125" s="4" t="s">
        <v>15</v>
      </c>
      <c r="H125" s="6">
        <f>(256*4+256*4+8+20+20+20)*H43</f>
        <v>2354.6247056000002</v>
      </c>
      <c r="I125" s="6">
        <f>(256*4+256*4+8+40+20+20)*I43</f>
        <v>2376.8801376000001</v>
      </c>
      <c r="J125" s="6">
        <f>(256*4+256*4+8+80+20+20)*J43</f>
        <v>2421.3910016</v>
      </c>
      <c r="K125" s="2" t="s">
        <v>4</v>
      </c>
      <c r="M125" s="4" t="s">
        <v>15</v>
      </c>
      <c r="N125" s="6">
        <f>(256*4+256*4+8+20+20+40)*N43</f>
        <v>2377.1695655999997</v>
      </c>
      <c r="O125" s="6">
        <f>(256*4+256*4+8+40+20+40)*O43</f>
        <v>2399.4277075999998</v>
      </c>
      <c r="P125" s="6">
        <f>(256*4+256*4+8+80+20+40)*P43</f>
        <v>2443.9439915999997</v>
      </c>
      <c r="Q125" s="2" t="s">
        <v>4</v>
      </c>
      <c r="S125" s="4" t="s">
        <v>15</v>
      </c>
      <c r="T125" s="6">
        <f>(256*4+256*4+8+20+20+80)*T43</f>
        <v>2420.9460095999998</v>
      </c>
      <c r="U125" s="6">
        <f>(256*4+256*4+8+40+20+80)*U43</f>
        <v>2443.1973515999998</v>
      </c>
      <c r="V125" s="6">
        <f>(256*4+256*4+8+80+20+80)*V43</f>
        <v>2487.7000355999999</v>
      </c>
      <c r="W125" s="2" t="s">
        <v>4</v>
      </c>
    </row>
    <row r="126" spans="1:23" x14ac:dyDescent="0.3">
      <c r="A126" s="1" t="s">
        <v>16</v>
      </c>
      <c r="E126" s="1" t="s">
        <v>5</v>
      </c>
      <c r="G126" s="1" t="s">
        <v>16</v>
      </c>
      <c r="H126" s="8">
        <f>(64*4+256*4+8+20+40+20)*H44</f>
        <v>1522.0249667999999</v>
      </c>
      <c r="I126" s="8">
        <f>(64*4+256*4+8+40+40+20)*I44</f>
        <v>1544.2686046000001</v>
      </c>
      <c r="J126" s="8">
        <f>(64*4+256*4+8+80+40+20)*J44</f>
        <v>1588.7662392</v>
      </c>
      <c r="K126" s="1" t="s">
        <v>5</v>
      </c>
      <c r="M126" s="1" t="s">
        <v>16</v>
      </c>
      <c r="N126" s="8">
        <f>(64*4+256*4+8+20+40+40)*N44</f>
        <v>1544.4412717999999</v>
      </c>
      <c r="O126" s="8">
        <f>(64*4+256*4+8+40+40+40)*O44</f>
        <v>1566.6864575999998</v>
      </c>
      <c r="P126" s="8">
        <f>(64*4+256*4+8+80+40+40)*P44</f>
        <v>1611.1880072000001</v>
      </c>
      <c r="Q126" s="1" t="s">
        <v>5</v>
      </c>
      <c r="S126" s="1" t="s">
        <v>16</v>
      </c>
      <c r="T126" s="8">
        <f>(64*4+256*4+8+20+40+80)*T44</f>
        <v>1588.4405838</v>
      </c>
      <c r="U126" s="8">
        <f>(64*4+256*4+8+40+40+80)*U44</f>
        <v>1610.6776596</v>
      </c>
      <c r="V126" s="8">
        <f>(64*4+256*4+8+80+40+80)*V44</f>
        <v>1655.1692112000001</v>
      </c>
      <c r="W126" s="1" t="s">
        <v>5</v>
      </c>
    </row>
    <row r="127" spans="1:23" x14ac:dyDescent="0.3">
      <c r="A127" s="1" t="s">
        <v>14</v>
      </c>
      <c r="E127" s="1" t="s">
        <v>5</v>
      </c>
      <c r="G127" s="1" t="s">
        <v>14</v>
      </c>
      <c r="H127" s="8">
        <f>(128*4+256*4+1*8+20+40+20)*H45</f>
        <v>1806.8313816</v>
      </c>
      <c r="I127" s="8">
        <f>(128*4+256*4+8+40+40+20)*I45</f>
        <v>1829.0805336000001</v>
      </c>
      <c r="J127" s="8">
        <f>(128*4+256*4+8+80+40+20)*J45</f>
        <v>1873.5828675999999</v>
      </c>
      <c r="K127" s="1" t="s">
        <v>5</v>
      </c>
      <c r="M127" s="1" t="s">
        <v>14</v>
      </c>
      <c r="N127" s="8">
        <f>(128*4+256*4+8+20+40+40)*N45</f>
        <v>1829.2761696</v>
      </c>
      <c r="O127" s="8">
        <f>(128*4+256*4+8+40+40+40)*O45</f>
        <v>1851.5276415999999</v>
      </c>
      <c r="P127" s="8">
        <f>(128*4+256*4+8+80+40+40)*P45</f>
        <v>1896.0346655999999</v>
      </c>
      <c r="Q127" s="1" t="s">
        <v>5</v>
      </c>
      <c r="S127" s="1" t="s">
        <v>14</v>
      </c>
      <c r="T127" s="8">
        <f>(128*4+256*4+8+20+40+80)*T45</f>
        <v>1873.1888116000002</v>
      </c>
      <c r="U127" s="8">
        <f>(128*4+256*4+8+40+40+80)*U45</f>
        <v>1895.4357096000001</v>
      </c>
      <c r="V127" s="8">
        <f>(128*4+256*4+8+80+40+80)*V45</f>
        <v>1939.9295056000001</v>
      </c>
      <c r="W127" s="1" t="s">
        <v>5</v>
      </c>
    </row>
    <row r="128" spans="1:23" x14ac:dyDescent="0.3">
      <c r="A128" s="1" t="s">
        <v>20</v>
      </c>
      <c r="E128" s="1" t="s">
        <v>5</v>
      </c>
      <c r="G128" s="1" t="s">
        <v>20</v>
      </c>
      <c r="H128" s="8">
        <f>(256*4+128*4+8+20+40+20)*H46</f>
        <v>1819.1002956</v>
      </c>
      <c r="I128" s="8">
        <f>(256*4+128*4+8+40+40+20)*I46</f>
        <v>1841.5030085999999</v>
      </c>
      <c r="J128" s="8">
        <f>(256*4+128*4+8+80+40+20)*J46</f>
        <v>1886.3084345999998</v>
      </c>
      <c r="K128" s="1" t="s">
        <v>5</v>
      </c>
      <c r="M128" s="1" t="s">
        <v>20</v>
      </c>
      <c r="N128" s="8">
        <f>(256*4+128*4+8+20+40+40)*N46</f>
        <v>1841.6970005999999</v>
      </c>
      <c r="O128" s="8">
        <f>(256*4+128*4+8+40+40+40)*O46</f>
        <v>1864.1020736</v>
      </c>
      <c r="P128" s="8">
        <f>(256*4+128*4+8+80+40+40)*P46</f>
        <v>1908.9122196000001</v>
      </c>
      <c r="Q128" s="1" t="s">
        <v>5</v>
      </c>
      <c r="S128" s="1" t="s">
        <v>20</v>
      </c>
      <c r="T128" s="8">
        <f>(256*4+128*4+8+20+40+80)*T46</f>
        <v>1885.9160626</v>
      </c>
      <c r="U128" s="8">
        <f>(256*4+128*4+8+40+40+80)*U46</f>
        <v>1908.3141155999999</v>
      </c>
      <c r="V128" s="8">
        <f>(256*4+128*4+8+80+40+80)*V46</f>
        <v>1953.1102215999999</v>
      </c>
      <c r="W128" s="1" t="s">
        <v>5</v>
      </c>
    </row>
    <row r="129" spans="1:23" ht="14.5" thickBot="1" x14ac:dyDescent="0.35">
      <c r="A129" s="4" t="s">
        <v>15</v>
      </c>
      <c r="E129" s="2" t="s">
        <v>5</v>
      </c>
      <c r="G129" s="4" t="s">
        <v>15</v>
      </c>
      <c r="H129" s="6">
        <f>(256*4+256*4+8+20+40+20)*H47</f>
        <v>2376.4685304</v>
      </c>
      <c r="I129" s="6">
        <f>(256*4+256*4+8+40+40+20)*I47</f>
        <v>2398.7201083999998</v>
      </c>
      <c r="J129" s="6">
        <f>(256*4+256*4+8+80+40+20)*J47</f>
        <v>2443.2232644000001</v>
      </c>
      <c r="K129" s="2" t="s">
        <v>5</v>
      </c>
      <c r="M129" s="4" t="s">
        <v>15</v>
      </c>
      <c r="N129" s="6">
        <f>(256*4+256*4+8+20+40+40)*N47</f>
        <v>2398.9734383999998</v>
      </c>
      <c r="O129" s="6">
        <f>(256*4+256*4+8+40+40+40)*O47</f>
        <v>2421.2273663999999</v>
      </c>
      <c r="P129" s="6">
        <f>(256*4+256*4+8+80+40+40)*P47</f>
        <v>2465.7352223999997</v>
      </c>
      <c r="Q129" s="2" t="s">
        <v>5</v>
      </c>
      <c r="S129" s="4" t="s">
        <v>15</v>
      </c>
      <c r="T129" s="6">
        <f>(256*4+256*4+8+20+40+80)*T47</f>
        <v>2442.7094004</v>
      </c>
      <c r="U129" s="6">
        <f>(256*4+256*4+8+40+40+80)*U47</f>
        <v>2464.9562984000004</v>
      </c>
      <c r="V129" s="6">
        <f>(256*4+256*4+8+80+40+80)*V47</f>
        <v>2509.4500944000001</v>
      </c>
      <c r="W129" s="2" t="s">
        <v>5</v>
      </c>
    </row>
    <row r="130" spans="1:23" x14ac:dyDescent="0.3">
      <c r="A130" s="1" t="s">
        <v>16</v>
      </c>
      <c r="E130" t="s">
        <v>6</v>
      </c>
      <c r="G130" s="1" t="s">
        <v>16</v>
      </c>
      <c r="H130" s="8">
        <f>(64*4+256*4+8+20+80+20)*H48</f>
        <v>1566.7541119999999</v>
      </c>
      <c r="I130" s="8">
        <f>(64*4+256*4+8+40+80+20)*I48</f>
        <v>1589.0007168</v>
      </c>
      <c r="J130" s="8">
        <f>(64*4+256*4+8+80+80+20)*J48</f>
        <v>1633.5045954</v>
      </c>
      <c r="K130" t="s">
        <v>6</v>
      </c>
      <c r="M130" s="1" t="s">
        <v>16</v>
      </c>
      <c r="N130" s="8">
        <f>(64*4+256*4+8+20+80+40)*N48</f>
        <v>1589.1783600000001</v>
      </c>
      <c r="O130" s="8">
        <f>(64*4+256*4+8+40+80+40)*O48</f>
        <v>1611.4264928</v>
      </c>
      <c r="P130" s="8">
        <f>(64*4+256*4+8+80+80+40)*P48</f>
        <v>1655.9342663999998</v>
      </c>
      <c r="Q130" t="s">
        <v>6</v>
      </c>
      <c r="S130" s="1" t="s">
        <v>16</v>
      </c>
      <c r="T130" s="8">
        <f>(64*4+256*4+8+20+80+80)*T48</f>
        <v>1633.1698179999999</v>
      </c>
      <c r="U130" s="8">
        <f>(64*4+256*4+8+40+80+80)*U48</f>
        <v>1655.4098207999998</v>
      </c>
      <c r="V130" s="8">
        <f>(64*4+256*4+8+80+80+80)*V48</f>
        <v>1699.9077164</v>
      </c>
      <c r="W130" t="s">
        <v>6</v>
      </c>
    </row>
    <row r="131" spans="1:23" x14ac:dyDescent="0.3">
      <c r="A131" s="1" t="s">
        <v>14</v>
      </c>
      <c r="E131" t="s">
        <v>6</v>
      </c>
      <c r="G131" s="1" t="s">
        <v>14</v>
      </c>
      <c r="H131" s="8">
        <f>(128*4+256*4+8+20+80+20)*H49</f>
        <v>1851.6011071999999</v>
      </c>
      <c r="I131" s="8">
        <f>(128*4+256*4+8+40+80+20)*I49</f>
        <v>1873.8534021999999</v>
      </c>
      <c r="J131" s="8">
        <f>(128*4+256*4+8+80+80+20)*J49</f>
        <v>1918.3621222000002</v>
      </c>
      <c r="K131" t="s">
        <v>6</v>
      </c>
      <c r="M131" s="1" t="s">
        <v>14</v>
      </c>
      <c r="N131" s="8">
        <f>(128*4+256*4+8+20+80+40)*N49</f>
        <v>1874.0537981999998</v>
      </c>
      <c r="O131" s="8">
        <f>(128*4+256*4+8+40+80+40)*O49</f>
        <v>1896.3084131999999</v>
      </c>
      <c r="P131" s="8">
        <f>(128*4+256*4+8+80+80+40)*P49</f>
        <v>1940.8218232000002</v>
      </c>
      <c r="Q131" t="s">
        <v>6</v>
      </c>
      <c r="S131" s="1" t="s">
        <v>14</v>
      </c>
      <c r="T131" s="8">
        <f>(128*4+256*4+8+20+80+80)*T49</f>
        <v>1917.9587062000001</v>
      </c>
      <c r="U131" s="8">
        <f>(128*4+256*4+8+40+80+80)*U49</f>
        <v>1940.2088071999999</v>
      </c>
      <c r="V131" s="8">
        <f>(128*4+256*4+8+80+80+80)*V49</f>
        <v>1984.7090092000001</v>
      </c>
      <c r="W131" t="s">
        <v>6</v>
      </c>
    </row>
    <row r="132" spans="1:23" x14ac:dyDescent="0.3">
      <c r="A132" s="1" t="s">
        <v>20</v>
      </c>
      <c r="E132" t="s">
        <v>6</v>
      </c>
      <c r="G132" s="1" t="s">
        <v>20</v>
      </c>
      <c r="H132" s="8">
        <f>(256*4+128*4+8+20+80+20)*H50</f>
        <v>1861.8112447999999</v>
      </c>
      <c r="I132" s="8">
        <f>(256*4+128*4+8+40+80+20)*I50</f>
        <v>1884.1887838</v>
      </c>
      <c r="J132" s="8">
        <f>(256*4+128*4+8+80+80+20)*J50</f>
        <v>1928.9438617999999</v>
      </c>
      <c r="K132" t="s">
        <v>6</v>
      </c>
      <c r="M132" s="1" t="s">
        <v>20</v>
      </c>
      <c r="N132" s="8">
        <f>(256*4+128*4+8+20+80+40)*N50</f>
        <v>1884.3883377999998</v>
      </c>
      <c r="O132" s="8">
        <f>(256*4+128*4+8+40+80+40)*O50</f>
        <v>1906.7682467999998</v>
      </c>
      <c r="P132" s="8">
        <f>(256*4+128*4+8+80+80+40)*P50</f>
        <v>1951.5280647999998</v>
      </c>
      <c r="Q132" t="s">
        <v>6</v>
      </c>
      <c r="S132" s="1" t="s">
        <v>20</v>
      </c>
      <c r="T132" s="8">
        <f>(256*4+128*4+8+20+80+80)*T50</f>
        <v>1928.5430317999999</v>
      </c>
      <c r="U132" s="8">
        <f>(256*4+128*4+8+40+80+80)*U50</f>
        <v>1950.9159207999999</v>
      </c>
      <c r="V132" s="8">
        <f>(256*4+128*4+8+80+80+80)*V50</f>
        <v>1995.6616987999998</v>
      </c>
      <c r="W132" t="s">
        <v>6</v>
      </c>
    </row>
    <row r="133" spans="1:23" ht="14.5" thickBot="1" x14ac:dyDescent="0.35">
      <c r="A133" s="4" t="s">
        <v>15</v>
      </c>
      <c r="E133" s="2" t="s">
        <v>6</v>
      </c>
      <c r="G133" s="4" t="s">
        <v>15</v>
      </c>
      <c r="H133" s="6">
        <f>(256*4+256*4+8+20+80+20)*H51</f>
        <v>2421.3201728000004</v>
      </c>
      <c r="I133" s="6">
        <f>(256*4+256*4+8+40+80+20)*I51</f>
        <v>2443.5749538</v>
      </c>
      <c r="J133" s="6">
        <f>(256*4+256*4+8+80+80+20)*J51</f>
        <v>2488.0845158000002</v>
      </c>
      <c r="K133" s="2" t="s">
        <v>6</v>
      </c>
      <c r="M133" s="4" t="s">
        <v>15</v>
      </c>
      <c r="N133" s="6">
        <f>(256*4+256*4+8+20+80+40)*N51</f>
        <v>2443.8329838</v>
      </c>
      <c r="O133" s="6">
        <f>(256*4+256*4+8+40+80+40)*O51</f>
        <v>2466.0901148000003</v>
      </c>
      <c r="P133" s="6">
        <f>(256*4+256*4+8+80+80+40)*P51</f>
        <v>2510.6043768</v>
      </c>
      <c r="Q133" s="2" t="s">
        <v>6</v>
      </c>
      <c r="S133" s="4" t="s">
        <v>15</v>
      </c>
      <c r="T133" s="6">
        <f>(256*4+256*4+8+20+80+80)*T51</f>
        <v>2487.5612918000002</v>
      </c>
      <c r="U133" s="6">
        <f>(256*4+256*4+8+40+80+80)*U51</f>
        <v>2509.8113927999998</v>
      </c>
      <c r="V133" s="6">
        <f>(256*4+256*4+8+80+80+80)*V51</f>
        <v>2554.3115948</v>
      </c>
      <c r="W133" s="2" t="s">
        <v>6</v>
      </c>
    </row>
    <row r="136" spans="1:23" x14ac:dyDescent="0.3">
      <c r="A136" s="21" t="s">
        <v>8</v>
      </c>
      <c r="B136" s="23" t="s">
        <v>9</v>
      </c>
      <c r="C136" s="23" t="s">
        <v>18</v>
      </c>
      <c r="G136" s="21" t="s">
        <v>8</v>
      </c>
      <c r="H136" s="23" t="s">
        <v>10</v>
      </c>
      <c r="I136" s="23" t="s">
        <v>18</v>
      </c>
      <c r="M136" s="21" t="s">
        <v>8</v>
      </c>
      <c r="N136" s="23" t="s">
        <v>11</v>
      </c>
      <c r="O136" s="23" t="s">
        <v>18</v>
      </c>
      <c r="S136" s="21" t="s">
        <v>8</v>
      </c>
      <c r="T136" s="23" t="s">
        <v>12</v>
      </c>
      <c r="U136" s="23" t="s">
        <v>18</v>
      </c>
    </row>
    <row r="137" spans="1:23" x14ac:dyDescent="0.3">
      <c r="A137" s="22"/>
      <c r="B137" s="23"/>
      <c r="C137" s="23"/>
      <c r="G137" s="22"/>
      <c r="H137" s="23"/>
      <c r="I137" s="23"/>
      <c r="M137" s="22"/>
      <c r="N137" s="23"/>
      <c r="O137" s="23"/>
      <c r="S137" s="22"/>
      <c r="T137" s="23"/>
      <c r="U137" s="23"/>
    </row>
    <row r="138" spans="1:23" ht="14.5" thickBot="1" x14ac:dyDescent="0.35">
      <c r="B138" t="s">
        <v>1</v>
      </c>
      <c r="C138" t="s">
        <v>2</v>
      </c>
      <c r="D138" t="s">
        <v>3</v>
      </c>
      <c r="H138" s="2" t="s">
        <v>1</v>
      </c>
      <c r="I138" s="2" t="s">
        <v>2</v>
      </c>
      <c r="J138" s="2" t="s">
        <v>3</v>
      </c>
      <c r="N138" s="2" t="s">
        <v>1</v>
      </c>
      <c r="O138" s="2" t="s">
        <v>2</v>
      </c>
      <c r="P138" s="2" t="s">
        <v>3</v>
      </c>
      <c r="T138" s="2" t="s">
        <v>1</v>
      </c>
      <c r="U138" s="2" t="s">
        <v>2</v>
      </c>
      <c r="V138" s="2" t="s">
        <v>3</v>
      </c>
    </row>
    <row r="139" spans="1:23" x14ac:dyDescent="0.3">
      <c r="A139" s="1" t="s">
        <v>16</v>
      </c>
      <c r="E139" s="1" t="s">
        <v>4</v>
      </c>
      <c r="G139" s="1" t="s">
        <v>16</v>
      </c>
      <c r="H139" s="8">
        <f>(64*4+256*4+8+20+20+20)*H57</f>
        <v>1448.6192358000001</v>
      </c>
      <c r="I139" s="8">
        <f>(64*4+256*4+8+40+20+20)*I57</f>
        <v>1470.1059467999999</v>
      </c>
      <c r="J139" s="8">
        <f>(64*4+256*4+8+80+20+20)*J57</f>
        <v>1513.0865024</v>
      </c>
      <c r="K139" s="1" t="s">
        <v>4</v>
      </c>
      <c r="M139" s="1" t="s">
        <v>16</v>
      </c>
      <c r="N139" s="8">
        <f>(64*4+256*4+8+20+20+40)*N57</f>
        <v>1470.1943880000001</v>
      </c>
      <c r="O139" s="8">
        <f>(64*4+256*4+8+40+20+40)*O57</f>
        <v>1491.6822120000002</v>
      </c>
      <c r="P139" s="8">
        <f>(64*4+256*4+8+80+20+40)*P57</f>
        <v>1534.6636745999999</v>
      </c>
      <c r="Q139" s="1" t="s">
        <v>4</v>
      </c>
      <c r="S139" s="1" t="s">
        <v>16</v>
      </c>
      <c r="T139" s="8">
        <f>(64*4+256*4+8+20+20+80)*T57</f>
        <v>1512.9176831999998</v>
      </c>
      <c r="U139" s="8">
        <f>(64*4+256*4+8+40+20+80)*U57</f>
        <v>1534.4015651999998</v>
      </c>
      <c r="V139" s="8">
        <f>(64*4+256*4+8+80+20+80)*V57</f>
        <v>1577.3811937999999</v>
      </c>
      <c r="W139" s="1" t="s">
        <v>4</v>
      </c>
    </row>
    <row r="140" spans="1:23" x14ac:dyDescent="0.3">
      <c r="A140" s="1" t="s">
        <v>14</v>
      </c>
      <c r="E140" s="1" t="s">
        <v>4</v>
      </c>
      <c r="G140" s="1" t="s">
        <v>14</v>
      </c>
      <c r="H140" s="8">
        <f>(128*4+256*4+8+20+20+20)*H58</f>
        <v>1723.7142192000001</v>
      </c>
      <c r="I140" s="8">
        <f>(128*4+256*4+8+40+20+20)*I58</f>
        <v>1745.2052911999999</v>
      </c>
      <c r="J140" s="8">
        <f>(128*4+256*4+8+80+20+20)*J58</f>
        <v>1788.1898111999999</v>
      </c>
      <c r="K140" s="1" t="s">
        <v>4</v>
      </c>
      <c r="M140" s="1" t="s">
        <v>14</v>
      </c>
      <c r="N140" s="8">
        <f>(128*4+256*4+8+20+20+40)*N58</f>
        <v>1745.3029747999999</v>
      </c>
      <c r="O140" s="8">
        <f>(128*4+256*4+8+40+20+40)*O58</f>
        <v>1766.7952098000001</v>
      </c>
      <c r="P140" s="8">
        <f>(128*4+256*4+8+80+20+40)*P58</f>
        <v>1809.7820857999998</v>
      </c>
      <c r="Q140" s="1" t="s">
        <v>4</v>
      </c>
      <c r="S140" s="1" t="s">
        <v>14</v>
      </c>
      <c r="T140" s="8">
        <f>(128*4+256*4+8+20+20+80)*T58</f>
        <v>1787.9835584</v>
      </c>
      <c r="U140" s="8">
        <f>(128*4+256*4+8+40+20+80)*U58</f>
        <v>1809.4737454000001</v>
      </c>
      <c r="V140" s="8">
        <f>(128*4+256*4+8+80+20+80)*V58</f>
        <v>1852.4541194000001</v>
      </c>
      <c r="W140" s="1" t="s">
        <v>4</v>
      </c>
    </row>
    <row r="141" spans="1:23" x14ac:dyDescent="0.3">
      <c r="A141" s="1" t="s">
        <v>20</v>
      </c>
      <c r="E141" s="1" t="s">
        <v>4</v>
      </c>
      <c r="G141" s="1" t="s">
        <v>20</v>
      </c>
      <c r="H141" s="8">
        <f>(256*4+128*4+8+20+20+20)*H59</f>
        <v>1739.4489780000001</v>
      </c>
      <c r="I141" s="8">
        <f>(256*4+128*4+8+40+20+20)*I59</f>
        <v>1761.137868</v>
      </c>
      <c r="J141" s="8">
        <f>(256*4+128*4+8+80+20+20)*J59</f>
        <v>1804.5156480000001</v>
      </c>
      <c r="K141" s="1" t="s">
        <v>4</v>
      </c>
      <c r="M141" s="1" t="s">
        <v>20</v>
      </c>
      <c r="N141" s="8">
        <f>(256*4+128*4+8+20+20+40)*N59</f>
        <v>1761.2330344000002</v>
      </c>
      <c r="O141" s="8">
        <f>(256*4+128*4+8+40+20+40)*O59</f>
        <v>1782.9230964000001</v>
      </c>
      <c r="P141" s="8">
        <f>(256*4+128*4+8+80+20+40)*P59</f>
        <v>1826.3032204000001</v>
      </c>
      <c r="Q141" s="1" t="s">
        <v>4</v>
      </c>
      <c r="S141" s="1" t="s">
        <v>20</v>
      </c>
      <c r="T141" s="8">
        <f>(256*4+128*4+8+20+20+80)*T59</f>
        <v>1804.306816</v>
      </c>
      <c r="U141" s="8">
        <f>(256*4+128*4+8+40+20+80)*U59</f>
        <v>1825.9931960000001</v>
      </c>
      <c r="V141" s="8">
        <f>(256*4+128*4+8+80+20+80)*V59</f>
        <v>1869.3659560000001</v>
      </c>
      <c r="W141" s="1" t="s">
        <v>4</v>
      </c>
    </row>
    <row r="142" spans="1:23" ht="14.5" thickBot="1" x14ac:dyDescent="0.35">
      <c r="A142" s="4" t="s">
        <v>15</v>
      </c>
      <c r="E142" s="2" t="s">
        <v>4</v>
      </c>
      <c r="G142" s="4" t="s">
        <v>15</v>
      </c>
      <c r="H142" s="6">
        <f>(256*4+256*4+8+20+20+20)*H60</f>
        <v>2273.9240627999998</v>
      </c>
      <c r="I142" s="6">
        <f>(256*4+256*4+8+40+20+20)*I60</f>
        <v>2295.4167287999999</v>
      </c>
      <c r="J142" s="6">
        <f>(256*4+256*4+8+80+20+20)*J60</f>
        <v>2338.4020607999996</v>
      </c>
      <c r="K142" s="2" t="s">
        <v>4</v>
      </c>
      <c r="M142" s="4" t="s">
        <v>15</v>
      </c>
      <c r="N142" s="6">
        <f>(256*4+256*4+8+20+20+40)*N60</f>
        <v>2295.5430732</v>
      </c>
      <c r="O142" s="6">
        <f>(256*4+256*4+8+40+20+40)*O60</f>
        <v>2317.0369221999999</v>
      </c>
      <c r="P142" s="6">
        <f>(256*4+256*4+8+80+20+40)*P60</f>
        <v>2360.0246201999998</v>
      </c>
      <c r="Q142" s="2" t="s">
        <v>4</v>
      </c>
      <c r="S142" s="4" t="s">
        <v>15</v>
      </c>
      <c r="T142" s="6">
        <f>(256*4+256*4+8+20+20+80)*T60</f>
        <v>2338.1323456</v>
      </c>
      <c r="U142" s="6">
        <f>(256*4+256*4+8+40+20+80)*U60</f>
        <v>2359.6225325999999</v>
      </c>
      <c r="V142" s="6">
        <f>(256*4+256*4+8+80+20+80)*V60</f>
        <v>2402.6029066000001</v>
      </c>
      <c r="W142" s="2" t="s">
        <v>4</v>
      </c>
    </row>
    <row r="143" spans="1:23" x14ac:dyDescent="0.3">
      <c r="A143" s="1" t="s">
        <v>16</v>
      </c>
      <c r="E143" s="1" t="s">
        <v>5</v>
      </c>
      <c r="G143" s="1" t="s">
        <v>16</v>
      </c>
      <c r="H143" s="8">
        <f>(64*4+256*4+8+20+40+20)*H61</f>
        <v>1469.5765991999999</v>
      </c>
      <c r="I143" s="8">
        <f>(64*4+256*4+8+40+40+20)*I61</f>
        <v>1491.0553912</v>
      </c>
      <c r="J143" s="8">
        <f>(64*4+256*4+8+80+40+20)*J61</f>
        <v>1534.0202178</v>
      </c>
      <c r="K143" s="1" t="s">
        <v>5</v>
      </c>
      <c r="M143" s="1" t="s">
        <v>16</v>
      </c>
      <c r="N143" s="8">
        <f>(64*4+256*4+8+20+40+40)*N61</f>
        <v>1491.1451254000001</v>
      </c>
      <c r="O143" s="8">
        <f>(64*4+256*4+8+40+40+40)*O61</f>
        <v>1512.6250303999998</v>
      </c>
      <c r="P143" s="8">
        <f>(64*4+256*4+8+80+40+40)*P61</f>
        <v>1555.5907440000001</v>
      </c>
      <c r="Q143" s="1" t="s">
        <v>5</v>
      </c>
      <c r="S143" s="1" t="s">
        <v>16</v>
      </c>
      <c r="T143" s="8">
        <f>(64*4+256*4+8+20+40+80)*T61</f>
        <v>1533.8490006</v>
      </c>
      <c r="U143" s="8">
        <f>(64*4+256*4+8+40+40+80)*U61</f>
        <v>1555.3249636</v>
      </c>
      <c r="V143" s="8">
        <f>(64*4+256*4+8+80+40+80)*V61</f>
        <v>1598.2889232</v>
      </c>
      <c r="W143" s="1" t="s">
        <v>5</v>
      </c>
    </row>
    <row r="144" spans="1:23" x14ac:dyDescent="0.3">
      <c r="A144" s="1" t="s">
        <v>14</v>
      </c>
      <c r="E144" s="1" t="s">
        <v>5</v>
      </c>
      <c r="G144" s="1" t="s">
        <v>14</v>
      </c>
      <c r="H144" s="8">
        <f>(128*4+256*4+1*8+20+40+20)*H62</f>
        <v>1744.5712004</v>
      </c>
      <c r="I144" s="8">
        <f>(128*4+256*4+8+40+40+20)*I62</f>
        <v>1766.0544234000001</v>
      </c>
      <c r="J144" s="8">
        <f>(128*4+256*4+8+80+40+20)*J62</f>
        <v>1809.0232753999999</v>
      </c>
      <c r="K144" s="1" t="s">
        <v>5</v>
      </c>
      <c r="M144" s="1" t="s">
        <v>14</v>
      </c>
      <c r="N144" s="8">
        <f>(128*4+256*4+8+20+40+40)*N62</f>
        <v>1766.1533099999999</v>
      </c>
      <c r="O144" s="8">
        <f>(128*4+256*4+8+40+40+40)*O62</f>
        <v>1787.637696</v>
      </c>
      <c r="P144" s="8">
        <f>(128*4+256*4+8+80+40+40)*P62</f>
        <v>1830.6089039999999</v>
      </c>
      <c r="Q144" s="1" t="s">
        <v>5</v>
      </c>
      <c r="S144" s="1" t="s">
        <v>14</v>
      </c>
      <c r="T144" s="8">
        <f>(128*4+256*4+8+20+40+80)*T62</f>
        <v>1808.8145436000002</v>
      </c>
      <c r="U144" s="8">
        <f>(128*4+256*4+8+40+40+80)*U62</f>
        <v>1830.2969016000002</v>
      </c>
      <c r="V144" s="8">
        <f>(128*4+256*4+8+80+40+80)*V62</f>
        <v>1873.2616176000001</v>
      </c>
      <c r="W144" s="1" t="s">
        <v>5</v>
      </c>
    </row>
    <row r="145" spans="1:23" x14ac:dyDescent="0.3">
      <c r="A145" s="1" t="s">
        <v>20</v>
      </c>
      <c r="E145" s="1" t="s">
        <v>5</v>
      </c>
      <c r="G145" s="1" t="s">
        <v>20</v>
      </c>
      <c r="H145" s="8">
        <f>(256*4+128*4+8+20+40+20)*H63</f>
        <v>1758.4020776000002</v>
      </c>
      <c r="I145" s="8">
        <f>(256*4+128*4+8+40+40+20)*I63</f>
        <v>1780.0572756000001</v>
      </c>
      <c r="J145" s="8">
        <f>(256*4+128*4+8+80+40+20)*J63</f>
        <v>1823.3676716000002</v>
      </c>
      <c r="K145" s="1" t="s">
        <v>5</v>
      </c>
      <c r="M145" s="1" t="s">
        <v>20</v>
      </c>
      <c r="N145" s="8">
        <f>(256*4+128*4+8+20+40+40)*N63</f>
        <v>1780.1536139999998</v>
      </c>
      <c r="O145" s="8">
        <f>(256*4+128*4+8+40+40+40)*O63</f>
        <v>1801.8099839999998</v>
      </c>
      <c r="P145" s="8">
        <f>(256*4+128*4+8+80+40+40)*P63</f>
        <v>1845.1227239999998</v>
      </c>
      <c r="Q145" s="1" t="s">
        <v>5</v>
      </c>
      <c r="S145" s="1" t="s">
        <v>20</v>
      </c>
      <c r="T145" s="8">
        <f>(256*4+128*4+8+20+40+80)*T63</f>
        <v>1823.1563295999997</v>
      </c>
      <c r="U145" s="8">
        <f>(256*4+128*4+8+40+40+80)*U63</f>
        <v>1844.8090175999998</v>
      </c>
      <c r="V145" s="8">
        <f>(256*4+128*4+8+80+40+80)*V63</f>
        <v>1888.1143935999999</v>
      </c>
      <c r="W145" s="1" t="s">
        <v>5</v>
      </c>
    </row>
    <row r="146" spans="1:23" ht="14.5" thickBot="1" x14ac:dyDescent="0.35">
      <c r="A146" s="4" t="s">
        <v>15</v>
      </c>
      <c r="E146" s="2" t="s">
        <v>5</v>
      </c>
      <c r="G146" s="4" t="s">
        <v>15</v>
      </c>
      <c r="H146" s="6">
        <f>(256*4+256*4+8+20+40+20)*H64</f>
        <v>2294.5805915999999</v>
      </c>
      <c r="I146" s="6">
        <f>(256*4+256*4+8+40+40+20)*I64</f>
        <v>2316.0654285999999</v>
      </c>
      <c r="J146" s="6">
        <f>(256*4+256*4+8+80+40+20)*J64</f>
        <v>2359.0351025999998</v>
      </c>
      <c r="K146" s="2" t="s">
        <v>5</v>
      </c>
      <c r="M146" s="4" t="s">
        <v>15</v>
      </c>
      <c r="N146" s="6">
        <f>(256*4+256*4+8+20+40+40)*N64</f>
        <v>2316.1929559999999</v>
      </c>
      <c r="O146" s="6">
        <f>(256*4+256*4+8+40+40+40)*O64</f>
        <v>2337.6789759999997</v>
      </c>
      <c r="P146" s="6">
        <f>(256*4+256*4+8+80+40+40)*P64</f>
        <v>2380.6510159999998</v>
      </c>
      <c r="Q146" s="2" t="s">
        <v>5</v>
      </c>
      <c r="S146" s="4" t="s">
        <v>15</v>
      </c>
      <c r="T146" s="6">
        <f>(256*4+256*4+8+20+40+80)*T64</f>
        <v>2358.7629084</v>
      </c>
      <c r="U146" s="6">
        <f>(256*4+256*4+8+40+40+80)*U64</f>
        <v>2380.2452664000002</v>
      </c>
      <c r="V146" s="6">
        <f>(256*4+256*4+8+80+40+80)*V64</f>
        <v>2423.2099824000002</v>
      </c>
      <c r="W146" s="2" t="s">
        <v>5</v>
      </c>
    </row>
    <row r="147" spans="1:23" x14ac:dyDescent="0.3">
      <c r="A147" s="1" t="s">
        <v>16</v>
      </c>
      <c r="E147" t="s">
        <v>6</v>
      </c>
      <c r="G147" s="1" t="s">
        <v>16</v>
      </c>
      <c r="H147" s="8">
        <f>(64*4+256*4+8+20+80+20)*H65</f>
        <v>1512.6566399999999</v>
      </c>
      <c r="I147" s="8">
        <f>(64*4+256*4+8+40+80+20)*I65</f>
        <v>1534.136814</v>
      </c>
      <c r="J147" s="8">
        <f>(64*4+256*4+8+80+80+20)*J65</f>
        <v>1577.1046226000001</v>
      </c>
      <c r="K147" t="s">
        <v>6</v>
      </c>
      <c r="M147" s="1" t="s">
        <v>16</v>
      </c>
      <c r="N147" s="8">
        <f>(64*4+256*4+8+20+80+40)*N65</f>
        <v>1534.2291341999999</v>
      </c>
      <c r="O147" s="8">
        <f>(64*4+256*4+8+40+80+40)*O65</f>
        <v>1555.7104211999999</v>
      </c>
      <c r="P147" s="8">
        <f>(64*4+256*4+8+80+80+40)*P65</f>
        <v>1598.6790768000001</v>
      </c>
      <c r="Q147" t="s">
        <v>6</v>
      </c>
      <c r="S147" s="1" t="s">
        <v>16</v>
      </c>
      <c r="T147" s="8">
        <f>(64*4+256*4+8+20+80+80)*T65</f>
        <v>1576.9293434000001</v>
      </c>
      <c r="U147" s="8">
        <f>(64*4+256*4+8+40+80+80)*U65</f>
        <v>1598.4066983999999</v>
      </c>
      <c r="V147" s="8">
        <f>(64*4+256*4+8+80+80+80)*V65</f>
        <v>1641.3737799999999</v>
      </c>
      <c r="W147" t="s">
        <v>6</v>
      </c>
    </row>
    <row r="148" spans="1:23" x14ac:dyDescent="0.3">
      <c r="A148" s="1" t="s">
        <v>14</v>
      </c>
      <c r="E148" t="s">
        <v>6</v>
      </c>
      <c r="G148" s="1" t="s">
        <v>14</v>
      </c>
      <c r="H148" s="8">
        <f>(128*4+256*4+8+20+80+20)*H66</f>
        <v>1787.6708928</v>
      </c>
      <c r="I148" s="8">
        <f>(128*4+256*4+8+40+80+20)*I66</f>
        <v>1809.1556378000002</v>
      </c>
      <c r="J148" s="8">
        <f>(128*4+256*4+8+80+80+20)*J66</f>
        <v>1852.1275938000001</v>
      </c>
      <c r="K148" t="s">
        <v>6</v>
      </c>
      <c r="M148" s="1" t="s">
        <v>14</v>
      </c>
      <c r="N148" s="8">
        <f>(128*4+256*4+8+20+80+40)*N66</f>
        <v>1809.2569304000001</v>
      </c>
      <c r="O148" s="8">
        <f>(128*4+256*4+8+40+80+40)*O66</f>
        <v>1830.7428384000002</v>
      </c>
      <c r="P148" s="8">
        <f>(128*4+256*4+8+80+80+40)*P66</f>
        <v>1873.7171504</v>
      </c>
      <c r="Q148" t="s">
        <v>6</v>
      </c>
      <c r="S148" s="1" t="s">
        <v>14</v>
      </c>
      <c r="T148" s="8">
        <f>(128*4+256*4+8+20+80+80)*T66</f>
        <v>1851.9147660000001</v>
      </c>
      <c r="U148" s="8">
        <f>(128*4+256*4+8+40+80+80)*U66</f>
        <v>1873.398696</v>
      </c>
      <c r="V148" s="8">
        <f>(128*4+256*4+8+80+80+80)*V66</f>
        <v>1916.3665559999999</v>
      </c>
      <c r="W148" t="s">
        <v>6</v>
      </c>
    </row>
    <row r="149" spans="1:23" x14ac:dyDescent="0.3">
      <c r="A149" s="1" t="s">
        <v>20</v>
      </c>
      <c r="E149" t="s">
        <v>6</v>
      </c>
      <c r="G149" s="1" t="s">
        <v>20</v>
      </c>
      <c r="H149" s="8">
        <f>(256*4+128*4+8+20+80+20)*H67</f>
        <v>1799.2151424000001</v>
      </c>
      <c r="I149" s="8">
        <f>(256*4+128*4+8+40+80+20)*I67</f>
        <v>1820.8403244000001</v>
      </c>
      <c r="J149" s="8">
        <f>(256*4+128*4+8+80+80+20)*J67</f>
        <v>1864.0906884000001</v>
      </c>
      <c r="K149" t="s">
        <v>6</v>
      </c>
      <c r="M149" s="1" t="s">
        <v>20</v>
      </c>
      <c r="N149" s="8">
        <f>(256*4+128*4+8+20+80+40)*N67</f>
        <v>1820.9390068</v>
      </c>
      <c r="O149" s="8">
        <f>(256*4+128*4+8+40+80+40)*O67</f>
        <v>1842.5653608</v>
      </c>
      <c r="P149" s="8">
        <f>(256*4+128*4+8+80+80+40)*P67</f>
        <v>1885.8180688</v>
      </c>
      <c r="Q149" t="s">
        <v>6</v>
      </c>
      <c r="S149" s="1" t="s">
        <v>20</v>
      </c>
      <c r="T149" s="8">
        <f>(256*4+128*4+8+20+80+80)*T67</f>
        <v>1863.8743264</v>
      </c>
      <c r="U149" s="8">
        <f>(256*4+128*4+8+40+80+80)*U67</f>
        <v>1885.4969983999999</v>
      </c>
      <c r="V149" s="8">
        <f>(256*4+128*4+8+80+80+80)*V67</f>
        <v>1928.7423424000001</v>
      </c>
      <c r="W149" t="s">
        <v>6</v>
      </c>
    </row>
    <row r="150" spans="1:23" ht="14.5" thickBot="1" x14ac:dyDescent="0.35">
      <c r="A150" s="4" t="s">
        <v>15</v>
      </c>
      <c r="E150" s="2" t="s">
        <v>6</v>
      </c>
      <c r="G150" s="4" t="s">
        <v>15</v>
      </c>
      <c r="H150" s="6">
        <f>(256*4+256*4+8+20+80+20)*H68</f>
        <v>2337.7202112</v>
      </c>
      <c r="I150" s="6">
        <f>(256*4+256*4+8+40+80+20)*I68</f>
        <v>2359.2066101999999</v>
      </c>
      <c r="J150" s="6">
        <f>(256*4+256*4+8+80+80+20)*J68</f>
        <v>2402.1794082000001</v>
      </c>
      <c r="K150" s="2" t="s">
        <v>6</v>
      </c>
      <c r="M150" s="4" t="s">
        <v>15</v>
      </c>
      <c r="N150" s="6">
        <f>(256*4+256*4+8+20+80+40)*N68</f>
        <v>2359.3365036</v>
      </c>
      <c r="O150" s="6">
        <f>(256*4+256*4+8+40+80+40)*O68</f>
        <v>2380.8240856000002</v>
      </c>
      <c r="P150" s="6">
        <f>(256*4+256*4+8+80+80+40)*P68</f>
        <v>2423.7992496000002</v>
      </c>
      <c r="Q150" s="2" t="s">
        <v>6</v>
      </c>
      <c r="S150" s="4" t="s">
        <v>15</v>
      </c>
      <c r="T150" s="6">
        <f>(256*4+256*4+8+20+80+80)*T68</f>
        <v>2401.903374</v>
      </c>
      <c r="U150" s="6">
        <f>(256*4+256*4+8+40+80+80)*U68</f>
        <v>2423.3873039999999</v>
      </c>
      <c r="V150" s="6">
        <f>(256*4+256*4+8+80+80+80)*V68</f>
        <v>2466.3551640000001</v>
      </c>
      <c r="W150" s="2" t="s">
        <v>6</v>
      </c>
    </row>
  </sheetData>
  <mergeCells count="96">
    <mergeCell ref="S119:S120"/>
    <mergeCell ref="T119:T120"/>
    <mergeCell ref="U119:U120"/>
    <mergeCell ref="S136:S137"/>
    <mergeCell ref="T136:T137"/>
    <mergeCell ref="U136:U137"/>
    <mergeCell ref="M119:M120"/>
    <mergeCell ref="N119:N120"/>
    <mergeCell ref="O119:O120"/>
    <mergeCell ref="M136:M137"/>
    <mergeCell ref="N136:N137"/>
    <mergeCell ref="O136:O137"/>
    <mergeCell ref="G119:G120"/>
    <mergeCell ref="H119:H120"/>
    <mergeCell ref="I119:I120"/>
    <mergeCell ref="G136:G137"/>
    <mergeCell ref="H136:H137"/>
    <mergeCell ref="I136:I137"/>
    <mergeCell ref="A119:A120"/>
    <mergeCell ref="B119:B120"/>
    <mergeCell ref="C119:C120"/>
    <mergeCell ref="A136:A137"/>
    <mergeCell ref="B136:B137"/>
    <mergeCell ref="C136:C137"/>
    <mergeCell ref="G100:G101"/>
    <mergeCell ref="H100:H101"/>
    <mergeCell ref="I100:I101"/>
    <mergeCell ref="A83:A84"/>
    <mergeCell ref="B83:B84"/>
    <mergeCell ref="C83:C84"/>
    <mergeCell ref="A100:A101"/>
    <mergeCell ref="B100:B101"/>
    <mergeCell ref="C100:C101"/>
    <mergeCell ref="U83:U84"/>
    <mergeCell ref="S100:S101"/>
    <mergeCell ref="T100:T101"/>
    <mergeCell ref="U100:U101"/>
    <mergeCell ref="M83:M84"/>
    <mergeCell ref="N83:N84"/>
    <mergeCell ref="O83:O84"/>
    <mergeCell ref="M100:M101"/>
    <mergeCell ref="N100:N101"/>
    <mergeCell ref="O100:O101"/>
    <mergeCell ref="S83:S84"/>
    <mergeCell ref="T83:T84"/>
    <mergeCell ref="G83:G84"/>
    <mergeCell ref="H83:H84"/>
    <mergeCell ref="I83:I84"/>
    <mergeCell ref="S37:S38"/>
    <mergeCell ref="T37:T38"/>
    <mergeCell ref="U37:U38"/>
    <mergeCell ref="S54:S55"/>
    <mergeCell ref="T54:T55"/>
    <mergeCell ref="U54:U55"/>
    <mergeCell ref="S18:S19"/>
    <mergeCell ref="T18:T19"/>
    <mergeCell ref="U18:U19"/>
    <mergeCell ref="S1:S2"/>
    <mergeCell ref="T1:T2"/>
    <mergeCell ref="U1:U2"/>
    <mergeCell ref="O1:O2"/>
    <mergeCell ref="G18:G19"/>
    <mergeCell ref="H18:H19"/>
    <mergeCell ref="I18:I19"/>
    <mergeCell ref="M18:M19"/>
    <mergeCell ref="G1:G2"/>
    <mergeCell ref="H1:H2"/>
    <mergeCell ref="I1:I2"/>
    <mergeCell ref="M1:M2"/>
    <mergeCell ref="N1:N2"/>
    <mergeCell ref="O54:O55"/>
    <mergeCell ref="O37:O38"/>
    <mergeCell ref="I54:I55"/>
    <mergeCell ref="B18:B19"/>
    <mergeCell ref="C18:C19"/>
    <mergeCell ref="G37:G38"/>
    <mergeCell ref="M37:M38"/>
    <mergeCell ref="C37:C38"/>
    <mergeCell ref="I37:I38"/>
    <mergeCell ref="O18:O19"/>
    <mergeCell ref="A18:A19"/>
    <mergeCell ref="B54:B55"/>
    <mergeCell ref="H54:H55"/>
    <mergeCell ref="N54:N55"/>
    <mergeCell ref="A1:A2"/>
    <mergeCell ref="A54:A55"/>
    <mergeCell ref="G54:G55"/>
    <mergeCell ref="M54:M55"/>
    <mergeCell ref="B1:B2"/>
    <mergeCell ref="C1:C2"/>
    <mergeCell ref="C54:C55"/>
    <mergeCell ref="N18:N19"/>
    <mergeCell ref="N37:N38"/>
    <mergeCell ref="A37:A38"/>
    <mergeCell ref="B37:B38"/>
    <mergeCell ref="H37:H3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900E-4F35-45C5-8E48-949E4565DCD9}">
  <sheetPr>
    <tabColor theme="8" tint="-0.249977111117893"/>
  </sheetPr>
  <dimension ref="A3:O56"/>
  <sheetViews>
    <sheetView topLeftCell="A22" workbookViewId="0">
      <selection activeCell="I54" sqref="I54"/>
    </sheetView>
  </sheetViews>
  <sheetFormatPr defaultRowHeight="14" x14ac:dyDescent="0.3"/>
  <cols>
    <col min="2" max="2" width="16.6640625" bestFit="1" customWidth="1"/>
    <col min="3" max="3" width="15.75" customWidth="1"/>
    <col min="4" max="4" width="14.1640625" customWidth="1"/>
    <col min="5" max="5" width="13.75" customWidth="1"/>
    <col min="6" max="6" width="14.4140625" customWidth="1"/>
    <col min="11" max="11" width="16.6640625" bestFit="1" customWidth="1"/>
    <col min="12" max="12" width="17.9140625" bestFit="1" customWidth="1"/>
    <col min="13" max="15" width="24.75" bestFit="1" customWidth="1"/>
  </cols>
  <sheetData>
    <row r="3" spans="2:15" x14ac:dyDescent="0.3">
      <c r="C3" t="s">
        <v>40</v>
      </c>
      <c r="D3" t="s">
        <v>21</v>
      </c>
      <c r="E3" t="s">
        <v>22</v>
      </c>
      <c r="F3" t="s">
        <v>23</v>
      </c>
    </row>
    <row r="4" spans="2:15" ht="14.5" thickBot="1" x14ac:dyDescent="0.35">
      <c r="B4" t="s">
        <v>35</v>
      </c>
      <c r="C4">
        <v>1.8437879000000001</v>
      </c>
      <c r="D4" s="5">
        <v>1.8437874000000001</v>
      </c>
      <c r="E4" s="6">
        <v>1.8437869500000001</v>
      </c>
      <c r="F4">
        <v>1.8437869500000001</v>
      </c>
      <c r="M4" t="s">
        <v>9</v>
      </c>
      <c r="N4" t="s">
        <v>10</v>
      </c>
      <c r="O4" t="s">
        <v>29</v>
      </c>
    </row>
    <row r="5" spans="2:15" x14ac:dyDescent="0.3">
      <c r="B5" t="s">
        <v>25</v>
      </c>
      <c r="C5">
        <v>1.8437869500000001</v>
      </c>
      <c r="D5">
        <v>1.8437869500000001</v>
      </c>
      <c r="E5">
        <v>1.8437869500000001</v>
      </c>
      <c r="F5">
        <v>1.8437869500000001</v>
      </c>
      <c r="L5" t="s">
        <v>37</v>
      </c>
      <c r="M5">
        <v>1.8437869500000001</v>
      </c>
      <c r="N5">
        <v>1.8437869500000001</v>
      </c>
      <c r="O5">
        <v>1.8437869500000001</v>
      </c>
    </row>
    <row r="6" spans="2:15" x14ac:dyDescent="0.3">
      <c r="L6" t="s">
        <v>38</v>
      </c>
      <c r="M6">
        <v>1.4219468499999999</v>
      </c>
      <c r="N6">
        <v>1.4219468499999999</v>
      </c>
      <c r="O6">
        <v>1.4219468499999999</v>
      </c>
    </row>
    <row r="31" spans="1:14" x14ac:dyDescent="0.3">
      <c r="B31" s="26" t="s">
        <v>34</v>
      </c>
      <c r="C31" s="26" t="s">
        <v>31</v>
      </c>
      <c r="D31" s="26" t="s">
        <v>33</v>
      </c>
      <c r="E31" s="26" t="s">
        <v>41</v>
      </c>
      <c r="K31" s="26" t="s">
        <v>34</v>
      </c>
      <c r="L31" s="26" t="s">
        <v>31</v>
      </c>
      <c r="M31" s="26" t="s">
        <v>33</v>
      </c>
      <c r="N31" s="26" t="s">
        <v>41</v>
      </c>
    </row>
    <row r="32" spans="1:14" x14ac:dyDescent="0.3">
      <c r="A32" t="s">
        <v>24</v>
      </c>
      <c r="B32">
        <v>1.8437877</v>
      </c>
      <c r="C32">
        <v>1.8437869500000001</v>
      </c>
      <c r="D32">
        <v>1.8437869500000001</v>
      </c>
      <c r="E32">
        <v>1.8437869500000001</v>
      </c>
      <c r="J32" t="s">
        <v>25</v>
      </c>
      <c r="K32">
        <v>1.8440674500000001</v>
      </c>
      <c r="L32">
        <v>1.8437869500000001</v>
      </c>
      <c r="M32">
        <v>1.8437869500000001</v>
      </c>
      <c r="N32">
        <v>1.8437869500000001</v>
      </c>
    </row>
    <row r="54" spans="2:5" x14ac:dyDescent="0.3">
      <c r="C54" t="s">
        <v>9</v>
      </c>
      <c r="D54" t="s">
        <v>10</v>
      </c>
      <c r="E54" t="s">
        <v>29</v>
      </c>
    </row>
    <row r="55" spans="2:5" x14ac:dyDescent="0.3">
      <c r="B55" t="s">
        <v>17</v>
      </c>
      <c r="C55">
        <v>1.4219468499999999</v>
      </c>
      <c r="D55">
        <v>1.4219468499999999</v>
      </c>
      <c r="E55">
        <v>1.4219468499999999</v>
      </c>
    </row>
    <row r="56" spans="2:5" x14ac:dyDescent="0.3">
      <c r="B56" t="s">
        <v>18</v>
      </c>
      <c r="C56">
        <v>1.4219468499999999</v>
      </c>
      <c r="D56">
        <v>1.4219468499999999</v>
      </c>
      <c r="E56">
        <v>1.4219468499999999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9EA0-6CEF-42FA-8227-59CC21FA8A51}">
  <sheetPr>
    <tabColor theme="5" tint="-0.249977111117893"/>
  </sheetPr>
  <dimension ref="A1:Q155"/>
  <sheetViews>
    <sheetView topLeftCell="A69" zoomScaleNormal="100" workbookViewId="0">
      <selection activeCell="C109" sqref="C109"/>
    </sheetView>
  </sheetViews>
  <sheetFormatPr defaultRowHeight="14" x14ac:dyDescent="0.3"/>
  <cols>
    <col min="1" max="1" width="12.1640625" bestFit="1" customWidth="1"/>
    <col min="2" max="2" width="26.33203125" style="9" bestFit="1" customWidth="1"/>
    <col min="3" max="4" width="26.33203125" bestFit="1" customWidth="1"/>
    <col min="5" max="5" width="27.25" bestFit="1" customWidth="1"/>
    <col min="7" max="7" width="12.1640625" bestFit="1" customWidth="1"/>
    <col min="8" max="8" width="26.33203125" style="9" bestFit="1" customWidth="1"/>
    <col min="9" max="10" width="26.33203125" bestFit="1" customWidth="1"/>
    <col min="11" max="11" width="27.25" bestFit="1" customWidth="1"/>
    <col min="13" max="13" width="12.1640625" bestFit="1" customWidth="1"/>
    <col min="14" max="16" width="26.33203125" bestFit="1" customWidth="1"/>
    <col min="17" max="17" width="27.25" bestFit="1" customWidth="1"/>
  </cols>
  <sheetData>
    <row r="1" spans="1:17" ht="14" customHeight="1" x14ac:dyDescent="0.3">
      <c r="A1" s="21" t="s">
        <v>7</v>
      </c>
      <c r="B1" s="23" t="s">
        <v>10</v>
      </c>
      <c r="C1" s="23" t="s">
        <v>17</v>
      </c>
      <c r="G1" s="21" t="s">
        <v>7</v>
      </c>
      <c r="H1" s="23" t="s">
        <v>11</v>
      </c>
      <c r="I1" s="23" t="s">
        <v>17</v>
      </c>
      <c r="M1" s="21" t="s">
        <v>7</v>
      </c>
      <c r="N1" s="23" t="s">
        <v>12</v>
      </c>
      <c r="O1" s="23" t="s">
        <v>17</v>
      </c>
    </row>
    <row r="2" spans="1:17" x14ac:dyDescent="0.3">
      <c r="A2" s="22"/>
      <c r="B2" s="23"/>
      <c r="C2" s="23"/>
      <c r="G2" s="22"/>
      <c r="H2" s="23"/>
      <c r="I2" s="23"/>
      <c r="M2" s="22"/>
      <c r="N2" s="23"/>
      <c r="O2" s="23"/>
    </row>
    <row r="3" spans="1:17" ht="14.5" thickBot="1" x14ac:dyDescent="0.35">
      <c r="B3" s="4" t="s">
        <v>0</v>
      </c>
      <c r="C3" s="2" t="s">
        <v>1</v>
      </c>
      <c r="D3" s="2" t="s">
        <v>2</v>
      </c>
      <c r="H3" s="4" t="s">
        <v>0</v>
      </c>
      <c r="I3" s="2" t="s">
        <v>1</v>
      </c>
      <c r="J3" s="2" t="s">
        <v>2</v>
      </c>
      <c r="N3" s="4" t="s">
        <v>0</v>
      </c>
      <c r="O3" s="2" t="s">
        <v>1</v>
      </c>
      <c r="P3" s="2" t="s">
        <v>2</v>
      </c>
    </row>
    <row r="4" spans="1:17" x14ac:dyDescent="0.3">
      <c r="A4" t="s">
        <v>19</v>
      </c>
      <c r="B4" s="11">
        <v>1.0671332</v>
      </c>
      <c r="C4" s="5">
        <v>1.05011995</v>
      </c>
      <c r="D4" s="5">
        <v>1.0500974000000001</v>
      </c>
      <c r="E4" s="1" t="s">
        <v>4</v>
      </c>
      <c r="G4" t="s">
        <v>19</v>
      </c>
      <c r="H4" s="11">
        <v>1.0669137</v>
      </c>
      <c r="I4" s="5">
        <v>1.0499014499999999</v>
      </c>
      <c r="J4" s="5">
        <v>1.0498779</v>
      </c>
      <c r="K4" s="1" t="s">
        <v>4</v>
      </c>
      <c r="M4" t="s">
        <v>19</v>
      </c>
      <c r="N4" s="11">
        <v>1.0667112000000001</v>
      </c>
      <c r="O4" s="5">
        <v>1.04969745</v>
      </c>
      <c r="P4" s="5">
        <v>1.0496729</v>
      </c>
      <c r="Q4" s="1" t="s">
        <v>4</v>
      </c>
    </row>
    <row r="5" spans="1:17" x14ac:dyDescent="0.3">
      <c r="A5" s="1" t="s">
        <v>16</v>
      </c>
      <c r="B5" s="11">
        <v>1.0517226</v>
      </c>
      <c r="C5" s="5">
        <v>1.0500973</v>
      </c>
      <c r="D5" s="5">
        <v>1.0500973</v>
      </c>
      <c r="E5" s="1" t="s">
        <v>4</v>
      </c>
      <c r="G5" s="1" t="s">
        <v>16</v>
      </c>
      <c r="H5" s="11">
        <v>1.0515030999999999</v>
      </c>
      <c r="I5" s="5">
        <v>1.0498778</v>
      </c>
      <c r="J5" s="5">
        <v>1.0498778</v>
      </c>
      <c r="K5" s="1" t="s">
        <v>4</v>
      </c>
      <c r="M5" s="1" t="s">
        <v>16</v>
      </c>
      <c r="N5" s="11">
        <v>1.0512980999999999</v>
      </c>
      <c r="O5" s="5">
        <v>1.0496728</v>
      </c>
      <c r="P5" s="5">
        <v>1.0496728</v>
      </c>
      <c r="Q5" s="1" t="s">
        <v>4</v>
      </c>
    </row>
    <row r="6" spans="1:17" x14ac:dyDescent="0.3">
      <c r="A6" s="1" t="s">
        <v>14</v>
      </c>
      <c r="B6" s="11">
        <v>1.05009745</v>
      </c>
      <c r="C6" s="5">
        <v>1.0500973</v>
      </c>
      <c r="D6" s="5">
        <v>1.0500973</v>
      </c>
      <c r="E6" s="1" t="s">
        <v>4</v>
      </c>
      <c r="G6" s="1" t="s">
        <v>14</v>
      </c>
      <c r="H6" s="11">
        <v>1.0498779499999999</v>
      </c>
      <c r="I6" s="5">
        <v>1.0498778</v>
      </c>
      <c r="J6" s="5">
        <v>1.0498778</v>
      </c>
      <c r="K6" s="1" t="s">
        <v>4</v>
      </c>
      <c r="M6" s="1" t="s">
        <v>14</v>
      </c>
      <c r="N6" s="11">
        <v>1.0496729499999999</v>
      </c>
      <c r="O6" s="5">
        <v>1.0496728</v>
      </c>
      <c r="P6" s="5">
        <v>1.0496728</v>
      </c>
      <c r="Q6" s="1" t="s">
        <v>4</v>
      </c>
    </row>
    <row r="7" spans="1:17" x14ac:dyDescent="0.3">
      <c r="A7" s="10" t="s">
        <v>20</v>
      </c>
      <c r="B7" s="11">
        <v>1.0502737</v>
      </c>
      <c r="C7" s="11">
        <v>1.0502737</v>
      </c>
      <c r="D7" s="11">
        <v>1.0502737</v>
      </c>
      <c r="E7" s="1" t="s">
        <v>4</v>
      </c>
      <c r="G7" s="10" t="s">
        <v>20</v>
      </c>
      <c r="H7" s="11">
        <v>1.0499962</v>
      </c>
      <c r="I7" s="11">
        <v>1.0499962</v>
      </c>
      <c r="J7" s="11">
        <v>1.0499962</v>
      </c>
      <c r="K7" s="1" t="s">
        <v>4</v>
      </c>
      <c r="M7" s="10" t="s">
        <v>20</v>
      </c>
      <c r="N7" s="11">
        <v>1.0497722</v>
      </c>
      <c r="O7" s="11">
        <v>1.0497722</v>
      </c>
      <c r="P7" s="11">
        <v>1.0497722</v>
      </c>
      <c r="Q7" s="1" t="s">
        <v>4</v>
      </c>
    </row>
    <row r="8" spans="1:17" ht="14.5" thickBot="1" x14ac:dyDescent="0.35">
      <c r="A8" s="4" t="s">
        <v>15</v>
      </c>
      <c r="B8" s="12">
        <v>1.0500974000000001</v>
      </c>
      <c r="C8" s="6">
        <v>1.0500973</v>
      </c>
      <c r="D8" s="6">
        <v>1.0500973</v>
      </c>
      <c r="E8" s="2" t="s">
        <v>4</v>
      </c>
      <c r="G8" s="4" t="s">
        <v>15</v>
      </c>
      <c r="H8" s="12">
        <v>1.0498779</v>
      </c>
      <c r="I8" s="6">
        <v>1.0498778</v>
      </c>
      <c r="J8" s="6">
        <v>1.0498778</v>
      </c>
      <c r="K8" s="2" t="s">
        <v>4</v>
      </c>
      <c r="M8" s="4" t="s">
        <v>15</v>
      </c>
      <c r="N8" s="12">
        <v>1.0496729</v>
      </c>
      <c r="O8" s="6">
        <v>1.0496728</v>
      </c>
      <c r="P8" s="6">
        <v>1.0496728</v>
      </c>
      <c r="Q8" s="2" t="s">
        <v>4</v>
      </c>
    </row>
    <row r="9" spans="1:17" x14ac:dyDescent="0.3">
      <c r="A9" t="s">
        <v>19</v>
      </c>
      <c r="B9" s="11">
        <v>1.0669789999999999</v>
      </c>
      <c r="C9" s="5">
        <v>1.04996625</v>
      </c>
      <c r="D9" s="5">
        <v>1.0499437</v>
      </c>
      <c r="E9" s="1" t="s">
        <v>5</v>
      </c>
      <c r="G9" t="s">
        <v>19</v>
      </c>
      <c r="H9" s="11">
        <v>1.066784</v>
      </c>
      <c r="I9" s="5">
        <v>1.0497717499999999</v>
      </c>
      <c r="J9" s="5">
        <v>1.0497482</v>
      </c>
      <c r="K9" s="1" t="s">
        <v>5</v>
      </c>
      <c r="M9" t="s">
        <v>19</v>
      </c>
      <c r="N9" s="11">
        <v>1.066581</v>
      </c>
      <c r="O9" s="5">
        <v>1.04956725</v>
      </c>
      <c r="P9" s="5">
        <v>1.0495426999999999</v>
      </c>
      <c r="Q9" s="1" t="s">
        <v>5</v>
      </c>
    </row>
    <row r="10" spans="1:17" x14ac:dyDescent="0.3">
      <c r="A10" s="1" t="s">
        <v>16</v>
      </c>
      <c r="B10" s="11">
        <v>1.0515688999999999</v>
      </c>
      <c r="C10" s="5">
        <v>1.0499436</v>
      </c>
      <c r="D10" s="5">
        <v>1.0499436</v>
      </c>
      <c r="E10" s="1" t="s">
        <v>5</v>
      </c>
      <c r="G10" s="1" t="s">
        <v>16</v>
      </c>
      <c r="H10" s="11">
        <v>1.0513733999999999</v>
      </c>
      <c r="I10" s="5">
        <v>1.0497481</v>
      </c>
      <c r="J10" s="5">
        <v>1.0497481</v>
      </c>
      <c r="K10" s="1" t="s">
        <v>5</v>
      </c>
      <c r="M10" s="1" t="s">
        <v>16</v>
      </c>
      <c r="N10" s="11">
        <v>1.0511679</v>
      </c>
      <c r="O10" s="5">
        <v>1.0495426000000001</v>
      </c>
      <c r="P10" s="5">
        <v>1.0495426000000001</v>
      </c>
      <c r="Q10" s="1" t="s">
        <v>5</v>
      </c>
    </row>
    <row r="11" spans="1:17" x14ac:dyDescent="0.3">
      <c r="A11" s="1" t="s">
        <v>14</v>
      </c>
      <c r="B11" s="11">
        <v>1.04994375</v>
      </c>
      <c r="C11" s="5">
        <v>1.0499436</v>
      </c>
      <c r="D11" s="5">
        <v>1.0499436</v>
      </c>
      <c r="E11" s="1" t="s">
        <v>5</v>
      </c>
      <c r="G11" s="1" t="s">
        <v>14</v>
      </c>
      <c r="H11" s="11">
        <v>1.0497482499999999</v>
      </c>
      <c r="I11" s="5">
        <v>1.0497481</v>
      </c>
      <c r="J11" s="5">
        <v>1.0497481</v>
      </c>
      <c r="K11" s="1" t="s">
        <v>5</v>
      </c>
      <c r="M11" s="1" t="s">
        <v>14</v>
      </c>
      <c r="N11" s="11">
        <v>1.0495427500000001</v>
      </c>
      <c r="O11" s="5">
        <v>1.0495426000000001</v>
      </c>
      <c r="P11" s="5">
        <v>1.0495426000000001</v>
      </c>
      <c r="Q11" s="1" t="s">
        <v>5</v>
      </c>
    </row>
    <row r="12" spans="1:17" x14ac:dyDescent="0.3">
      <c r="A12" s="10" t="s">
        <v>20</v>
      </c>
      <c r="B12" s="11">
        <v>1.0501263999999999</v>
      </c>
      <c r="C12" s="11">
        <v>1.0501263999999999</v>
      </c>
      <c r="D12" s="11">
        <v>1.0501263999999999</v>
      </c>
      <c r="E12" s="1" t="s">
        <v>5</v>
      </c>
      <c r="G12" s="10" t="s">
        <v>20</v>
      </c>
      <c r="H12" s="11">
        <v>1.0498989000000001</v>
      </c>
      <c r="I12" s="11">
        <v>1.0498989000000001</v>
      </c>
      <c r="J12" s="11">
        <v>1.0498989000000001</v>
      </c>
      <c r="K12" s="1" t="s">
        <v>5</v>
      </c>
      <c r="M12" s="10" t="s">
        <v>20</v>
      </c>
      <c r="N12" s="11">
        <v>1.0496874</v>
      </c>
      <c r="O12" s="11">
        <v>1.0496874</v>
      </c>
      <c r="P12" s="11">
        <v>1.0496874</v>
      </c>
      <c r="Q12" s="1" t="s">
        <v>5</v>
      </c>
    </row>
    <row r="13" spans="1:17" ht="14.5" thickBot="1" x14ac:dyDescent="0.35">
      <c r="A13" s="4" t="s">
        <v>15</v>
      </c>
      <c r="B13" s="12">
        <v>1.0499437</v>
      </c>
      <c r="C13" s="6">
        <v>1.0499436</v>
      </c>
      <c r="D13" s="6">
        <v>1.0499436</v>
      </c>
      <c r="E13" s="2" t="s">
        <v>5</v>
      </c>
      <c r="G13" s="4" t="s">
        <v>15</v>
      </c>
      <c r="H13" s="12">
        <v>1.0497482</v>
      </c>
      <c r="I13" s="6">
        <v>1.0497481</v>
      </c>
      <c r="J13" s="6">
        <v>1.0497481</v>
      </c>
      <c r="K13" s="2" t="s">
        <v>5</v>
      </c>
      <c r="M13" s="4" t="s">
        <v>15</v>
      </c>
      <c r="N13" s="12">
        <v>1.0495426999999999</v>
      </c>
      <c r="O13" s="6">
        <v>1.0495426000000001</v>
      </c>
      <c r="P13" s="6">
        <v>1.0495426000000001</v>
      </c>
      <c r="Q13" s="2" t="s">
        <v>5</v>
      </c>
    </row>
    <row r="14" spans="1:17" x14ac:dyDescent="0.3">
      <c r="A14" t="s">
        <v>19</v>
      </c>
      <c r="B14" s="11">
        <v>1.06696305</v>
      </c>
      <c r="C14" s="5">
        <v>1.0499502999999999</v>
      </c>
      <c r="D14" s="5">
        <v>1.0499277499999999</v>
      </c>
      <c r="E14" t="s">
        <v>6</v>
      </c>
      <c r="G14" t="s">
        <v>19</v>
      </c>
      <c r="H14" s="11">
        <v>1.0667695500000001</v>
      </c>
      <c r="I14" s="5">
        <v>1.0497573</v>
      </c>
      <c r="J14" s="5">
        <v>1.0497337499999999</v>
      </c>
      <c r="K14" t="s">
        <v>6</v>
      </c>
      <c r="M14" t="s">
        <v>19</v>
      </c>
      <c r="N14" s="11">
        <v>1.0665665500000001</v>
      </c>
      <c r="O14" s="5">
        <v>1.0495528000000001</v>
      </c>
      <c r="P14" s="5">
        <v>1.0495282500000001</v>
      </c>
      <c r="Q14" t="s">
        <v>6</v>
      </c>
    </row>
    <row r="15" spans="1:17" x14ac:dyDescent="0.3">
      <c r="A15" s="1" t="s">
        <v>16</v>
      </c>
      <c r="B15" s="13">
        <v>1.05155295</v>
      </c>
      <c r="C15" s="8">
        <v>1.0499276500000001</v>
      </c>
      <c r="D15" s="8">
        <v>1.0499276500000001</v>
      </c>
      <c r="E15" t="s">
        <v>6</v>
      </c>
      <c r="G15" s="1" t="s">
        <v>16</v>
      </c>
      <c r="H15" s="13">
        <v>1.05135895</v>
      </c>
      <c r="I15" s="8">
        <v>1.0497336500000001</v>
      </c>
      <c r="J15" s="8">
        <v>1.0497336500000001</v>
      </c>
      <c r="K15" t="s">
        <v>6</v>
      </c>
      <c r="M15" s="1" t="s">
        <v>16</v>
      </c>
      <c r="N15" s="13">
        <v>1.0511534499999999</v>
      </c>
      <c r="O15" s="8">
        <v>1.04952815</v>
      </c>
      <c r="P15" s="8">
        <v>1.04952815</v>
      </c>
      <c r="Q15" t="s">
        <v>6</v>
      </c>
    </row>
    <row r="16" spans="1:17" x14ac:dyDescent="0.3">
      <c r="A16" s="1" t="s">
        <v>14</v>
      </c>
      <c r="B16" s="13">
        <v>1.0499278000000001</v>
      </c>
      <c r="C16" s="8">
        <v>1.0499276500000001</v>
      </c>
      <c r="D16" s="8">
        <v>1.0499276500000001</v>
      </c>
      <c r="E16" t="s">
        <v>6</v>
      </c>
      <c r="G16" s="1" t="s">
        <v>14</v>
      </c>
      <c r="H16" s="13">
        <v>1.0497338000000001</v>
      </c>
      <c r="I16" s="8">
        <v>1.0497336500000001</v>
      </c>
      <c r="J16" s="8">
        <v>1.0497336500000001</v>
      </c>
      <c r="K16" t="s">
        <v>6</v>
      </c>
      <c r="M16" s="1" t="s">
        <v>14</v>
      </c>
      <c r="N16" s="13">
        <v>1.0495283</v>
      </c>
      <c r="O16" s="8">
        <v>1.04952815</v>
      </c>
      <c r="P16" s="8">
        <v>1.04952815</v>
      </c>
      <c r="Q16" t="s">
        <v>6</v>
      </c>
    </row>
    <row r="17" spans="1:17" x14ac:dyDescent="0.3">
      <c r="A17" s="10" t="s">
        <v>20</v>
      </c>
      <c r="B17" s="13">
        <v>1.0500268500000001</v>
      </c>
      <c r="C17" s="13">
        <v>1.0500268500000001</v>
      </c>
      <c r="D17" s="13">
        <v>1.0500268500000001</v>
      </c>
      <c r="E17" t="s">
        <v>6</v>
      </c>
      <c r="G17" s="10" t="s">
        <v>20</v>
      </c>
      <c r="H17" s="13">
        <v>1.04982335</v>
      </c>
      <c r="I17" s="13">
        <v>1.04982335</v>
      </c>
      <c r="J17" s="13">
        <v>1.04982335</v>
      </c>
      <c r="K17" t="s">
        <v>6</v>
      </c>
      <c r="M17" s="10" t="s">
        <v>20</v>
      </c>
      <c r="N17" s="13">
        <v>1.04961785</v>
      </c>
      <c r="O17" s="13">
        <v>1.04961785</v>
      </c>
      <c r="P17" s="13">
        <v>1.04961785</v>
      </c>
      <c r="Q17" t="s">
        <v>6</v>
      </c>
    </row>
    <row r="18" spans="1:17" ht="14.5" customHeight="1" thickBot="1" x14ac:dyDescent="0.35">
      <c r="A18" s="4" t="s">
        <v>15</v>
      </c>
      <c r="B18" s="12">
        <v>1.0499277499999999</v>
      </c>
      <c r="C18" s="6">
        <v>1.0499276500000001</v>
      </c>
      <c r="D18" s="6">
        <v>1.0499276500000001</v>
      </c>
      <c r="E18" s="2" t="s">
        <v>6</v>
      </c>
      <c r="G18" s="4" t="s">
        <v>15</v>
      </c>
      <c r="H18" s="12">
        <v>1.0497337499999999</v>
      </c>
      <c r="I18" s="6">
        <v>1.0497336500000001</v>
      </c>
      <c r="J18" s="6">
        <v>1.0497336500000001</v>
      </c>
      <c r="K18" s="2" t="s">
        <v>6</v>
      </c>
      <c r="M18" s="4" t="s">
        <v>15</v>
      </c>
      <c r="N18" s="12">
        <v>1.0495282500000001</v>
      </c>
      <c r="O18" s="6">
        <v>1.04952815</v>
      </c>
      <c r="P18" s="6">
        <v>1.04952815</v>
      </c>
      <c r="Q18" s="2" t="s">
        <v>6</v>
      </c>
    </row>
    <row r="21" spans="1:17" x14ac:dyDescent="0.3">
      <c r="A21" s="21" t="s">
        <v>8</v>
      </c>
      <c r="B21" s="23" t="s">
        <v>10</v>
      </c>
      <c r="C21" s="23" t="s">
        <v>17</v>
      </c>
      <c r="G21" s="21" t="s">
        <v>8</v>
      </c>
      <c r="H21" s="23" t="s">
        <v>11</v>
      </c>
      <c r="I21" s="23" t="s">
        <v>17</v>
      </c>
      <c r="M21" s="21" t="s">
        <v>8</v>
      </c>
      <c r="N21" s="23" t="s">
        <v>12</v>
      </c>
      <c r="O21" s="23" t="s">
        <v>17</v>
      </c>
    </row>
    <row r="22" spans="1:17" x14ac:dyDescent="0.3">
      <c r="A22" s="22"/>
      <c r="B22" s="23"/>
      <c r="C22" s="23"/>
      <c r="G22" s="22"/>
      <c r="H22" s="23"/>
      <c r="I22" s="23"/>
      <c r="M22" s="22"/>
      <c r="N22" s="23"/>
      <c r="O22" s="23"/>
    </row>
    <row r="23" spans="1:17" ht="14.5" thickBot="1" x14ac:dyDescent="0.35">
      <c r="B23" s="4" t="s">
        <v>0</v>
      </c>
      <c r="C23" s="2" t="s">
        <v>1</v>
      </c>
      <c r="D23" s="2" t="s">
        <v>2</v>
      </c>
      <c r="H23" s="4" t="s">
        <v>0</v>
      </c>
      <c r="I23" s="2" t="s">
        <v>1</v>
      </c>
      <c r="J23" s="2" t="s">
        <v>2</v>
      </c>
      <c r="N23" s="4" t="s">
        <v>0</v>
      </c>
      <c r="O23" s="2" t="s">
        <v>1</v>
      </c>
      <c r="P23" s="2" t="s">
        <v>2</v>
      </c>
    </row>
    <row r="24" spans="1:17" x14ac:dyDescent="0.3">
      <c r="A24" t="s">
        <v>19</v>
      </c>
      <c r="B24" s="11">
        <v>1.0421639</v>
      </c>
      <c r="C24" s="5">
        <v>1.02753245</v>
      </c>
      <c r="D24" s="5">
        <v>1.0275118000000001</v>
      </c>
      <c r="E24" s="1" t="s">
        <v>4</v>
      </c>
      <c r="G24" t="s">
        <v>19</v>
      </c>
      <c r="H24" s="11">
        <v>1.0420069000000001</v>
      </c>
      <c r="I24" s="5">
        <v>1.02737795</v>
      </c>
      <c r="J24" s="5">
        <v>1.0273588</v>
      </c>
      <c r="K24" s="1" t="s">
        <v>4</v>
      </c>
      <c r="M24" t="s">
        <v>19</v>
      </c>
      <c r="N24" s="11">
        <v>1.0419088999999999</v>
      </c>
      <c r="O24" s="5">
        <v>1.0272819499999999</v>
      </c>
      <c r="P24" s="5">
        <v>1.0272588</v>
      </c>
      <c r="Q24" s="1" t="s">
        <v>4</v>
      </c>
    </row>
    <row r="25" spans="1:17" x14ac:dyDescent="0.3">
      <c r="A25" s="1" t="s">
        <v>16</v>
      </c>
      <c r="B25" s="11">
        <v>1.0297376499999999</v>
      </c>
      <c r="C25" s="5">
        <v>1.0275116500000001</v>
      </c>
      <c r="D25" s="5">
        <v>1.0275116</v>
      </c>
      <c r="E25" s="1" t="s">
        <v>4</v>
      </c>
      <c r="G25" s="1" t="s">
        <v>16</v>
      </c>
      <c r="H25" s="11">
        <v>1.02958265</v>
      </c>
      <c r="I25" s="5">
        <v>1.02735815</v>
      </c>
      <c r="J25" s="5">
        <v>1.0273581000000001</v>
      </c>
      <c r="K25" s="1" t="s">
        <v>4</v>
      </c>
      <c r="M25" s="1" t="s">
        <v>16</v>
      </c>
      <c r="N25" s="11">
        <v>1.0294826500000001</v>
      </c>
      <c r="O25" s="5">
        <v>1.0272586500000001</v>
      </c>
      <c r="P25" s="5">
        <v>1.0272585999999999</v>
      </c>
      <c r="Q25" s="1" t="s">
        <v>4</v>
      </c>
    </row>
    <row r="26" spans="1:17" x14ac:dyDescent="0.3">
      <c r="A26" s="1" t="s">
        <v>14</v>
      </c>
      <c r="B26" s="11">
        <v>1.0275118000000001</v>
      </c>
      <c r="C26" s="5">
        <v>1.0275116</v>
      </c>
      <c r="D26" s="5">
        <v>1.0275116</v>
      </c>
      <c r="E26" s="1" t="s">
        <v>4</v>
      </c>
      <c r="G26" s="1" t="s">
        <v>14</v>
      </c>
      <c r="H26" s="11">
        <v>1.0273582999999999</v>
      </c>
      <c r="I26" s="5">
        <v>1.0273581000000001</v>
      </c>
      <c r="J26" s="5">
        <v>1.0273581000000001</v>
      </c>
      <c r="K26" s="1" t="s">
        <v>4</v>
      </c>
      <c r="M26" s="1" t="s">
        <v>14</v>
      </c>
      <c r="N26" s="11">
        <v>1.0272588</v>
      </c>
      <c r="O26" s="5">
        <v>1.0272585999999999</v>
      </c>
      <c r="P26" s="5">
        <v>1.0272585999999999</v>
      </c>
      <c r="Q26" s="1" t="s">
        <v>4</v>
      </c>
    </row>
    <row r="27" spans="1:17" ht="14.5" thickBot="1" x14ac:dyDescent="0.35">
      <c r="A27" s="4" t="s">
        <v>20</v>
      </c>
      <c r="B27" s="12">
        <v>1.0276670999999999</v>
      </c>
      <c r="C27" s="6">
        <v>1.0276670999999999</v>
      </c>
      <c r="D27" s="6">
        <v>1.0276670999999999</v>
      </c>
      <c r="E27" s="2" t="s">
        <v>4</v>
      </c>
      <c r="G27" s="4" t="s">
        <v>20</v>
      </c>
      <c r="H27" s="12">
        <v>1.0274671</v>
      </c>
      <c r="I27" s="12">
        <v>1.0274671</v>
      </c>
      <c r="J27" s="12">
        <v>1.0274671</v>
      </c>
      <c r="K27" s="2" t="s">
        <v>4</v>
      </c>
      <c r="M27" s="4" t="s">
        <v>20</v>
      </c>
      <c r="N27" s="12">
        <v>1.0273650999999999</v>
      </c>
      <c r="O27" s="12">
        <v>1.0273650999999999</v>
      </c>
      <c r="P27" s="12">
        <v>1.0273650999999999</v>
      </c>
      <c r="Q27" s="2" t="s">
        <v>4</v>
      </c>
    </row>
    <row r="28" spans="1:17" x14ac:dyDescent="0.3">
      <c r="A28" s="10" t="s">
        <v>19</v>
      </c>
      <c r="B28" s="11">
        <v>1.0420132</v>
      </c>
      <c r="C28" s="5">
        <v>1.02738375</v>
      </c>
      <c r="D28" s="5">
        <v>1.0273635999999999</v>
      </c>
      <c r="E28" s="1" t="s">
        <v>5</v>
      </c>
      <c r="G28" s="10" t="s">
        <v>19</v>
      </c>
      <c r="H28" s="11">
        <v>1.0418917000000001</v>
      </c>
      <c r="I28" s="5">
        <v>1.02726275</v>
      </c>
      <c r="J28" s="5">
        <v>1.0272431</v>
      </c>
      <c r="K28" s="1" t="s">
        <v>5</v>
      </c>
      <c r="M28" s="10" t="s">
        <v>19</v>
      </c>
      <c r="N28" s="11">
        <v>1.0418012000000001</v>
      </c>
      <c r="O28" s="5">
        <v>1.0271742500000001</v>
      </c>
      <c r="P28" s="5">
        <v>1.0271511</v>
      </c>
      <c r="Q28" s="1" t="s">
        <v>5</v>
      </c>
    </row>
    <row r="29" spans="1:17" x14ac:dyDescent="0.3">
      <c r="A29" s="1" t="s">
        <v>16</v>
      </c>
      <c r="B29" s="11">
        <v>1.0295884500000001</v>
      </c>
      <c r="C29" s="5">
        <v>1.02736345</v>
      </c>
      <c r="D29" s="5">
        <v>1.0273634</v>
      </c>
      <c r="E29" s="1" t="s">
        <v>5</v>
      </c>
      <c r="G29" s="1" t="s">
        <v>16</v>
      </c>
      <c r="H29" s="11">
        <v>1.0294674500000001</v>
      </c>
      <c r="I29" s="5">
        <v>1.02724295</v>
      </c>
      <c r="J29" s="5">
        <v>1.0272429000000001</v>
      </c>
      <c r="K29" s="1" t="s">
        <v>5</v>
      </c>
      <c r="M29" s="1" t="s">
        <v>16</v>
      </c>
      <c r="N29" s="11">
        <v>1.02937495</v>
      </c>
      <c r="O29" s="5">
        <v>1.02715095</v>
      </c>
      <c r="P29" s="5">
        <v>1.0271509000000001</v>
      </c>
      <c r="Q29" s="1" t="s">
        <v>5</v>
      </c>
    </row>
    <row r="30" spans="1:17" x14ac:dyDescent="0.3">
      <c r="A30" s="1" t="s">
        <v>14</v>
      </c>
      <c r="B30" s="11">
        <v>1.0273635999999999</v>
      </c>
      <c r="C30" s="5">
        <v>1.0273634</v>
      </c>
      <c r="D30" s="5">
        <v>1.0273634</v>
      </c>
      <c r="E30" s="1" t="s">
        <v>5</v>
      </c>
      <c r="G30" s="1" t="s">
        <v>14</v>
      </c>
      <c r="H30" s="11">
        <v>1.0272431</v>
      </c>
      <c r="I30" s="5">
        <v>1.0272429000000001</v>
      </c>
      <c r="J30" s="5">
        <v>1.0272429000000001</v>
      </c>
      <c r="K30" s="1" t="s">
        <v>5</v>
      </c>
      <c r="M30" s="1" t="s">
        <v>14</v>
      </c>
      <c r="N30" s="11">
        <v>1.0271511</v>
      </c>
      <c r="O30" s="5">
        <v>1.0271509000000001</v>
      </c>
      <c r="P30" s="5">
        <v>1.0271509000000001</v>
      </c>
      <c r="Q30" s="1" t="s">
        <v>5</v>
      </c>
    </row>
    <row r="31" spans="1:17" ht="14.5" thickBot="1" x14ac:dyDescent="0.35">
      <c r="A31" s="4" t="s">
        <v>20</v>
      </c>
      <c r="B31" s="12">
        <v>1.0275782</v>
      </c>
      <c r="C31" s="12">
        <v>1.0275782</v>
      </c>
      <c r="D31" s="12">
        <v>1.0275782</v>
      </c>
      <c r="E31" s="2" t="s">
        <v>5</v>
      </c>
      <c r="G31" s="4" t="s">
        <v>20</v>
      </c>
      <c r="H31" s="12">
        <v>1.0274011999999999</v>
      </c>
      <c r="I31" s="12">
        <v>1.0274011999999999</v>
      </c>
      <c r="J31" s="12">
        <v>1.0274011999999999</v>
      </c>
      <c r="K31" s="2" t="s">
        <v>5</v>
      </c>
      <c r="M31" s="4" t="s">
        <v>20</v>
      </c>
      <c r="N31" s="12">
        <v>1.0272996999999999</v>
      </c>
      <c r="O31" s="12">
        <v>1.0272996999999999</v>
      </c>
      <c r="P31" s="12">
        <v>1.0272996999999999</v>
      </c>
      <c r="Q31" s="2" t="s">
        <v>5</v>
      </c>
    </row>
    <row r="32" spans="1:17" x14ac:dyDescent="0.3">
      <c r="A32" s="10" t="s">
        <v>19</v>
      </c>
      <c r="B32" s="11">
        <v>1.0419882499999999</v>
      </c>
      <c r="C32" s="5">
        <v>1.0273593000000001</v>
      </c>
      <c r="D32" s="5">
        <v>1.02733965</v>
      </c>
      <c r="E32" t="s">
        <v>6</v>
      </c>
      <c r="G32" s="10" t="s">
        <v>19</v>
      </c>
      <c r="H32" s="11">
        <v>1.0418682500000001</v>
      </c>
      <c r="I32" s="5">
        <v>1.0272393</v>
      </c>
      <c r="J32" s="5">
        <v>1.0272196499999999</v>
      </c>
      <c r="K32" s="1" t="s">
        <v>6</v>
      </c>
      <c r="M32" s="10" t="s">
        <v>19</v>
      </c>
      <c r="N32" s="11">
        <v>1.04177725</v>
      </c>
      <c r="O32" s="5">
        <v>1.0271503</v>
      </c>
      <c r="P32" s="5">
        <v>1.0271271500000001</v>
      </c>
      <c r="Q32" s="1" t="s">
        <v>6</v>
      </c>
    </row>
    <row r="33" spans="1:17" x14ac:dyDescent="0.3">
      <c r="A33" s="1" t="s">
        <v>16</v>
      </c>
      <c r="B33" s="13">
        <v>1.0295645</v>
      </c>
      <c r="C33" s="8">
        <v>1.0273395000000001</v>
      </c>
      <c r="D33" s="8">
        <v>1.0273394499999999</v>
      </c>
      <c r="E33" t="s">
        <v>6</v>
      </c>
      <c r="G33" s="1" t="s">
        <v>16</v>
      </c>
      <c r="H33" s="11">
        <v>1.029444</v>
      </c>
      <c r="I33" s="5">
        <v>1.0272195</v>
      </c>
      <c r="J33" s="5">
        <v>1.02721945</v>
      </c>
      <c r="K33" s="1" t="s">
        <v>6</v>
      </c>
      <c r="M33" s="1" t="s">
        <v>16</v>
      </c>
      <c r="N33" s="11">
        <v>1.0293509999999999</v>
      </c>
      <c r="O33" s="5">
        <v>1.0271269999999999</v>
      </c>
      <c r="P33" s="5">
        <v>1.02712695</v>
      </c>
      <c r="Q33" s="1" t="s">
        <v>6</v>
      </c>
    </row>
    <row r="34" spans="1:17" x14ac:dyDescent="0.3">
      <c r="A34" s="1" t="s">
        <v>14</v>
      </c>
      <c r="B34" s="11">
        <v>1.02733965</v>
      </c>
      <c r="C34" s="5">
        <v>1.0273394499999999</v>
      </c>
      <c r="D34" s="5">
        <v>1.0273394499999999</v>
      </c>
      <c r="E34" s="1" t="s">
        <v>6</v>
      </c>
      <c r="G34" s="1" t="s">
        <v>14</v>
      </c>
      <c r="H34" s="11">
        <v>1.0272196499999999</v>
      </c>
      <c r="I34" s="5">
        <v>1.02721945</v>
      </c>
      <c r="J34" s="5">
        <v>1.02721945</v>
      </c>
      <c r="K34" s="1" t="s">
        <v>6</v>
      </c>
      <c r="M34" s="1" t="s">
        <v>14</v>
      </c>
      <c r="N34" s="11">
        <v>1.0271271500000001</v>
      </c>
      <c r="O34" s="5">
        <v>1.02712695</v>
      </c>
      <c r="P34" s="5">
        <v>1.02712695</v>
      </c>
      <c r="Q34" s="1" t="s">
        <v>6</v>
      </c>
    </row>
    <row r="35" spans="1:17" ht="14.5" thickBot="1" x14ac:dyDescent="0.35">
      <c r="A35" s="4" t="s">
        <v>20</v>
      </c>
      <c r="B35" s="12">
        <v>1.0275005500000001</v>
      </c>
      <c r="C35" s="12">
        <v>1.0275005500000001</v>
      </c>
      <c r="D35" s="12">
        <v>1.0275005500000001</v>
      </c>
      <c r="E35" s="2" t="s">
        <v>6</v>
      </c>
      <c r="G35" s="4" t="s">
        <v>20</v>
      </c>
      <c r="H35" s="12">
        <v>1.0273580499999999</v>
      </c>
      <c r="I35" s="12">
        <v>1.0273580499999999</v>
      </c>
      <c r="J35" s="12">
        <v>1.0273580499999999</v>
      </c>
      <c r="K35" s="2" t="s">
        <v>6</v>
      </c>
      <c r="M35" s="4" t="s">
        <v>20</v>
      </c>
      <c r="N35" s="6">
        <v>1.0272625500000001</v>
      </c>
      <c r="O35" s="6">
        <v>1.0272625500000001</v>
      </c>
      <c r="P35" s="6">
        <v>1.0272625500000001</v>
      </c>
      <c r="Q35" s="2" t="s">
        <v>6</v>
      </c>
    </row>
    <row r="39" spans="1:17" x14ac:dyDescent="0.3">
      <c r="A39" s="21" t="s">
        <v>7</v>
      </c>
      <c r="B39" s="23" t="s">
        <v>10</v>
      </c>
      <c r="C39" s="23" t="s">
        <v>18</v>
      </c>
      <c r="G39" s="21" t="s">
        <v>7</v>
      </c>
      <c r="H39" s="23" t="s">
        <v>11</v>
      </c>
      <c r="I39" s="23" t="s">
        <v>18</v>
      </c>
      <c r="M39" s="21" t="s">
        <v>7</v>
      </c>
      <c r="N39" s="23" t="s">
        <v>12</v>
      </c>
      <c r="O39" s="23" t="s">
        <v>18</v>
      </c>
    </row>
    <row r="40" spans="1:17" x14ac:dyDescent="0.3">
      <c r="A40" s="22"/>
      <c r="B40" s="23"/>
      <c r="C40" s="23"/>
      <c r="G40" s="22"/>
      <c r="H40" s="23"/>
      <c r="I40" s="23"/>
      <c r="M40" s="22"/>
      <c r="N40" s="23"/>
      <c r="O40" s="23"/>
    </row>
    <row r="41" spans="1:17" ht="14.5" thickBot="1" x14ac:dyDescent="0.35">
      <c r="B41" s="4" t="s">
        <v>0</v>
      </c>
      <c r="C41" s="2" t="s">
        <v>1</v>
      </c>
      <c r="D41" s="2" t="s">
        <v>2</v>
      </c>
      <c r="H41" s="4" t="s">
        <v>0</v>
      </c>
      <c r="I41" s="2" t="s">
        <v>1</v>
      </c>
      <c r="J41" s="2" t="s">
        <v>2</v>
      </c>
      <c r="N41" s="4" t="s">
        <v>0</v>
      </c>
      <c r="O41" s="2" t="s">
        <v>1</v>
      </c>
      <c r="P41" s="2" t="s">
        <v>2</v>
      </c>
    </row>
    <row r="42" spans="1:17" x14ac:dyDescent="0.3">
      <c r="A42" s="1" t="s">
        <v>16</v>
      </c>
      <c r="B42" s="11">
        <v>1.0478225999999999</v>
      </c>
      <c r="C42" s="5">
        <v>1.0461967999999999</v>
      </c>
      <c r="D42" s="5">
        <v>1.0461967999999999</v>
      </c>
      <c r="E42" s="16" t="s">
        <v>4</v>
      </c>
      <c r="F42" s="17"/>
      <c r="G42" s="16" t="s">
        <v>16</v>
      </c>
      <c r="H42" s="11">
        <v>1.0477916</v>
      </c>
      <c r="I42" s="5">
        <v>1.0461658</v>
      </c>
      <c r="J42" s="5">
        <v>1.0461658</v>
      </c>
      <c r="K42" s="1" t="s">
        <v>4</v>
      </c>
      <c r="M42" s="1" t="s">
        <v>16</v>
      </c>
      <c r="N42" s="11">
        <v>1.0478160999999999</v>
      </c>
      <c r="O42" s="5">
        <v>1.0461902999999999</v>
      </c>
      <c r="P42" s="5">
        <v>1.0461902999999999</v>
      </c>
      <c r="Q42" s="1" t="s">
        <v>4</v>
      </c>
    </row>
    <row r="43" spans="1:17" x14ac:dyDescent="0.3">
      <c r="A43" s="1" t="s">
        <v>14</v>
      </c>
      <c r="B43" s="11">
        <v>1.0461969499999999</v>
      </c>
      <c r="C43" s="5">
        <v>1.0461967999999999</v>
      </c>
      <c r="D43" s="5">
        <v>1.0461967999999999</v>
      </c>
      <c r="E43" s="16" t="s">
        <v>4</v>
      </c>
      <c r="F43" s="17"/>
      <c r="G43" s="16" t="s">
        <v>14</v>
      </c>
      <c r="H43" s="11">
        <v>1.04616595</v>
      </c>
      <c r="I43" s="5">
        <v>1.0461658</v>
      </c>
      <c r="J43" s="5">
        <v>1.0461658</v>
      </c>
      <c r="K43" s="1" t="s">
        <v>4</v>
      </c>
      <c r="M43" s="1" t="s">
        <v>14</v>
      </c>
      <c r="N43" s="11">
        <v>1.0461904500000001</v>
      </c>
      <c r="O43" s="5">
        <v>1.0461902999999999</v>
      </c>
      <c r="P43" s="5">
        <v>1.0461902999999999</v>
      </c>
      <c r="Q43" s="1" t="s">
        <v>4</v>
      </c>
    </row>
    <row r="44" spans="1:17" x14ac:dyDescent="0.3">
      <c r="A44" s="1" t="s">
        <v>20</v>
      </c>
      <c r="B44" s="11">
        <v>1.0463217</v>
      </c>
      <c r="C44" s="5">
        <v>1.0463217</v>
      </c>
      <c r="D44" s="5">
        <v>1.0463217</v>
      </c>
      <c r="E44" s="16" t="s">
        <v>4</v>
      </c>
      <c r="F44" s="17"/>
      <c r="G44" s="1" t="s">
        <v>20</v>
      </c>
      <c r="H44" s="11">
        <v>1.0462947</v>
      </c>
      <c r="I44" s="11">
        <v>1.0462947</v>
      </c>
      <c r="J44" s="11">
        <v>1.0462947</v>
      </c>
      <c r="K44" s="1" t="s">
        <v>4</v>
      </c>
      <c r="M44" s="1" t="s">
        <v>20</v>
      </c>
      <c r="N44" s="11">
        <v>1.0463197</v>
      </c>
      <c r="O44" s="5">
        <v>1.0463197</v>
      </c>
      <c r="P44" s="5">
        <v>1.0463197</v>
      </c>
      <c r="Q44" s="1" t="s">
        <v>4</v>
      </c>
    </row>
    <row r="45" spans="1:17" ht="14.5" thickBot="1" x14ac:dyDescent="0.35">
      <c r="A45" s="4" t="s">
        <v>15</v>
      </c>
      <c r="B45" s="12">
        <v>1.0461969</v>
      </c>
      <c r="C45" s="6">
        <v>1.0461967999999999</v>
      </c>
      <c r="D45" s="6">
        <v>1.0461967999999999</v>
      </c>
      <c r="E45" s="19" t="s">
        <v>4</v>
      </c>
      <c r="F45" s="17"/>
      <c r="G45" s="18" t="s">
        <v>15</v>
      </c>
      <c r="H45" s="12">
        <v>1.0461659000000001</v>
      </c>
      <c r="I45" s="6">
        <v>1.0461658</v>
      </c>
      <c r="J45" s="6">
        <v>1.0461658</v>
      </c>
      <c r="K45" s="2" t="s">
        <v>4</v>
      </c>
      <c r="M45" s="4" t="s">
        <v>15</v>
      </c>
      <c r="N45" s="12">
        <v>1.0461904</v>
      </c>
      <c r="O45" s="6">
        <v>1.0461902999999999</v>
      </c>
      <c r="P45" s="6">
        <v>1.0461902999999999</v>
      </c>
      <c r="Q45" s="2" t="s">
        <v>4</v>
      </c>
    </row>
    <row r="46" spans="1:17" x14ac:dyDescent="0.3">
      <c r="A46" s="1" t="s">
        <v>16</v>
      </c>
      <c r="B46" s="11">
        <v>1.0477654000000001</v>
      </c>
      <c r="C46" s="5">
        <v>1.0461396000000001</v>
      </c>
      <c r="D46" s="5">
        <v>1.0461396000000001</v>
      </c>
      <c r="E46" s="16" t="s">
        <v>5</v>
      </c>
      <c r="F46" s="17"/>
      <c r="G46" s="16" t="s">
        <v>16</v>
      </c>
      <c r="H46" s="11">
        <v>1.0477533999999999</v>
      </c>
      <c r="I46" s="5">
        <v>1.0461275999999999</v>
      </c>
      <c r="J46" s="5">
        <v>1.0461275999999999</v>
      </c>
      <c r="K46" s="1" t="s">
        <v>5</v>
      </c>
      <c r="M46" s="1" t="s">
        <v>16</v>
      </c>
      <c r="N46" s="11">
        <v>1.0477789</v>
      </c>
      <c r="O46" s="5">
        <v>1.0461530999999999</v>
      </c>
      <c r="P46" s="5">
        <v>1.0461530999999999</v>
      </c>
      <c r="Q46" s="1" t="s">
        <v>5</v>
      </c>
    </row>
    <row r="47" spans="1:17" x14ac:dyDescent="0.3">
      <c r="A47" s="1" t="s">
        <v>14</v>
      </c>
      <c r="B47" s="11">
        <v>1.04613975</v>
      </c>
      <c r="C47" s="5">
        <v>1.0461396000000001</v>
      </c>
      <c r="D47" s="5">
        <v>1.0461396000000001</v>
      </c>
      <c r="E47" s="16" t="s">
        <v>5</v>
      </c>
      <c r="F47" s="17"/>
      <c r="G47" s="16" t="s">
        <v>14</v>
      </c>
      <c r="H47" s="11">
        <v>1.0461277499999999</v>
      </c>
      <c r="I47" s="5">
        <v>1.0461275999999999</v>
      </c>
      <c r="J47" s="5">
        <v>1.0461275999999999</v>
      </c>
      <c r="K47" s="1" t="s">
        <v>5</v>
      </c>
      <c r="M47" s="1" t="s">
        <v>14</v>
      </c>
      <c r="N47" s="11">
        <v>1.0461532499999999</v>
      </c>
      <c r="O47" s="5">
        <v>1.0461530999999999</v>
      </c>
      <c r="P47" s="5">
        <v>1.0461530999999999</v>
      </c>
      <c r="Q47" s="1" t="s">
        <v>5</v>
      </c>
    </row>
    <row r="48" spans="1:17" x14ac:dyDescent="0.3">
      <c r="A48" s="1" t="s">
        <v>20</v>
      </c>
      <c r="B48" s="11">
        <v>1.0462423999999999</v>
      </c>
      <c r="C48" s="5">
        <v>1.0462423999999999</v>
      </c>
      <c r="D48" s="5">
        <v>1.0462423999999999</v>
      </c>
      <c r="E48" s="16" t="s">
        <v>5</v>
      </c>
      <c r="F48" s="17"/>
      <c r="G48" s="1" t="s">
        <v>20</v>
      </c>
      <c r="H48" s="11">
        <v>1.0462153999999999</v>
      </c>
      <c r="I48" s="5">
        <v>1.0462153999999999</v>
      </c>
      <c r="J48" s="5">
        <v>1.0462153999999999</v>
      </c>
      <c r="K48" s="1" t="s">
        <v>5</v>
      </c>
      <c r="M48" s="1" t="s">
        <v>20</v>
      </c>
      <c r="N48" s="11">
        <v>1.0462399</v>
      </c>
      <c r="O48" s="5">
        <v>1.0462399</v>
      </c>
      <c r="P48" s="5">
        <v>1.0462399</v>
      </c>
      <c r="Q48" s="1" t="s">
        <v>5</v>
      </c>
    </row>
    <row r="49" spans="1:17" ht="14.5" thickBot="1" x14ac:dyDescent="0.35">
      <c r="A49" s="4" t="s">
        <v>15</v>
      </c>
      <c r="B49" s="12">
        <v>1.0461396999999999</v>
      </c>
      <c r="C49" s="6">
        <v>1.0461396000000001</v>
      </c>
      <c r="D49" s="6">
        <v>1.0461396000000001</v>
      </c>
      <c r="E49" s="19" t="s">
        <v>5</v>
      </c>
      <c r="F49" s="17"/>
      <c r="G49" s="18" t="s">
        <v>15</v>
      </c>
      <c r="H49" s="12">
        <v>1.0461277</v>
      </c>
      <c r="I49" s="6">
        <v>1.0461275999999999</v>
      </c>
      <c r="J49" s="6">
        <v>1.0461275999999999</v>
      </c>
      <c r="K49" s="2" t="s">
        <v>5</v>
      </c>
      <c r="M49" s="4" t="s">
        <v>15</v>
      </c>
      <c r="N49" s="12">
        <v>1.0461532</v>
      </c>
      <c r="O49" s="6">
        <v>1.0461530999999999</v>
      </c>
      <c r="P49" s="6">
        <v>1.0461530999999999</v>
      </c>
      <c r="Q49" s="2" t="s">
        <v>5</v>
      </c>
    </row>
    <row r="50" spans="1:17" x14ac:dyDescent="0.3">
      <c r="A50" s="1" t="s">
        <v>16</v>
      </c>
      <c r="B50" s="13">
        <v>1.0477534500000001</v>
      </c>
      <c r="C50" s="13">
        <v>1.0461276500000001</v>
      </c>
      <c r="D50" s="8">
        <v>1.0461276500000001</v>
      </c>
      <c r="E50" s="17" t="s">
        <v>6</v>
      </c>
      <c r="F50" s="17"/>
      <c r="G50" s="16" t="s">
        <v>16</v>
      </c>
      <c r="H50" s="13">
        <v>1.04774345</v>
      </c>
      <c r="I50" s="8">
        <v>1.04611765</v>
      </c>
      <c r="J50" s="8">
        <v>1.04611765</v>
      </c>
      <c r="K50" t="s">
        <v>6</v>
      </c>
      <c r="M50" s="1" t="s">
        <v>16</v>
      </c>
      <c r="N50" s="13">
        <v>1.04776895</v>
      </c>
      <c r="O50" s="8">
        <v>1.04614315</v>
      </c>
      <c r="P50" s="8">
        <v>1.04614315</v>
      </c>
      <c r="Q50" t="s">
        <v>6</v>
      </c>
    </row>
    <row r="51" spans="1:17" x14ac:dyDescent="0.3">
      <c r="A51" s="1" t="s">
        <v>14</v>
      </c>
      <c r="B51" s="13">
        <v>1.0461278000000001</v>
      </c>
      <c r="C51" s="8">
        <v>1.0461276500000001</v>
      </c>
      <c r="D51" s="8">
        <v>1.0461276500000001</v>
      </c>
      <c r="E51" s="17" t="s">
        <v>6</v>
      </c>
      <c r="F51" s="17"/>
      <c r="G51" s="16" t="s">
        <v>14</v>
      </c>
      <c r="H51" s="13">
        <v>1.0461178</v>
      </c>
      <c r="I51" s="8">
        <v>1.04611765</v>
      </c>
      <c r="J51" s="8">
        <v>1.04611765</v>
      </c>
      <c r="K51" t="s">
        <v>6</v>
      </c>
      <c r="M51" s="1" t="s">
        <v>14</v>
      </c>
      <c r="N51" s="13">
        <v>1.0461433</v>
      </c>
      <c r="O51" s="8">
        <v>1.04614315</v>
      </c>
      <c r="P51" s="8">
        <v>1.04614315</v>
      </c>
      <c r="Q51" t="s">
        <v>6</v>
      </c>
    </row>
    <row r="52" spans="1:17" x14ac:dyDescent="0.3">
      <c r="A52" s="1" t="s">
        <v>20</v>
      </c>
      <c r="B52" s="13">
        <v>1.0462063500000001</v>
      </c>
      <c r="C52" s="13">
        <v>1.0462063500000001</v>
      </c>
      <c r="D52" s="13">
        <v>1.0462063500000001</v>
      </c>
      <c r="E52" s="17" t="s">
        <v>6</v>
      </c>
      <c r="F52" s="17"/>
      <c r="G52" s="1" t="s">
        <v>20</v>
      </c>
      <c r="H52" s="13">
        <v>1.04619135</v>
      </c>
      <c r="I52" s="13">
        <v>1.04619135</v>
      </c>
      <c r="J52" s="13">
        <v>1.04619135</v>
      </c>
      <c r="K52" t="s">
        <v>6</v>
      </c>
      <c r="M52" s="1" t="s">
        <v>20</v>
      </c>
      <c r="N52" s="13">
        <v>1.0462163499999999</v>
      </c>
      <c r="O52" s="8">
        <v>1.0462163499999999</v>
      </c>
      <c r="P52" s="8">
        <v>1.0462163499999999</v>
      </c>
      <c r="Q52" t="s">
        <v>6</v>
      </c>
    </row>
    <row r="53" spans="1:17" ht="14.5" thickBot="1" x14ac:dyDescent="0.35">
      <c r="A53" s="4" t="s">
        <v>15</v>
      </c>
      <c r="B53" s="12">
        <v>1.0461277499999999</v>
      </c>
      <c r="C53" s="6">
        <v>1.0461276500000001</v>
      </c>
      <c r="D53" s="6">
        <v>1.0461276500000001</v>
      </c>
      <c r="E53" s="19" t="s">
        <v>6</v>
      </c>
      <c r="F53" s="17"/>
      <c r="G53" s="18" t="s">
        <v>15</v>
      </c>
      <c r="H53" s="12">
        <v>1.0461177500000001</v>
      </c>
      <c r="I53" s="6">
        <v>1.04611765</v>
      </c>
      <c r="J53" s="6">
        <v>1.04611765</v>
      </c>
      <c r="K53" s="2" t="s">
        <v>6</v>
      </c>
      <c r="M53" s="4" t="s">
        <v>15</v>
      </c>
      <c r="N53" s="12">
        <v>1.0461432500000001</v>
      </c>
      <c r="O53" s="6">
        <v>1.04614315</v>
      </c>
      <c r="P53" s="6">
        <v>1.04614315</v>
      </c>
      <c r="Q53" s="2" t="s">
        <v>6</v>
      </c>
    </row>
    <row r="54" spans="1:17" ht="14" customHeight="1" x14ac:dyDescent="0.3">
      <c r="B54" s="20"/>
      <c r="C54" s="17"/>
      <c r="D54" s="17"/>
      <c r="E54" s="17"/>
      <c r="F54" s="17"/>
      <c r="G54" s="17"/>
      <c r="H54" s="20"/>
      <c r="I54" s="17"/>
      <c r="J54" s="17"/>
      <c r="N54" s="9"/>
    </row>
    <row r="55" spans="1:17" x14ac:dyDescent="0.3">
      <c r="B55" s="20"/>
      <c r="C55" s="17"/>
      <c r="D55" s="17"/>
      <c r="E55" s="17"/>
      <c r="F55" s="17"/>
      <c r="G55" s="17"/>
      <c r="H55" s="20"/>
      <c r="I55" s="17"/>
      <c r="J55" s="17"/>
      <c r="N55" s="9"/>
    </row>
    <row r="56" spans="1:17" x14ac:dyDescent="0.3">
      <c r="A56" s="21" t="s">
        <v>8</v>
      </c>
      <c r="B56" s="23" t="s">
        <v>10</v>
      </c>
      <c r="C56" s="23" t="s">
        <v>18</v>
      </c>
      <c r="D56" s="17"/>
      <c r="E56" s="17"/>
      <c r="F56" s="17"/>
      <c r="G56" s="24" t="s">
        <v>8</v>
      </c>
      <c r="H56" s="23" t="s">
        <v>11</v>
      </c>
      <c r="I56" s="23" t="s">
        <v>18</v>
      </c>
      <c r="J56" s="17"/>
      <c r="M56" s="21" t="s">
        <v>8</v>
      </c>
      <c r="N56" s="23" t="s">
        <v>12</v>
      </c>
      <c r="O56" s="23" t="s">
        <v>18</v>
      </c>
    </row>
    <row r="57" spans="1:17" x14ac:dyDescent="0.3">
      <c r="A57" s="22"/>
      <c r="B57" s="23"/>
      <c r="C57" s="23"/>
      <c r="D57" s="17"/>
      <c r="E57" s="17"/>
      <c r="F57" s="17"/>
      <c r="G57" s="25"/>
      <c r="H57" s="23"/>
      <c r="I57" s="23"/>
      <c r="J57" s="17"/>
      <c r="M57" s="22"/>
      <c r="N57" s="23"/>
      <c r="O57" s="23"/>
    </row>
    <row r="58" spans="1:17" ht="14.5" thickBot="1" x14ac:dyDescent="0.35">
      <c r="B58" s="9" t="s">
        <v>1</v>
      </c>
      <c r="C58" t="s">
        <v>2</v>
      </c>
      <c r="D58" t="s">
        <v>3</v>
      </c>
      <c r="E58" s="17"/>
      <c r="F58" s="17"/>
      <c r="G58" s="17"/>
      <c r="H58" s="9" t="s">
        <v>1</v>
      </c>
      <c r="I58" t="s">
        <v>2</v>
      </c>
      <c r="J58" t="s">
        <v>3</v>
      </c>
      <c r="N58" s="9" t="s">
        <v>1</v>
      </c>
      <c r="O58" t="s">
        <v>2</v>
      </c>
      <c r="P58" t="s">
        <v>3</v>
      </c>
    </row>
    <row r="59" spans="1:17" x14ac:dyDescent="0.3">
      <c r="A59" s="1" t="s">
        <v>16</v>
      </c>
      <c r="B59" s="7">
        <v>1.0236581499999999</v>
      </c>
      <c r="C59" s="7">
        <v>1.0236581</v>
      </c>
      <c r="D59" s="7">
        <v>1.0236581</v>
      </c>
      <c r="E59" s="16" t="s">
        <v>4</v>
      </c>
      <c r="F59" s="17"/>
      <c r="G59" s="16" t="s">
        <v>16</v>
      </c>
      <c r="H59" s="7">
        <v>1.0236116500000001</v>
      </c>
      <c r="I59" s="7">
        <v>1.0236116</v>
      </c>
      <c r="J59" s="7">
        <v>1.0236116</v>
      </c>
      <c r="K59" s="1" t="s">
        <v>4</v>
      </c>
      <c r="M59" s="1" t="s">
        <v>16</v>
      </c>
      <c r="N59" s="7">
        <v>1.0236626499999999</v>
      </c>
      <c r="O59" s="7">
        <v>1.0236626</v>
      </c>
      <c r="P59" s="7">
        <v>1.0236626</v>
      </c>
      <c r="Q59" s="1" t="s">
        <v>4</v>
      </c>
    </row>
    <row r="60" spans="1:17" x14ac:dyDescent="0.3">
      <c r="A60" s="1" t="s">
        <v>14</v>
      </c>
      <c r="B60" s="11">
        <v>1.0236581</v>
      </c>
      <c r="C60" s="5">
        <v>1.0236581</v>
      </c>
      <c r="D60" s="5">
        <v>1.0236581</v>
      </c>
      <c r="E60" s="16" t="s">
        <v>4</v>
      </c>
      <c r="F60" s="17"/>
      <c r="G60" s="16" t="s">
        <v>14</v>
      </c>
      <c r="H60" s="11">
        <v>1.0236116</v>
      </c>
      <c r="I60" s="5">
        <v>1.0236116</v>
      </c>
      <c r="J60" s="5">
        <v>1.0236116</v>
      </c>
      <c r="K60" s="1" t="s">
        <v>4</v>
      </c>
      <c r="M60" s="1" t="s">
        <v>14</v>
      </c>
      <c r="N60" s="11">
        <v>1.0236626</v>
      </c>
      <c r="O60" s="5">
        <v>1.0236626</v>
      </c>
      <c r="P60" s="5">
        <v>1.0236626</v>
      </c>
      <c r="Q60" s="1" t="s">
        <v>4</v>
      </c>
    </row>
    <row r="61" spans="1:17" x14ac:dyDescent="0.3">
      <c r="A61" s="1" t="s">
        <v>20</v>
      </c>
      <c r="B61" s="11">
        <v>1.0237955999999999</v>
      </c>
      <c r="C61" s="5">
        <v>1.0237955999999999</v>
      </c>
      <c r="D61" s="5">
        <v>1.0237955999999999</v>
      </c>
      <c r="E61" s="16" t="s">
        <v>4</v>
      </c>
      <c r="F61" s="17"/>
      <c r="G61" s="1" t="s">
        <v>20</v>
      </c>
      <c r="H61" s="11">
        <v>1.0237541000000001</v>
      </c>
      <c r="I61" s="5">
        <v>1.0237541000000001</v>
      </c>
      <c r="J61" s="5">
        <v>1.0237541000000001</v>
      </c>
      <c r="K61" s="1" t="s">
        <v>4</v>
      </c>
      <c r="M61" s="1" t="s">
        <v>20</v>
      </c>
      <c r="N61" s="11">
        <v>1.0238056</v>
      </c>
      <c r="O61" s="11">
        <v>1.0238056</v>
      </c>
      <c r="P61" s="11">
        <v>1.0238056</v>
      </c>
      <c r="Q61" s="1" t="s">
        <v>4</v>
      </c>
    </row>
    <row r="62" spans="1:17" ht="14.5" thickBot="1" x14ac:dyDescent="0.35">
      <c r="A62" s="4" t="s">
        <v>15</v>
      </c>
      <c r="B62" s="12">
        <v>1.0236581</v>
      </c>
      <c r="C62" s="6">
        <v>1.0236581</v>
      </c>
      <c r="D62" s="6">
        <v>1.0236581</v>
      </c>
      <c r="E62" s="19" t="s">
        <v>4</v>
      </c>
      <c r="F62" s="17"/>
      <c r="G62" s="18" t="s">
        <v>15</v>
      </c>
      <c r="H62" s="12">
        <v>1.0236116</v>
      </c>
      <c r="I62" s="6">
        <v>1.0236116</v>
      </c>
      <c r="J62" s="6">
        <v>1.0236116</v>
      </c>
      <c r="K62" s="2" t="s">
        <v>4</v>
      </c>
      <c r="M62" s="4" t="s">
        <v>15</v>
      </c>
      <c r="N62" s="12">
        <v>1.0236626</v>
      </c>
      <c r="O62" s="6">
        <v>1.0236626</v>
      </c>
      <c r="P62" s="6">
        <v>1.0236626</v>
      </c>
      <c r="Q62" s="2" t="s">
        <v>4</v>
      </c>
    </row>
    <row r="63" spans="1:17" x14ac:dyDescent="0.3">
      <c r="A63" s="1" t="s">
        <v>16</v>
      </c>
      <c r="B63" s="7">
        <v>1.02359545</v>
      </c>
      <c r="C63" s="7">
        <v>1.0235954</v>
      </c>
      <c r="D63" s="7">
        <v>1.0235954</v>
      </c>
      <c r="E63" s="16" t="s">
        <v>5</v>
      </c>
      <c r="F63" s="17"/>
      <c r="G63" s="16" t="s">
        <v>16</v>
      </c>
      <c r="H63" s="7">
        <v>1.0235649499999999</v>
      </c>
      <c r="I63" s="7">
        <v>1.0235649</v>
      </c>
      <c r="J63" s="7">
        <v>1.0235649</v>
      </c>
      <c r="K63" s="1" t="s">
        <v>5</v>
      </c>
      <c r="M63" s="1" t="s">
        <v>16</v>
      </c>
      <c r="N63" s="7">
        <v>1.02361495</v>
      </c>
      <c r="O63" s="7">
        <v>1.0236149000000001</v>
      </c>
      <c r="P63" s="7">
        <v>1.0236149000000001</v>
      </c>
      <c r="Q63" s="1" t="s">
        <v>5</v>
      </c>
    </row>
    <row r="64" spans="1:17" x14ac:dyDescent="0.3">
      <c r="A64" s="1" t="s">
        <v>14</v>
      </c>
      <c r="B64" s="11">
        <v>1.0235954</v>
      </c>
      <c r="C64" s="5">
        <v>1.0235954</v>
      </c>
      <c r="D64" s="5">
        <v>1.0235954</v>
      </c>
      <c r="E64" s="16" t="s">
        <v>5</v>
      </c>
      <c r="F64" s="17"/>
      <c r="G64" s="16" t="s">
        <v>14</v>
      </c>
      <c r="H64" s="11">
        <v>1.0235649</v>
      </c>
      <c r="I64" s="5">
        <v>1.0235649</v>
      </c>
      <c r="J64" s="5">
        <v>1.0235649</v>
      </c>
      <c r="K64" s="1" t="s">
        <v>5</v>
      </c>
      <c r="M64" s="1" t="s">
        <v>14</v>
      </c>
      <c r="N64" s="11">
        <v>1.0236149000000001</v>
      </c>
      <c r="O64" s="5">
        <v>1.0236149000000001</v>
      </c>
      <c r="P64" s="5">
        <v>1.0236149000000001</v>
      </c>
      <c r="Q64" s="1" t="s">
        <v>5</v>
      </c>
    </row>
    <row r="65" spans="1:17" x14ac:dyDescent="0.3">
      <c r="A65" s="1" t="s">
        <v>20</v>
      </c>
      <c r="B65" s="11">
        <v>1.0237147</v>
      </c>
      <c r="C65" s="5">
        <v>1.0237147</v>
      </c>
      <c r="D65" s="5">
        <v>1.0237147</v>
      </c>
      <c r="E65" s="16" t="s">
        <v>5</v>
      </c>
      <c r="F65" s="17"/>
      <c r="G65" s="1" t="s">
        <v>20</v>
      </c>
      <c r="H65" s="11">
        <v>1.0236702</v>
      </c>
      <c r="I65" s="5">
        <v>1.0236702</v>
      </c>
      <c r="J65" s="5">
        <v>1.0236702</v>
      </c>
      <c r="K65" s="1" t="s">
        <v>5</v>
      </c>
      <c r="M65" s="1" t="s">
        <v>20</v>
      </c>
      <c r="N65" s="11">
        <v>1.0237217000000001</v>
      </c>
      <c r="O65" s="11">
        <v>1.0237217000000001</v>
      </c>
      <c r="P65" s="11">
        <v>1.0237217000000001</v>
      </c>
      <c r="Q65" s="1" t="s">
        <v>5</v>
      </c>
    </row>
    <row r="66" spans="1:17" ht="14.5" thickBot="1" x14ac:dyDescent="0.35">
      <c r="A66" s="4" t="s">
        <v>15</v>
      </c>
      <c r="B66" s="12">
        <v>1.0235954</v>
      </c>
      <c r="C66" s="6">
        <v>1.0235954</v>
      </c>
      <c r="D66" s="6">
        <v>1.0235954</v>
      </c>
      <c r="E66" s="19" t="s">
        <v>5</v>
      </c>
      <c r="F66" s="17"/>
      <c r="G66" s="18" t="s">
        <v>15</v>
      </c>
      <c r="H66" s="12">
        <v>1.0235649</v>
      </c>
      <c r="I66" s="6">
        <v>1.0235649</v>
      </c>
      <c r="J66" s="6">
        <v>1.0235649</v>
      </c>
      <c r="K66" s="2" t="s">
        <v>5</v>
      </c>
      <c r="M66" s="4" t="s">
        <v>15</v>
      </c>
      <c r="N66" s="12">
        <v>1.0236149000000001</v>
      </c>
      <c r="O66" s="6">
        <v>1.0236149000000001</v>
      </c>
      <c r="P66" s="6">
        <v>1.0236149000000001</v>
      </c>
      <c r="Q66" s="2" t="s">
        <v>5</v>
      </c>
    </row>
    <row r="67" spans="1:17" x14ac:dyDescent="0.3">
      <c r="A67" s="1" t="s">
        <v>16</v>
      </c>
      <c r="B67" s="8">
        <v>1.0235814999999999</v>
      </c>
      <c r="C67" s="8">
        <v>1.02358145</v>
      </c>
      <c r="D67" s="8">
        <v>1.02358145</v>
      </c>
      <c r="E67" s="17" t="s">
        <v>6</v>
      </c>
      <c r="F67" s="17"/>
      <c r="G67" s="16" t="s">
        <v>16</v>
      </c>
      <c r="H67" s="8">
        <v>1.0235540000000001</v>
      </c>
      <c r="I67" s="8">
        <v>1.0235539499999999</v>
      </c>
      <c r="J67" s="8">
        <v>1.0235539499999999</v>
      </c>
      <c r="K67" t="s">
        <v>6</v>
      </c>
      <c r="M67" s="1" t="s">
        <v>16</v>
      </c>
      <c r="N67" s="8">
        <v>1.0236054999999999</v>
      </c>
      <c r="O67" s="8">
        <v>1.02360545</v>
      </c>
      <c r="P67" s="8">
        <v>1.02360545</v>
      </c>
      <c r="Q67" t="s">
        <v>6</v>
      </c>
    </row>
    <row r="68" spans="1:17" x14ac:dyDescent="0.3">
      <c r="A68" s="1" t="s">
        <v>14</v>
      </c>
      <c r="B68" s="13">
        <v>1.02358145</v>
      </c>
      <c r="C68" s="8">
        <v>1.02358145</v>
      </c>
      <c r="D68" s="8">
        <v>1.02358145</v>
      </c>
      <c r="E68" s="17" t="s">
        <v>6</v>
      </c>
      <c r="F68" s="17"/>
      <c r="G68" s="16" t="s">
        <v>14</v>
      </c>
      <c r="H68" s="13">
        <v>1.0235539499999999</v>
      </c>
      <c r="I68" s="8">
        <v>1.0235539499999999</v>
      </c>
      <c r="J68" s="8">
        <v>1.0235539499999999</v>
      </c>
      <c r="K68" t="s">
        <v>6</v>
      </c>
      <c r="M68" s="1" t="s">
        <v>14</v>
      </c>
      <c r="N68" s="13">
        <v>1.02360545</v>
      </c>
      <c r="O68" s="8">
        <v>1.02360545</v>
      </c>
      <c r="P68" s="8">
        <v>1.02360545</v>
      </c>
      <c r="Q68" t="s">
        <v>6</v>
      </c>
    </row>
    <row r="69" spans="1:17" x14ac:dyDescent="0.3">
      <c r="A69" s="1" t="s">
        <v>20</v>
      </c>
      <c r="B69" s="13">
        <v>1.0236775499999999</v>
      </c>
      <c r="C69" s="8">
        <v>1.0236775499999999</v>
      </c>
      <c r="D69" s="8">
        <v>1.0236775499999999</v>
      </c>
      <c r="E69" s="17" t="s">
        <v>6</v>
      </c>
      <c r="F69" s="17"/>
      <c r="G69" s="1" t="s">
        <v>20</v>
      </c>
      <c r="H69" s="13">
        <v>1.0236345499999999</v>
      </c>
      <c r="I69" s="8">
        <v>1.0236345499999999</v>
      </c>
      <c r="J69" s="8">
        <v>1.0236345499999999</v>
      </c>
      <c r="K69" t="s">
        <v>6</v>
      </c>
      <c r="M69" s="1" t="s">
        <v>20</v>
      </c>
      <c r="N69" s="13">
        <v>1.0236865500000001</v>
      </c>
      <c r="O69" s="8">
        <v>1.0236865500000001</v>
      </c>
      <c r="P69" s="8">
        <v>1.0236865500000001</v>
      </c>
      <c r="Q69" t="s">
        <v>6</v>
      </c>
    </row>
    <row r="70" spans="1:17" ht="14.5" thickBot="1" x14ac:dyDescent="0.35">
      <c r="A70" s="4" t="s">
        <v>15</v>
      </c>
      <c r="B70" s="12">
        <v>1.02358145</v>
      </c>
      <c r="C70" s="6">
        <v>1.02358145</v>
      </c>
      <c r="D70" s="6">
        <v>1.02358145</v>
      </c>
      <c r="E70" s="19" t="s">
        <v>6</v>
      </c>
      <c r="F70" s="17"/>
      <c r="G70" s="18" t="s">
        <v>15</v>
      </c>
      <c r="H70" s="12">
        <v>1.0235539499999999</v>
      </c>
      <c r="I70" s="6">
        <v>1.0235539499999999</v>
      </c>
      <c r="J70" s="6">
        <v>1.0235539499999999</v>
      </c>
      <c r="K70" s="2" t="s">
        <v>6</v>
      </c>
      <c r="M70" s="4" t="s">
        <v>15</v>
      </c>
      <c r="N70" s="12">
        <v>1.02360545</v>
      </c>
      <c r="O70" s="12">
        <v>1.02360545</v>
      </c>
      <c r="P70" s="12">
        <v>1.02360545</v>
      </c>
      <c r="Q70" s="2" t="s">
        <v>6</v>
      </c>
    </row>
    <row r="75" spans="1:17" x14ac:dyDescent="0.3">
      <c r="A75" t="s">
        <v>42</v>
      </c>
      <c r="B75" s="9">
        <f>MIN(A1:Q70)</f>
        <v>1.0235539499999999</v>
      </c>
    </row>
    <row r="81" spans="1:17" x14ac:dyDescent="0.3">
      <c r="A81" t="s">
        <v>45</v>
      </c>
      <c r="B81" s="9">
        <f>MIN(A86:Q155)</f>
        <v>1247.4243943000001</v>
      </c>
    </row>
    <row r="86" spans="1:17" x14ac:dyDescent="0.3">
      <c r="A86" s="21" t="s">
        <v>7</v>
      </c>
      <c r="B86" s="23" t="s">
        <v>10</v>
      </c>
      <c r="C86" s="23" t="s">
        <v>17</v>
      </c>
      <c r="G86" s="21" t="s">
        <v>7</v>
      </c>
      <c r="H86" s="23" t="s">
        <v>11</v>
      </c>
      <c r="I86" s="23" t="s">
        <v>17</v>
      </c>
      <c r="M86" s="21" t="s">
        <v>7</v>
      </c>
      <c r="N86" s="23" t="s">
        <v>12</v>
      </c>
      <c r="O86" s="23" t="s">
        <v>17</v>
      </c>
    </row>
    <row r="87" spans="1:17" x14ac:dyDescent="0.3">
      <c r="A87" s="22"/>
      <c r="B87" s="23"/>
      <c r="C87" s="23"/>
      <c r="G87" s="22"/>
      <c r="H87" s="23"/>
      <c r="I87" s="23"/>
      <c r="M87" s="22"/>
      <c r="N87" s="23"/>
      <c r="O87" s="23"/>
    </row>
    <row r="88" spans="1:17" ht="14.5" thickBot="1" x14ac:dyDescent="0.35">
      <c r="B88" s="4" t="s">
        <v>0</v>
      </c>
      <c r="C88" s="2" t="s">
        <v>1</v>
      </c>
      <c r="D88" s="2" t="s">
        <v>2</v>
      </c>
      <c r="H88" s="4" t="s">
        <v>0</v>
      </c>
      <c r="I88" s="2" t="s">
        <v>1</v>
      </c>
      <c r="J88" s="2" t="s">
        <v>2</v>
      </c>
      <c r="N88" s="4" t="s">
        <v>0</v>
      </c>
      <c r="O88" s="2" t="s">
        <v>1</v>
      </c>
      <c r="P88" s="2" t="s">
        <v>2</v>
      </c>
    </row>
    <row r="89" spans="1:17" x14ac:dyDescent="0.3">
      <c r="A89" t="s">
        <v>19</v>
      </c>
      <c r="B89" s="11">
        <f>(32*4+256*4+2+10+20+20)*B4</f>
        <v>1284.8283727999999</v>
      </c>
      <c r="C89" s="5">
        <f>(32*4+256*4+2+20+20+20)*C4</f>
        <v>1274.8456193</v>
      </c>
      <c r="D89" s="5">
        <f>(32*4+256*4+2+40+20+20)*D4</f>
        <v>1295.8201916</v>
      </c>
      <c r="E89" s="1" t="s">
        <v>4</v>
      </c>
      <c r="G89" t="s">
        <v>19</v>
      </c>
      <c r="H89" s="11">
        <f>(32*4+256*4+2+10+20+40)*H4</f>
        <v>1305.9023688</v>
      </c>
      <c r="I89" s="5">
        <f>(32*4+256*4+2+20+20+40)*I4</f>
        <v>1295.5783892999998</v>
      </c>
      <c r="J89" s="5">
        <f>(32*4+256*4+2+40+20+40)*J4</f>
        <v>1316.5468866000001</v>
      </c>
      <c r="K89" s="1" t="s">
        <v>4</v>
      </c>
      <c r="M89" t="s">
        <v>19</v>
      </c>
      <c r="N89" s="11">
        <f>(32*4+256*4+2+10+20+80)*N4</f>
        <v>1348.3229568000002</v>
      </c>
      <c r="O89" s="5">
        <f>(32*4+256*4+2+20+20+80)*O4</f>
        <v>1337.3145512999999</v>
      </c>
      <c r="P89" s="5">
        <f>(32*4+256*4+2+40+20+80)*P4</f>
        <v>1358.2767326000001</v>
      </c>
      <c r="Q89" s="1" t="s">
        <v>4</v>
      </c>
    </row>
    <row r="90" spans="1:17" x14ac:dyDescent="0.3">
      <c r="A90" s="1" t="s">
        <v>16</v>
      </c>
      <c r="B90" s="11">
        <f>(64*4+256*4+2+10+20+20)*B5</f>
        <v>1400.8945031999999</v>
      </c>
      <c r="C90" s="5">
        <f>(64*4+256*4+2+20+20+20)*C5</f>
        <v>1409.2305765999999</v>
      </c>
      <c r="D90" s="5">
        <f>(64*4+256*4+2+40+20+20)*D5</f>
        <v>1430.2325226</v>
      </c>
      <c r="E90" s="1" t="s">
        <v>4</v>
      </c>
      <c r="G90" s="1" t="s">
        <v>16</v>
      </c>
      <c r="H90" s="11">
        <f>(64*4+256*4+2+10+20+20)*H5</f>
        <v>1400.6021291999998</v>
      </c>
      <c r="I90" s="5">
        <f>(64*4+256*4+2+20+20+20)*I5</f>
        <v>1408.9360076</v>
      </c>
      <c r="J90" s="5">
        <f>(64*4+256*4+2+40+20+20)*J5</f>
        <v>1429.9335636000001</v>
      </c>
      <c r="K90" s="1" t="s">
        <v>4</v>
      </c>
      <c r="M90" s="1" t="s">
        <v>16</v>
      </c>
      <c r="N90" s="11">
        <f>(64*4+256*4+2+10+20+20)*N5</f>
        <v>1400.3290691999998</v>
      </c>
      <c r="O90" s="5">
        <f>(64*4+256*4+2+20+20+20)*O5</f>
        <v>1408.6608976</v>
      </c>
      <c r="P90" s="5">
        <f>(64*4+256*4+2+40+20+20)*P5</f>
        <v>1429.6543535999999</v>
      </c>
      <c r="Q90" s="1" t="s">
        <v>4</v>
      </c>
    </row>
    <row r="91" spans="1:17" x14ac:dyDescent="0.3">
      <c r="A91" s="1" t="s">
        <v>14</v>
      </c>
      <c r="B91" s="11">
        <f>(128*4+256*4+2+10+20+20)*B6</f>
        <v>1667.5547506</v>
      </c>
      <c r="C91" s="5">
        <f>(128*4+256*4+2+20+20+20)*C6</f>
        <v>1678.0554854</v>
      </c>
      <c r="D91" s="5">
        <f>(128*4+256*4+2+40+20+20)*D6</f>
        <v>1699.0574314</v>
      </c>
      <c r="E91" s="1" t="s">
        <v>4</v>
      </c>
      <c r="G91" s="1" t="s">
        <v>14</v>
      </c>
      <c r="H91" s="11">
        <f>(128*4+256*4+2+10+20+20)*H6</f>
        <v>1667.2061845999999</v>
      </c>
      <c r="I91" s="5">
        <f>(128*4+256*4+2+20+20+20)*I6</f>
        <v>1677.7047244</v>
      </c>
      <c r="J91" s="5">
        <f>(128*4+256*4+2+40+20+20)*J6</f>
        <v>1698.7022804000001</v>
      </c>
      <c r="K91" s="1" t="s">
        <v>4</v>
      </c>
      <c r="M91" s="1" t="s">
        <v>14</v>
      </c>
      <c r="N91" s="11">
        <f>(128*4+256*4+2+10+20+20)*N6</f>
        <v>1666.8806445999999</v>
      </c>
      <c r="O91" s="5">
        <f>(128*4+256*4+2+20+20+20)*O6</f>
        <v>1677.3771343999999</v>
      </c>
      <c r="P91" s="5">
        <f>(128*4+256*4+2+40+20+20)*P6</f>
        <v>1698.3705903999999</v>
      </c>
      <c r="Q91" s="1" t="s">
        <v>4</v>
      </c>
    </row>
    <row r="92" spans="1:17" x14ac:dyDescent="0.3">
      <c r="A92" s="10" t="s">
        <v>20</v>
      </c>
      <c r="B92" s="11">
        <f>(256*4+128*4+2+10+20+20)*B7</f>
        <v>1667.8346356</v>
      </c>
      <c r="C92" s="11">
        <f>(256*4+128*4+2+20+20+20)*C7</f>
        <v>1678.3373726</v>
      </c>
      <c r="D92" s="11">
        <f>(256*4+128*4+2+40+20+20)*D6</f>
        <v>1699.0574314</v>
      </c>
      <c r="E92" s="1" t="s">
        <v>4</v>
      </c>
      <c r="G92" s="10" t="s">
        <v>20</v>
      </c>
      <c r="H92" s="11">
        <f>(256*4+128*4+2+10+20+20)*H7</f>
        <v>1667.3939656</v>
      </c>
      <c r="I92" s="11">
        <f>(256*4+128*4+2+20+20+20)*I7</f>
        <v>1677.8939276000001</v>
      </c>
      <c r="J92" s="11">
        <f>(256*4+128*4+2+40+20+20)*J6</f>
        <v>1698.7022804000001</v>
      </c>
      <c r="K92" s="1" t="s">
        <v>4</v>
      </c>
      <c r="M92" s="10" t="s">
        <v>20</v>
      </c>
      <c r="N92" s="11">
        <f>(256*4+128*4+2+10+20+20)*N7</f>
        <v>1667.0382536</v>
      </c>
      <c r="O92" s="11">
        <f>(256*4+128*4+2+20+20+20)*O7</f>
        <v>1677.5359756</v>
      </c>
      <c r="P92" s="11">
        <f>(256*4+128*4+2+40+20+20)*P6</f>
        <v>1698.3705903999999</v>
      </c>
      <c r="Q92" s="1" t="s">
        <v>4</v>
      </c>
    </row>
    <row r="93" spans="1:17" ht="14.5" thickBot="1" x14ac:dyDescent="0.35">
      <c r="A93" s="4" t="s">
        <v>15</v>
      </c>
      <c r="B93" s="12">
        <f>(256*4+256*4+2+10+20+20)*B8</f>
        <v>2205.2045400000002</v>
      </c>
      <c r="C93" s="6">
        <f>(256*4+256*4+2+20+20+20)*C8</f>
        <v>2215.7053030000002</v>
      </c>
      <c r="D93" s="6">
        <f>(256*4+256*4+2+40+20+20)*D7</f>
        <v>2237.082981</v>
      </c>
      <c r="E93" s="2" t="s">
        <v>4</v>
      </c>
      <c r="G93" s="4" t="s">
        <v>15</v>
      </c>
      <c r="H93" s="12">
        <f>(256*4+256*4+2+10+20+20)*H8</f>
        <v>2204.74359</v>
      </c>
      <c r="I93" s="6">
        <f>(256*4+256*4+2+20+20+20)*I8</f>
        <v>2215.242158</v>
      </c>
      <c r="J93" s="6">
        <f>(256*4+256*4+2+40+20+20)*J7</f>
        <v>2236.4919060000002</v>
      </c>
      <c r="K93" s="2" t="s">
        <v>4</v>
      </c>
      <c r="M93" s="4" t="s">
        <v>15</v>
      </c>
      <c r="N93" s="12">
        <f>(256*4+256*4+2+10+20+20)*N8</f>
        <v>2204.3130900000001</v>
      </c>
      <c r="O93" s="6">
        <f>(256*4+256*4+2+20+20+20)*O8</f>
        <v>2214.809608</v>
      </c>
      <c r="P93" s="6">
        <f>(256*4+256*4+2+40+20+20)*P7</f>
        <v>2236.0147860000002</v>
      </c>
      <c r="Q93" s="2" t="s">
        <v>4</v>
      </c>
    </row>
    <row r="94" spans="1:17" x14ac:dyDescent="0.3">
      <c r="A94" t="s">
        <v>19</v>
      </c>
      <c r="B94" s="11">
        <f>(32*4+256*4+2+10+40+20)*B9</f>
        <v>1305.9822959999999</v>
      </c>
      <c r="C94" s="5">
        <f>(32*4+256*4+2+20+40+20)*C9</f>
        <v>1295.6583525000001</v>
      </c>
      <c r="D94" s="5">
        <f>(32*4+256*4+2+40+40+20)*D9</f>
        <v>1316.6293998000001</v>
      </c>
      <c r="E94" s="1" t="s">
        <v>5</v>
      </c>
      <c r="G94" t="s">
        <v>19</v>
      </c>
      <c r="H94" s="11">
        <f>(32*4+256*4+2+10+40+40)*H9</f>
        <v>1327.0792959999999</v>
      </c>
      <c r="I94" s="5">
        <f>(32*4+256*4+2+20+40+40)*I9</f>
        <v>1316.4137744999998</v>
      </c>
      <c r="J94" s="5">
        <f>(32*4+256*4+2+40+40+40)*J9</f>
        <v>1337.3792068</v>
      </c>
      <c r="K94" s="1" t="s">
        <v>5</v>
      </c>
      <c r="M94" t="s">
        <v>19</v>
      </c>
      <c r="N94" s="11">
        <f>(32*4+256*4+2+10+40+80)*N9</f>
        <v>1369.490004</v>
      </c>
      <c r="O94" s="5">
        <f>(32*4+256*4+2+20+40+80)*O9</f>
        <v>1358.1400214999999</v>
      </c>
      <c r="P94" s="5">
        <f>(32*4+256*4+2+40+40+80)*P9</f>
        <v>1379.0991078</v>
      </c>
      <c r="Q94" s="1" t="s">
        <v>5</v>
      </c>
    </row>
    <row r="95" spans="1:17" x14ac:dyDescent="0.3">
      <c r="A95" s="1" t="s">
        <v>16</v>
      </c>
      <c r="B95" s="11">
        <f>(64*4+256*4+2+10+40+20)*B10</f>
        <v>1421.7211527999998</v>
      </c>
      <c r="C95" s="5">
        <f>(64*4+256*4+2+20+40+20)*C10</f>
        <v>1430.0231831999999</v>
      </c>
      <c r="D95" s="5">
        <f>(64*4+256*4+2+40+40+20)*D10</f>
        <v>1451.0220552000001</v>
      </c>
      <c r="E95" s="1" t="s">
        <v>5</v>
      </c>
      <c r="G95" s="1" t="s">
        <v>16</v>
      </c>
      <c r="H95" s="11">
        <f>(64*4+256*4+2+10+40+20)*H10</f>
        <v>1421.4568367999998</v>
      </c>
      <c r="I95" s="5">
        <f>(64*4+256*4+2+20+40+20)*I10</f>
        <v>1429.7569122</v>
      </c>
      <c r="J95" s="5">
        <f>(64*4+256*4+2+40+40+20)*J10</f>
        <v>1450.7518742</v>
      </c>
      <c r="K95" s="1" t="s">
        <v>5</v>
      </c>
      <c r="M95" s="1" t="s">
        <v>16</v>
      </c>
      <c r="N95" s="11">
        <f>(64*4+256*4+2+10+40+20)*N10</f>
        <v>1421.1790008</v>
      </c>
      <c r="O95" s="5">
        <f>(64*4+256*4+2+20+40+20)*O10</f>
        <v>1429.4770212000001</v>
      </c>
      <c r="P95" s="5">
        <f>(64*4+256*4+2+40+40+20)*P10</f>
        <v>1450.4678732000002</v>
      </c>
      <c r="Q95" s="1" t="s">
        <v>5</v>
      </c>
    </row>
    <row r="96" spans="1:17" x14ac:dyDescent="0.3">
      <c r="A96" s="1" t="s">
        <v>14</v>
      </c>
      <c r="B96" s="11">
        <f>(128*4+256*4+2+10+40+20)*B11</f>
        <v>1688.3095499999999</v>
      </c>
      <c r="C96" s="5">
        <f>(128*4+256*4+2+20+40+20)*C11</f>
        <v>1698.8087447999999</v>
      </c>
      <c r="D96" s="5">
        <f>(128*4+256*4+2+40+40+20)*D11</f>
        <v>1719.8076168</v>
      </c>
      <c r="E96" s="1" t="s">
        <v>5</v>
      </c>
      <c r="G96" s="1" t="s">
        <v>14</v>
      </c>
      <c r="H96" s="11">
        <f>(128*4+256*4+2+10+40+20)*H11</f>
        <v>1687.9951859999999</v>
      </c>
      <c r="I96" s="5">
        <f>(128*4+256*4+2+20+40+20)*I11</f>
        <v>1698.4924257999999</v>
      </c>
      <c r="J96" s="5">
        <f>(128*4+256*4+2+40+40+20)*J11</f>
        <v>1719.4873877999999</v>
      </c>
      <c r="K96" s="1" t="s">
        <v>5</v>
      </c>
      <c r="M96" s="1" t="s">
        <v>14</v>
      </c>
      <c r="N96" s="11">
        <f>(128*4+256*4+2+10+40+20)*N11</f>
        <v>1687.6647420000002</v>
      </c>
      <c r="O96" s="5">
        <f>(128*4+256*4+2+20+40+20)*O11</f>
        <v>1698.1599268000002</v>
      </c>
      <c r="P96" s="5">
        <f>(128*4+256*4+2+40+40+20)*P11</f>
        <v>1719.1507788000001</v>
      </c>
      <c r="Q96" s="1" t="s">
        <v>5</v>
      </c>
    </row>
    <row r="97" spans="1:17" x14ac:dyDescent="0.3">
      <c r="A97" s="10" t="s">
        <v>20</v>
      </c>
      <c r="B97" s="11">
        <f>(256*4+128*4+2+10+40+20)*B12</f>
        <v>1688.6032511999999</v>
      </c>
      <c r="C97" s="11">
        <f>(256*4+128*4+2+20+40+20)*C12</f>
        <v>1699.1045151999999</v>
      </c>
      <c r="D97" s="11">
        <f>(256*4+128*4+2+40+40+20)*D12</f>
        <v>1720.1070431999999</v>
      </c>
      <c r="E97" s="1" t="s">
        <v>5</v>
      </c>
      <c r="G97" s="10" t="s">
        <v>20</v>
      </c>
      <c r="H97" s="11">
        <f>(256*4+128*4+2+10+40+20)*H12</f>
        <v>1688.2374312000002</v>
      </c>
      <c r="I97" s="11">
        <f>(256*4+128*4+2+20+40+20)*I12</f>
        <v>1698.7364202000001</v>
      </c>
      <c r="J97" s="11">
        <f>(256*4+128*4+2+40+40+20)*J12</f>
        <v>1719.7343982000002</v>
      </c>
      <c r="K97" s="1" t="s">
        <v>5</v>
      </c>
      <c r="M97" s="10" t="s">
        <v>20</v>
      </c>
      <c r="N97" s="11">
        <f>(256*4+128*4+2+10+40+20)*N12</f>
        <v>1687.8973392</v>
      </c>
      <c r="O97" s="11">
        <f>(256*4+128*4+2+20+40+20)*O12</f>
        <v>1698.3942132</v>
      </c>
      <c r="P97" s="11">
        <f>(256*4+128*4+2+40+40+20)*P12</f>
        <v>1719.3879612000001</v>
      </c>
      <c r="Q97" s="1" t="s">
        <v>5</v>
      </c>
    </row>
    <row r="98" spans="1:17" ht="14.5" thickBot="1" x14ac:dyDescent="0.35">
      <c r="A98" s="4" t="s">
        <v>15</v>
      </c>
      <c r="B98" s="12">
        <f>(256*4+256*4+2+10+40+20)*B13</f>
        <v>2225.8806439999998</v>
      </c>
      <c r="C98" s="6">
        <f>(256*4+256*4+2+20+40+20)*C13</f>
        <v>2236.379868</v>
      </c>
      <c r="D98" s="6">
        <f>(256*4+256*4+2+40+40+20)*D13</f>
        <v>2257.3787400000001</v>
      </c>
      <c r="E98" s="2" t="s">
        <v>5</v>
      </c>
      <c r="G98" s="4" t="s">
        <v>15</v>
      </c>
      <c r="H98" s="12">
        <f>(256*4+256*4+2+10+40+20)*H13</f>
        <v>2225.4661839999999</v>
      </c>
      <c r="I98" s="6">
        <f>(256*4+256*4+2+20+40+20)*I13</f>
        <v>2235.9634529999998</v>
      </c>
      <c r="J98" s="6">
        <f>(256*4+256*4+2+40+40+20)*J13</f>
        <v>2256.9584150000001</v>
      </c>
      <c r="K98" s="2" t="s">
        <v>5</v>
      </c>
      <c r="M98" s="4" t="s">
        <v>15</v>
      </c>
      <c r="N98" s="12">
        <f>(256*4+256*4+2+10+40+20)*N13</f>
        <v>2225.0305239999998</v>
      </c>
      <c r="O98" s="6">
        <f>(256*4+256*4+2+20+40+20)*O13</f>
        <v>2235.5257380000003</v>
      </c>
      <c r="P98" s="6">
        <f>(256*4+256*4+2+40+40+20)*P13</f>
        <v>2256.5165900000002</v>
      </c>
      <c r="Q98" s="2" t="s">
        <v>5</v>
      </c>
    </row>
    <row r="99" spans="1:17" x14ac:dyDescent="0.3">
      <c r="A99" t="s">
        <v>19</v>
      </c>
      <c r="B99" s="11">
        <f>(32*4+256*4+2+10+80+20)*B14</f>
        <v>1348.6412952000001</v>
      </c>
      <c r="C99" s="5">
        <f>(32*4+256*4+2+20+80+20)*C14</f>
        <v>1337.6366821999998</v>
      </c>
      <c r="D99" s="5">
        <f>(32*4+256*4+2+40+80+20)*D14</f>
        <v>1358.6065085</v>
      </c>
      <c r="E99" t="s">
        <v>6</v>
      </c>
      <c r="G99" t="s">
        <v>19</v>
      </c>
      <c r="H99" s="11">
        <f>(32*4+256*4+2+10+80+40)*H14</f>
        <v>1369.7321022000001</v>
      </c>
      <c r="I99" s="5">
        <f>(32*4+256*4+2+20+80+40)*I14</f>
        <v>1358.3859462</v>
      </c>
      <c r="J99" s="5">
        <f>(32*4+256*4+2+40+80+40)*J14</f>
        <v>1379.3501474999998</v>
      </c>
      <c r="K99" t="s">
        <v>6</v>
      </c>
      <c r="M99" t="s">
        <v>19</v>
      </c>
      <c r="N99" s="11">
        <f>(32*4+256*4+2+10+80+80)*N14</f>
        <v>1412.1341122000001</v>
      </c>
      <c r="O99" s="5">
        <f>(32*4+256*4+2+20+80+80)*O14</f>
        <v>1400.1034352000001</v>
      </c>
      <c r="P99" s="5">
        <f>(32*4+256*4+2+40+80+80)*P14</f>
        <v>1421.0612505000001</v>
      </c>
      <c r="Q99" t="s">
        <v>6</v>
      </c>
    </row>
    <row r="100" spans="1:17" x14ac:dyDescent="0.3">
      <c r="A100" s="1" t="s">
        <v>16</v>
      </c>
      <c r="B100" s="13">
        <f>(64*4+256*4+2+10+80+20)*B15</f>
        <v>1463.7617064000001</v>
      </c>
      <c r="C100" s="8">
        <f>(64*4+256*4+2+20+80+20)*C15</f>
        <v>1471.9985653000001</v>
      </c>
      <c r="D100" s="8">
        <f>(64*4+256*4+2+40+80+20)*D15</f>
        <v>1492.9971183000002</v>
      </c>
      <c r="E100" t="s">
        <v>6</v>
      </c>
      <c r="G100" s="1" t="s">
        <v>16</v>
      </c>
      <c r="H100" s="13">
        <f>(64*4+256*4+2+10+80+20)*H15</f>
        <v>1463.4916584</v>
      </c>
      <c r="I100" s="8">
        <f>(64*4+256*4+2+20+80+20)*I15</f>
        <v>1471.7265773000001</v>
      </c>
      <c r="J100" s="8">
        <f>(64*4+256*4+2+40+80+20)*J15</f>
        <v>1492.7212503000001</v>
      </c>
      <c r="K100" t="s">
        <v>6</v>
      </c>
      <c r="M100" s="1" t="s">
        <v>16</v>
      </c>
      <c r="N100" s="13">
        <f>(64*4+256*4+2+10+80+20)*N15</f>
        <v>1463.2056023999999</v>
      </c>
      <c r="O100" s="8">
        <f>(64*4+256*4+2+20+80+20)*O15</f>
        <v>1471.4384663000001</v>
      </c>
      <c r="P100" s="8">
        <f>(64*4+256*4+2+40+80+20)*P15</f>
        <v>1492.4290292999999</v>
      </c>
      <c r="Q100" t="s">
        <v>6</v>
      </c>
    </row>
    <row r="101" spans="1:17" x14ac:dyDescent="0.3">
      <c r="A101" s="1" t="s">
        <v>14</v>
      </c>
      <c r="B101" s="13">
        <f>(128*4+256*4+2+10+80+20)*B16</f>
        <v>1730.2810144000002</v>
      </c>
      <c r="C101" s="8">
        <f>(128*4+256*4+2+20+80+20)*C16</f>
        <v>1740.7800437000001</v>
      </c>
      <c r="D101" s="8">
        <f>(128*4+256*4+2+40+80+20)*D16</f>
        <v>1761.7785967000002</v>
      </c>
      <c r="E101" t="s">
        <v>6</v>
      </c>
      <c r="G101" s="1" t="s">
        <v>14</v>
      </c>
      <c r="H101" s="13">
        <f>(128*4+256*4+2+10+80+20)*H16</f>
        <v>1729.9613024</v>
      </c>
      <c r="I101" s="8">
        <f>(128*4+256*4+2+20+80+20)*I16</f>
        <v>1740.4583917000002</v>
      </c>
      <c r="J101" s="8">
        <f>(128*4+256*4+2+40+80+20)*J16</f>
        <v>1761.4530647000001</v>
      </c>
      <c r="K101" t="s">
        <v>6</v>
      </c>
      <c r="M101" s="1" t="s">
        <v>14</v>
      </c>
      <c r="N101" s="13">
        <f>(128*4+256*4+2+10+80+20)*N16</f>
        <v>1729.6226383999999</v>
      </c>
      <c r="O101" s="8">
        <f>(128*4+256*4+2+20+80+20)*O16</f>
        <v>1740.1176727</v>
      </c>
      <c r="P101" s="8">
        <f>(128*4+256*4+2+40+80+20)*P16</f>
        <v>1761.1082357</v>
      </c>
      <c r="Q101" t="s">
        <v>6</v>
      </c>
    </row>
    <row r="102" spans="1:17" x14ac:dyDescent="0.3">
      <c r="A102" s="10" t="s">
        <v>20</v>
      </c>
      <c r="B102" s="13">
        <f>(256*4+128*4+2+10+80+20)*B17</f>
        <v>1730.4442488000002</v>
      </c>
      <c r="C102" s="13">
        <f>(256*4+128*4+2+20+80+20)*C17</f>
        <v>1740.9445173000001</v>
      </c>
      <c r="D102" s="13">
        <f>(256*4+128*4+2+40+80+20)*D17</f>
        <v>1761.9450543</v>
      </c>
      <c r="E102" t="s">
        <v>6</v>
      </c>
      <c r="G102" s="10" t="s">
        <v>20</v>
      </c>
      <c r="H102" s="13">
        <f>(256*4+128*4+2+10+80+20)*H17</f>
        <v>1730.1088808000002</v>
      </c>
      <c r="I102" s="13">
        <f>(256*4+128*4+2+20+80+20)*I17</f>
        <v>1740.6071143000001</v>
      </c>
      <c r="J102" s="13">
        <f>(256*4+128*4+2+40+80+20)*J17</f>
        <v>1761.6035813000001</v>
      </c>
      <c r="K102" t="s">
        <v>6</v>
      </c>
      <c r="M102" s="10" t="s">
        <v>20</v>
      </c>
      <c r="N102" s="13">
        <f>(256*4+128*4+2+10+80+20)*N17</f>
        <v>1729.7702167999998</v>
      </c>
      <c r="O102" s="13">
        <f>(256*4+128*4+2+20+80+20)*O17</f>
        <v>1740.2663952999999</v>
      </c>
      <c r="P102" s="13">
        <f>(256*4+128*4+2+40+80+20)*P17</f>
        <v>1761.2587523</v>
      </c>
      <c r="Q102" t="s">
        <v>6</v>
      </c>
    </row>
    <row r="103" spans="1:17" ht="14.5" thickBot="1" x14ac:dyDescent="0.35">
      <c r="A103" s="4" t="s">
        <v>15</v>
      </c>
      <c r="B103" s="12">
        <f>(256*4+256*4+2+10+80+20)*B18</f>
        <v>2267.8439399999997</v>
      </c>
      <c r="C103" s="6">
        <f>(256*4+256*4+2+20+80+20)*C18</f>
        <v>2278.3430005</v>
      </c>
      <c r="D103" s="6">
        <f>(256*4+256*4+2+40+80+20)*D18</f>
        <v>2299.3415535000004</v>
      </c>
      <c r="E103" s="2" t="s">
        <v>6</v>
      </c>
      <c r="G103" s="4" t="s">
        <v>15</v>
      </c>
      <c r="H103" s="12">
        <f>(256*4+256*4+2+10+80+20)*H18</f>
        <v>2267.4249</v>
      </c>
      <c r="I103" s="6">
        <f>(256*4+256*4+2+20+80+20)*I18</f>
        <v>2277.9220205000001</v>
      </c>
      <c r="J103" s="6">
        <f>(256*4+256*4+2+40+80+20)*J18</f>
        <v>2298.9166935000003</v>
      </c>
      <c r="K103" s="2" t="s">
        <v>6</v>
      </c>
      <c r="M103" s="4" t="s">
        <v>15</v>
      </c>
      <c r="N103" s="12">
        <f>(256*4+256*4+2+10+80+20)*N18</f>
        <v>2266.9810200000002</v>
      </c>
      <c r="O103" s="6">
        <f>(256*4+256*4+2+20+80+20)*O18</f>
        <v>2277.4760855</v>
      </c>
      <c r="P103" s="6">
        <f>(256*4+256*4+2+40+80+20)*P18</f>
        <v>2298.4666484999998</v>
      </c>
      <c r="Q103" s="2" t="s">
        <v>6</v>
      </c>
    </row>
    <row r="106" spans="1:17" x14ac:dyDescent="0.3">
      <c r="A106" s="21" t="s">
        <v>8</v>
      </c>
      <c r="B106" s="23" t="s">
        <v>10</v>
      </c>
      <c r="C106" s="23" t="s">
        <v>17</v>
      </c>
      <c r="G106" s="21" t="s">
        <v>8</v>
      </c>
      <c r="H106" s="23" t="s">
        <v>11</v>
      </c>
      <c r="I106" s="23" t="s">
        <v>17</v>
      </c>
      <c r="M106" s="21" t="s">
        <v>8</v>
      </c>
      <c r="N106" s="23" t="s">
        <v>12</v>
      </c>
      <c r="O106" s="23" t="s">
        <v>17</v>
      </c>
    </row>
    <row r="107" spans="1:17" x14ac:dyDescent="0.3">
      <c r="A107" s="22"/>
      <c r="B107" s="23"/>
      <c r="C107" s="23"/>
      <c r="G107" s="22"/>
      <c r="H107" s="23"/>
      <c r="I107" s="23"/>
      <c r="M107" s="22"/>
      <c r="N107" s="23"/>
      <c r="O107" s="23"/>
    </row>
    <row r="108" spans="1:17" ht="14.5" thickBot="1" x14ac:dyDescent="0.35">
      <c r="B108" s="4" t="s">
        <v>0</v>
      </c>
      <c r="C108" s="2" t="s">
        <v>1</v>
      </c>
      <c r="D108" s="2" t="s">
        <v>2</v>
      </c>
      <c r="H108" s="4" t="s">
        <v>0</v>
      </c>
      <c r="I108" s="2" t="s">
        <v>1</v>
      </c>
      <c r="J108" s="2" t="s">
        <v>2</v>
      </c>
      <c r="N108" s="4" t="s">
        <v>0</v>
      </c>
      <c r="O108" s="2" t="s">
        <v>1</v>
      </c>
      <c r="P108" s="2" t="s">
        <v>2</v>
      </c>
    </row>
    <row r="109" spans="1:17" x14ac:dyDescent="0.3">
      <c r="A109" t="s">
        <v>19</v>
      </c>
      <c r="B109" s="11">
        <f>(32*4+256*4+2+10+20+20)*B24</f>
        <v>1254.7653356000001</v>
      </c>
      <c r="C109" s="5">
        <f>(32*4+256*4+2+20+20+20)*C24</f>
        <v>1247.4243943000001</v>
      </c>
      <c r="D109" s="5">
        <f>(32*4+256*4+2+40+20+20)*D24</f>
        <v>1267.9495612000001</v>
      </c>
      <c r="E109" s="1" t="s">
        <v>4</v>
      </c>
      <c r="G109" t="s">
        <v>19</v>
      </c>
      <c r="H109" s="11">
        <f>(32*4+256*4+2+10+20+40)*H24</f>
        <v>1275.4164456000001</v>
      </c>
      <c r="I109" s="5">
        <f>(32*4+256*4+2+20+20+40)*I24</f>
        <v>1267.7843903</v>
      </c>
      <c r="J109" s="5">
        <f>(32*4+256*4+2+40+20+40)*J24</f>
        <v>1288.3079352</v>
      </c>
      <c r="K109" s="1" t="s">
        <v>4</v>
      </c>
      <c r="M109" t="s">
        <v>19</v>
      </c>
      <c r="N109" s="11">
        <f>(32*4+256*4+2+10+20+80)*N24</f>
        <v>1316.9728495999998</v>
      </c>
      <c r="O109" s="5">
        <f>(32*4+256*4+2+20+20+80)*O24</f>
        <v>1308.7572042999998</v>
      </c>
      <c r="P109" s="5">
        <f>(32*4+256*4+2+40+20+80)*P24</f>
        <v>1329.2728872</v>
      </c>
      <c r="Q109" s="1" t="s">
        <v>4</v>
      </c>
    </row>
    <row r="110" spans="1:17" x14ac:dyDescent="0.3">
      <c r="A110" s="1" t="s">
        <v>16</v>
      </c>
      <c r="B110" s="11">
        <f>(64*4+256*4+2+10+20+20)*B25</f>
        <v>1371.6105497999999</v>
      </c>
      <c r="C110" s="5">
        <f>(64*4+256*4+2+20+20+20)*C25</f>
        <v>1378.9206343000001</v>
      </c>
      <c r="D110" s="5">
        <f>(64*4+256*4+2+40+20+20)*D25</f>
        <v>1399.4707991999999</v>
      </c>
      <c r="E110" s="1" t="s">
        <v>4</v>
      </c>
      <c r="G110" s="1" t="s">
        <v>16</v>
      </c>
      <c r="H110" s="11">
        <f>(64*4+256*4+2+10+20+20)*H25</f>
        <v>1371.4040898000001</v>
      </c>
      <c r="I110" s="5">
        <f>(64*4+256*4+2+20+20+20)*I25</f>
        <v>1378.7146373</v>
      </c>
      <c r="J110" s="5">
        <f>(64*4+256*4+2+40+20+20)*J25</f>
        <v>1399.2617322000001</v>
      </c>
      <c r="K110" s="1" t="s">
        <v>4</v>
      </c>
      <c r="M110" s="1" t="s">
        <v>16</v>
      </c>
      <c r="N110" s="11">
        <f>(64*4+256*4+2+10+20+20)*N25</f>
        <v>1371.2708898000001</v>
      </c>
      <c r="O110" s="5">
        <f>(64*4+256*4+2+20+20+20)*O25</f>
        <v>1378.5811083000001</v>
      </c>
      <c r="P110" s="5">
        <f>(64*4+256*4+2+40+20+20)*P25</f>
        <v>1399.1262131999999</v>
      </c>
      <c r="Q110" s="1" t="s">
        <v>4</v>
      </c>
    </row>
    <row r="111" spans="1:17" x14ac:dyDescent="0.3">
      <c r="A111" s="1" t="s">
        <v>14</v>
      </c>
      <c r="B111" s="11">
        <f>(128*4+256*4+2+10+20+20)*B26</f>
        <v>1631.6887384000001</v>
      </c>
      <c r="C111" s="5">
        <f>(128*4+256*4+2+20+20+20)*C26</f>
        <v>1641.9635367999999</v>
      </c>
      <c r="D111" s="5">
        <f>(128*4+256*4+2+40+20+20)*D26</f>
        <v>1662.5137688</v>
      </c>
      <c r="E111" s="1" t="s">
        <v>4</v>
      </c>
      <c r="G111" s="1" t="s">
        <v>14</v>
      </c>
      <c r="H111" s="11">
        <f>(128*4+256*4+2+10+20+20)*H26</f>
        <v>1631.4449803999998</v>
      </c>
      <c r="I111" s="5">
        <f>(128*4+256*4+2+20+20+20)*I26</f>
        <v>1641.7182438</v>
      </c>
      <c r="J111" s="5">
        <f>(128*4+256*4+2+40+20+20)*J26</f>
        <v>1662.2654058000001</v>
      </c>
      <c r="K111" s="1" t="s">
        <v>4</v>
      </c>
      <c r="M111" s="1" t="s">
        <v>14</v>
      </c>
      <c r="N111" s="11">
        <f>(128*4+256*4+2+10+20+20)*N26</f>
        <v>1631.2869744</v>
      </c>
      <c r="O111" s="5">
        <f>(128*4+256*4+2+20+20+20)*O26</f>
        <v>1641.5592427999998</v>
      </c>
      <c r="P111" s="5">
        <f>(128*4+256*4+2+40+20+20)*P26</f>
        <v>1662.1044147999999</v>
      </c>
      <c r="Q111" s="1" t="s">
        <v>4</v>
      </c>
    </row>
    <row r="112" spans="1:17" ht="14.5" thickBot="1" x14ac:dyDescent="0.35">
      <c r="A112" s="4" t="s">
        <v>20</v>
      </c>
      <c r="B112" s="12">
        <f>(256*4+128*4+2+10+20+20)*B27</f>
        <v>1631.9353547999999</v>
      </c>
      <c r="C112" s="12">
        <f>(256*4+128*4+2+20+20+20)*C27</f>
        <v>1642.2120258</v>
      </c>
      <c r="D112" s="12">
        <f>(256*4+128*4+2+40+20+20)*D26</f>
        <v>1662.5137688</v>
      </c>
      <c r="E112" s="2" t="s">
        <v>4</v>
      </c>
      <c r="G112" s="4" t="s">
        <v>20</v>
      </c>
      <c r="H112" s="12">
        <f>(256*4+128*4+2+10+20+20)*H27</f>
        <v>1631.6177548000001</v>
      </c>
      <c r="I112" s="12">
        <f>(256*4+128*4+2+20+20+20)*I27</f>
        <v>1641.8924258</v>
      </c>
      <c r="J112" s="12">
        <f>(256*4+128*4+2+40+20+20)*J26</f>
        <v>1662.2654058000001</v>
      </c>
      <c r="K112" s="2" t="s">
        <v>4</v>
      </c>
      <c r="M112" s="4" t="s">
        <v>20</v>
      </c>
      <c r="N112" s="12">
        <f>(256*4+128*4+2+10+20+20)*N27</f>
        <v>1631.4557788</v>
      </c>
      <c r="O112" s="12">
        <f>(256*4+128*4+2+20+20+20)*O27</f>
        <v>1641.7294297999999</v>
      </c>
      <c r="P112" s="12">
        <f>(256*4+128*4+2+40+20+20)*P26</f>
        <v>1662.1044147999999</v>
      </c>
      <c r="Q112" s="2" t="s">
        <v>4</v>
      </c>
    </row>
    <row r="113" spans="1:17" x14ac:dyDescent="0.3">
      <c r="A113" s="10" t="s">
        <v>19</v>
      </c>
      <c r="B113" s="11">
        <f>(32*4+256*4+2+10+40+20)*B28</f>
        <v>1275.4241568</v>
      </c>
      <c r="C113" s="5">
        <f>(32*4+256*4+2+20+40+20)*C28</f>
        <v>1267.7915475</v>
      </c>
      <c r="D113" s="5">
        <f>(32*4+256*4+2+40+40+20)*D28</f>
        <v>1288.3139543999998</v>
      </c>
      <c r="E113" s="1" t="s">
        <v>5</v>
      </c>
      <c r="G113" s="10" t="s">
        <v>19</v>
      </c>
      <c r="H113" s="11">
        <f>(32*4+256*4+2+10+40+40)*H28</f>
        <v>1296.1132748</v>
      </c>
      <c r="I113" s="5">
        <f>(32*4+256*4+2+20+40+40)*I28</f>
        <v>1288.1874885</v>
      </c>
      <c r="J113" s="5">
        <f>(32*4+256*4+2+40+40+40)*J28</f>
        <v>1308.7077093999999</v>
      </c>
      <c r="K113" s="1" t="s">
        <v>5</v>
      </c>
      <c r="M113" s="10" t="s">
        <v>19</v>
      </c>
      <c r="N113" s="11">
        <f>(32*4+256*4+2+10+40+80)*N28</f>
        <v>1337.6727408000002</v>
      </c>
      <c r="O113" s="5">
        <f>(32*4+256*4+2+20+40+80)*O28</f>
        <v>1329.1634795</v>
      </c>
      <c r="P113" s="5">
        <f>(32*4+256*4+2+40+40+80)*P28</f>
        <v>1349.6765453999999</v>
      </c>
      <c r="Q113" s="1" t="s">
        <v>5</v>
      </c>
    </row>
    <row r="114" spans="1:17" x14ac:dyDescent="0.3">
      <c r="A114" s="1" t="s">
        <v>16</v>
      </c>
      <c r="B114" s="11">
        <f>(64*4+256*4+2+10+40+20)*B29</f>
        <v>1392.0035844000001</v>
      </c>
      <c r="C114" s="5">
        <f>(64*4+256*4+2+20+40+20)*C29</f>
        <v>1399.2690189</v>
      </c>
      <c r="D114" s="5">
        <f>(64*4+256*4+2+40+40+20)*D29</f>
        <v>1419.8162188000001</v>
      </c>
      <c r="E114" s="1" t="s">
        <v>5</v>
      </c>
      <c r="G114" s="1" t="s">
        <v>16</v>
      </c>
      <c r="H114" s="11">
        <f>(64*4+256*4+2+10+40+20)*H29</f>
        <v>1391.8399924</v>
      </c>
      <c r="I114" s="5">
        <f>(64*4+256*4+2+20+40+20)*I29</f>
        <v>1399.1048979</v>
      </c>
      <c r="J114" s="5">
        <f>(64*4+256*4+2+40+40+20)*J29</f>
        <v>1419.6496878</v>
      </c>
      <c r="K114" s="1" t="s">
        <v>5</v>
      </c>
      <c r="M114" s="1" t="s">
        <v>16</v>
      </c>
      <c r="N114" s="11">
        <f>(64*4+256*4+2+10+40+20)*N29</f>
        <v>1391.7149324</v>
      </c>
      <c r="O114" s="5">
        <f>(64*4+256*4+2+20+40+20)*O29</f>
        <v>1398.9795939000001</v>
      </c>
      <c r="P114" s="5">
        <f>(64*4+256*4+2+40+40+20)*P29</f>
        <v>1419.5225438000002</v>
      </c>
      <c r="Q114" s="1" t="s">
        <v>5</v>
      </c>
    </row>
    <row r="115" spans="1:17" x14ac:dyDescent="0.3">
      <c r="A115" s="1" t="s">
        <v>14</v>
      </c>
      <c r="B115" s="11">
        <f>(128*4+256*4+2+10+40+20)*B30</f>
        <v>1652.0006687999999</v>
      </c>
      <c r="C115" s="5">
        <f>(128*4+256*4+2+20+40+20)*C30</f>
        <v>1662.2739812</v>
      </c>
      <c r="D115" s="5">
        <f>(128*4+256*4+2+40+40+20)*D30</f>
        <v>1682.8212492</v>
      </c>
      <c r="E115" s="1" t="s">
        <v>5</v>
      </c>
      <c r="G115" s="1" t="s">
        <v>14</v>
      </c>
      <c r="H115" s="11">
        <f>(128*4+256*4+2+10+40+20)*H30</f>
        <v>1651.8069048</v>
      </c>
      <c r="I115" s="5">
        <f>(128*4+256*4+2+20+40+20)*I30</f>
        <v>1662.0790122000001</v>
      </c>
      <c r="J115" s="5">
        <f>(128*4+256*4+2+40+40+20)*J30</f>
        <v>1682.6238702000001</v>
      </c>
      <c r="K115" s="1" t="s">
        <v>5</v>
      </c>
      <c r="M115" s="1" t="s">
        <v>14</v>
      </c>
      <c r="N115" s="11">
        <f>(128*4+256*4+2+10+40+20)*N30</f>
        <v>1651.6589687999999</v>
      </c>
      <c r="O115" s="5">
        <f>(128*4+256*4+2+20+40+20)*O30</f>
        <v>1661.9301562000001</v>
      </c>
      <c r="P115" s="5">
        <f>(128*4+256*4+2+40+40+20)*P30</f>
        <v>1682.4731742000001</v>
      </c>
      <c r="Q115" s="1" t="s">
        <v>5</v>
      </c>
    </row>
    <row r="116" spans="1:17" ht="14.5" thickBot="1" x14ac:dyDescent="0.35">
      <c r="A116" s="4" t="s">
        <v>20</v>
      </c>
      <c r="B116" s="12">
        <f>(256*4+128*4+2+10+40+20)*B31</f>
        <v>1652.3457456000001</v>
      </c>
      <c r="C116" s="12">
        <f>(256*4+128*4+2+20+40+20)*C31</f>
        <v>1662.6215276</v>
      </c>
      <c r="D116" s="12">
        <f>(256*4+128*4+2+40+40+20)*D31</f>
        <v>1683.1730915999999</v>
      </c>
      <c r="E116" s="2" t="s">
        <v>5</v>
      </c>
      <c r="G116" s="4" t="s">
        <v>20</v>
      </c>
      <c r="H116" s="12">
        <f>(256*4+128*4+2+10+40+20)*H31</f>
        <v>1652.0611295999997</v>
      </c>
      <c r="I116" s="12">
        <f>(256*4+128*4+2+20+40+20)*I31</f>
        <v>1662.3351415999998</v>
      </c>
      <c r="J116" s="12">
        <f>(256*4+128*4+2+40+40+20)*J31</f>
        <v>1682.8831655999998</v>
      </c>
      <c r="K116" s="2" t="s">
        <v>5</v>
      </c>
      <c r="M116" s="4" t="s">
        <v>20</v>
      </c>
      <c r="N116" s="12">
        <f>(256*4+128*4+2+10+40+20)*N31</f>
        <v>1651.8979175999998</v>
      </c>
      <c r="O116" s="12">
        <f>(256*4+128*4+2+20+40+20)*O31</f>
        <v>1662.1709145999998</v>
      </c>
      <c r="P116" s="12">
        <f>(256*4+128*4+2+40+40+20)*P31</f>
        <v>1682.7169085999999</v>
      </c>
      <c r="Q116" s="2" t="s">
        <v>5</v>
      </c>
    </row>
    <row r="117" spans="1:17" x14ac:dyDescent="0.3">
      <c r="A117" s="10" t="s">
        <v>19</v>
      </c>
      <c r="B117" s="11">
        <f>(32*4+256*4+2+10+80+20)*B32</f>
        <v>1317.0731479999999</v>
      </c>
      <c r="C117" s="5">
        <f>(32*4+256*4+2+20+80+20)*C32</f>
        <v>1308.8557482000001</v>
      </c>
      <c r="D117" s="5">
        <f>(32*4+256*4+2+40+80+20)*D32</f>
        <v>1329.3775071</v>
      </c>
      <c r="E117" t="s">
        <v>6</v>
      </c>
      <c r="G117" s="10" t="s">
        <v>19</v>
      </c>
      <c r="H117" s="11">
        <f>(32*4+256*4+2+10+80+40)*H32</f>
        <v>1337.7588330000001</v>
      </c>
      <c r="I117" s="5">
        <f>(32*4+256*4+2+20+80+40)*I32</f>
        <v>1329.2476541999999</v>
      </c>
      <c r="J117" s="5">
        <f>(32*4+256*4+2+40+80+40)*J32</f>
        <v>1349.7666201</v>
      </c>
      <c r="K117" s="1" t="s">
        <v>6</v>
      </c>
      <c r="M117" s="10" t="s">
        <v>19</v>
      </c>
      <c r="N117" s="11">
        <f>(32*4+256*4+2+10+80+80)*N32</f>
        <v>1379.313079</v>
      </c>
      <c r="O117" s="5">
        <f>(32*4+256*4+2+20+80+80)*O32</f>
        <v>1370.2185001999999</v>
      </c>
      <c r="P117" s="5">
        <f>(32*4+256*4+2+40+80+80)*P32</f>
        <v>1390.7301611</v>
      </c>
      <c r="Q117" s="1" t="s">
        <v>6</v>
      </c>
    </row>
    <row r="118" spans="1:17" x14ac:dyDescent="0.3">
      <c r="A118" s="1" t="s">
        <v>16</v>
      </c>
      <c r="B118" s="13">
        <f>(64*4+256*4+2+10+80+20)*B33</f>
        <v>1433.1537840000001</v>
      </c>
      <c r="C118" s="8">
        <f>(64*4+256*4+2+20+80+20)*C33</f>
        <v>1440.3299790000001</v>
      </c>
      <c r="D118" s="8">
        <f>(64*4+256*4+2+40+80+20)*D33</f>
        <v>1460.8766979</v>
      </c>
      <c r="E118" t="s">
        <v>6</v>
      </c>
      <c r="G118" s="1" t="s">
        <v>16</v>
      </c>
      <c r="H118" s="13">
        <f>(64*4+256*4+2+10+80+20)*H33</f>
        <v>1432.986048</v>
      </c>
      <c r="I118" s="8">
        <f>(64*4+256*4+2+20+80+20)*I33</f>
        <v>1440.1617389999999</v>
      </c>
      <c r="J118" s="8">
        <f>(64*4+256*4+2+40+80+20)*J33</f>
        <v>1460.7060579000001</v>
      </c>
      <c r="K118" s="1" t="s">
        <v>6</v>
      </c>
      <c r="M118" s="1" t="s">
        <v>16</v>
      </c>
      <c r="N118" s="13">
        <f>(64*4+256*4+2+10+80+20)*N33</f>
        <v>1432.8565919999999</v>
      </c>
      <c r="O118" s="8">
        <f>(64*4+256*4+2+20+80+20)*O33</f>
        <v>1440.0320539999998</v>
      </c>
      <c r="P118" s="8">
        <f>(64*4+256*4+2+40+80+20)*P33</f>
        <v>1460.5745228999999</v>
      </c>
      <c r="Q118" s="1" t="s">
        <v>6</v>
      </c>
    </row>
    <row r="119" spans="1:17" x14ac:dyDescent="0.3">
      <c r="A119" s="1" t="s">
        <v>14</v>
      </c>
      <c r="B119" s="13">
        <f>(128*4+256*4+2+10+80+20)*B34</f>
        <v>1693.0557432000001</v>
      </c>
      <c r="C119" s="8">
        <f>(128*4+256*4+2+20+80+20)*C34</f>
        <v>1703.3288080999998</v>
      </c>
      <c r="D119" s="8">
        <f>(128*4+256*4+2+40+80+20)*D34</f>
        <v>1723.8755970999998</v>
      </c>
      <c r="E119" s="1" t="s">
        <v>6</v>
      </c>
      <c r="G119" s="1" t="s">
        <v>14</v>
      </c>
      <c r="H119" s="13">
        <f>(128*4+256*4+2+10+80+20)*H34</f>
        <v>1692.8579831999998</v>
      </c>
      <c r="I119" s="8">
        <f>(128*4+256*4+2+20+80+20)*I34</f>
        <v>1703.1298481000001</v>
      </c>
      <c r="J119" s="8">
        <f>(128*4+256*4+2+40+80+20)*J34</f>
        <v>1723.6742371</v>
      </c>
      <c r="K119" s="1" t="s">
        <v>6</v>
      </c>
      <c r="M119" s="1" t="s">
        <v>14</v>
      </c>
      <c r="N119" s="13">
        <f>(128*4+256*4+2+10+80+20)*N34</f>
        <v>1692.7055432000002</v>
      </c>
      <c r="O119" s="8">
        <f>(128*4+256*4+2+20+80+20)*O34</f>
        <v>1702.9764831</v>
      </c>
      <c r="P119" s="8">
        <f>(128*4+256*4+2+40+80+20)*P34</f>
        <v>1723.5190221</v>
      </c>
      <c r="Q119" s="1" t="s">
        <v>6</v>
      </c>
    </row>
    <row r="120" spans="1:17" ht="14.5" thickBot="1" x14ac:dyDescent="0.35">
      <c r="A120" s="4" t="s">
        <v>20</v>
      </c>
      <c r="B120" s="12">
        <f>(256*4+128*4+2+10+80+20)*B35</f>
        <v>1693.3209064</v>
      </c>
      <c r="C120" s="12">
        <f>(256*4+128*4+2+20+80+20)*C35</f>
        <v>1703.5959119000001</v>
      </c>
      <c r="D120" s="12">
        <f>(256*4+128*4+2+40+80+20)*D35</f>
        <v>1724.1459229000002</v>
      </c>
      <c r="E120" s="2" t="s">
        <v>6</v>
      </c>
      <c r="G120" s="4" t="s">
        <v>20</v>
      </c>
      <c r="H120" s="12">
        <f>(256*4+128*4+2+10+80+20)*H35</f>
        <v>1693.0860663999999</v>
      </c>
      <c r="I120" s="12">
        <f>(256*4+128*4+2+20+80+20)*I35</f>
        <v>1703.3596468999999</v>
      </c>
      <c r="J120" s="12">
        <f>(256*4+128*4+2+40+80+20)*J35</f>
        <v>1723.9068078999999</v>
      </c>
      <c r="K120" s="2" t="s">
        <v>6</v>
      </c>
      <c r="M120" s="4" t="s">
        <v>20</v>
      </c>
      <c r="N120" s="12">
        <f>(256*4+128*4+2+10+80+20)*N35</f>
        <v>1692.9286824000001</v>
      </c>
      <c r="O120" s="12">
        <f>(256*4+128*4+2+20+80+20)*O35</f>
        <v>1703.2013079000001</v>
      </c>
      <c r="P120" s="12">
        <f>(256*4+128*4+2+40+80+20)*P35</f>
        <v>1723.7465589000001</v>
      </c>
      <c r="Q120" s="2" t="s">
        <v>6</v>
      </c>
    </row>
    <row r="124" spans="1:17" x14ac:dyDescent="0.3">
      <c r="A124" s="21" t="s">
        <v>7</v>
      </c>
      <c r="B124" s="23" t="s">
        <v>10</v>
      </c>
      <c r="C124" s="23" t="s">
        <v>18</v>
      </c>
      <c r="G124" s="21" t="s">
        <v>7</v>
      </c>
      <c r="H124" s="23" t="s">
        <v>11</v>
      </c>
      <c r="I124" s="23" t="s">
        <v>18</v>
      </c>
      <c r="M124" s="21" t="s">
        <v>7</v>
      </c>
      <c r="N124" s="23" t="s">
        <v>12</v>
      </c>
      <c r="O124" s="23" t="s">
        <v>18</v>
      </c>
    </row>
    <row r="125" spans="1:17" x14ac:dyDescent="0.3">
      <c r="A125" s="22"/>
      <c r="B125" s="23"/>
      <c r="C125" s="23"/>
      <c r="G125" s="22"/>
      <c r="H125" s="23"/>
      <c r="I125" s="23"/>
      <c r="M125" s="22"/>
      <c r="N125" s="23"/>
      <c r="O125" s="23"/>
    </row>
    <row r="126" spans="1:17" ht="14.5" thickBot="1" x14ac:dyDescent="0.35">
      <c r="B126" s="4" t="s">
        <v>0</v>
      </c>
      <c r="C126" s="2" t="s">
        <v>1</v>
      </c>
      <c r="D126" s="2" t="s">
        <v>2</v>
      </c>
      <c r="H126" s="4" t="s">
        <v>0</v>
      </c>
      <c r="I126" s="2" t="s">
        <v>1</v>
      </c>
      <c r="J126" s="2" t="s">
        <v>2</v>
      </c>
      <c r="N126" s="4" t="s">
        <v>0</v>
      </c>
      <c r="O126" s="2" t="s">
        <v>1</v>
      </c>
      <c r="P126" s="2" t="s">
        <v>2</v>
      </c>
    </row>
    <row r="127" spans="1:17" x14ac:dyDescent="0.3">
      <c r="A127" s="1" t="s">
        <v>16</v>
      </c>
      <c r="B127" s="13">
        <f>(64*4+256*4+8+10+80+20)*B42</f>
        <v>1464.8559948</v>
      </c>
      <c r="C127" s="8">
        <f>(64*4+256*4+8+20+80+20)*C42</f>
        <v>1473.0450943999999</v>
      </c>
      <c r="D127" s="8">
        <f>(64*4+256*4+8+40+80+20)*D42</f>
        <v>1493.9690303999998</v>
      </c>
      <c r="E127" s="16" t="s">
        <v>4</v>
      </c>
      <c r="G127" s="16" t="s">
        <v>16</v>
      </c>
      <c r="H127" s="13">
        <f>(64*4+256*4+8+10+80+20)*H42</f>
        <v>1464.8126568</v>
      </c>
      <c r="I127" s="8">
        <f>(64*4+256*4+8+20+80+20)*I42</f>
        <v>1473.0014464000001</v>
      </c>
      <c r="J127" s="8">
        <f>(64*4+256*4+8+40+80+20)*J42</f>
        <v>1493.9247624</v>
      </c>
      <c r="K127" s="1" t="s">
        <v>4</v>
      </c>
      <c r="M127" s="1" t="s">
        <v>16</v>
      </c>
      <c r="N127" s="13">
        <f>(64*4+256*4+8+10+80+20)*N42</f>
        <v>1464.8469077999998</v>
      </c>
      <c r="O127" s="8">
        <f>(64*4+256*4+8+20+80+20)*O42</f>
        <v>1473.0359423999998</v>
      </c>
      <c r="P127" s="8">
        <f>(64*4+256*4+8+40+80+20)*P42</f>
        <v>1493.9597483999999</v>
      </c>
      <c r="Q127" s="1" t="s">
        <v>4</v>
      </c>
    </row>
    <row r="128" spans="1:17" x14ac:dyDescent="0.3">
      <c r="A128" s="1" t="s">
        <v>14</v>
      </c>
      <c r="B128" s="13">
        <f>(128*4+256*4+8+10+80+20)*B43</f>
        <v>1730.4097552999999</v>
      </c>
      <c r="C128" s="8">
        <f>(128*4+256*4+8+20+80+20)*C43</f>
        <v>1740.8714751999998</v>
      </c>
      <c r="D128" s="8">
        <f>(128*4+256*4+8+40+80+20)*D43</f>
        <v>1761.7954112</v>
      </c>
      <c r="E128" s="16" t="s">
        <v>4</v>
      </c>
      <c r="G128" s="16" t="s">
        <v>14</v>
      </c>
      <c r="H128" s="13">
        <f>(128*4+256*4+8+10+80+20)*H43</f>
        <v>1730.3584813</v>
      </c>
      <c r="I128" s="8">
        <f>(128*4+256*4+8+20+80+20)*I43</f>
        <v>1740.8198912</v>
      </c>
      <c r="J128" s="8">
        <f>(128*4+256*4+8+40+80+20)*J43</f>
        <v>1761.7432072000001</v>
      </c>
      <c r="K128" s="1" t="s">
        <v>4</v>
      </c>
      <c r="M128" s="1" t="s">
        <v>14</v>
      </c>
      <c r="N128" s="13">
        <f>(128*4+256*4+8+10+80+20)*N43</f>
        <v>1730.3990043000001</v>
      </c>
      <c r="O128" s="8">
        <f>(128*4+256*4+8+20+80+20)*O43</f>
        <v>1740.8606591999999</v>
      </c>
      <c r="P128" s="8">
        <f>(128*4+256*4+8+40+80+20)*P43</f>
        <v>1761.7844651999999</v>
      </c>
      <c r="Q128" s="1" t="s">
        <v>4</v>
      </c>
    </row>
    <row r="129" spans="1:17" x14ac:dyDescent="0.3">
      <c r="A129" s="1" t="s">
        <v>20</v>
      </c>
      <c r="B129" s="13">
        <f>(256*4+128*4+8+10+80+20)*B44</f>
        <v>1730.6160918</v>
      </c>
      <c r="C129" s="13">
        <f>(256*4+128*4+8+20+80+20)*C44</f>
        <v>1741.0793088</v>
      </c>
      <c r="D129" s="13">
        <f>(256*4+128*4+8+40+80+20)*D44</f>
        <v>1762.0057428</v>
      </c>
      <c r="E129" s="16" t="s">
        <v>4</v>
      </c>
      <c r="G129" s="1" t="s">
        <v>20</v>
      </c>
      <c r="H129" s="13">
        <f>(256*4+128*4+8+10+80+20)*H44</f>
        <v>1730.5714338</v>
      </c>
      <c r="I129" s="13">
        <f>(256*4+128*4+8+20+80+20)*I44</f>
        <v>1741.0343808</v>
      </c>
      <c r="J129" s="13">
        <f>(256*4+128*4+8+40+80+20)*J44</f>
        <v>1761.9602748</v>
      </c>
      <c r="K129" s="1" t="s">
        <v>4</v>
      </c>
      <c r="M129" s="1" t="s">
        <v>20</v>
      </c>
      <c r="N129" s="13">
        <f>(256*4+128*4+8+10+80+20)*N44</f>
        <v>1730.6127838</v>
      </c>
      <c r="O129" s="13">
        <f>(256*4+128*4+8+20+80+20)*O44</f>
        <v>1741.0759808</v>
      </c>
      <c r="P129" s="13">
        <f>(256*4+128*4+8+40+80+20)*P44</f>
        <v>1762.0023747999999</v>
      </c>
      <c r="Q129" s="1" t="s">
        <v>4</v>
      </c>
    </row>
    <row r="130" spans="1:17" ht="14.5" thickBot="1" x14ac:dyDescent="0.35">
      <c r="A130" s="4" t="s">
        <v>15</v>
      </c>
      <c r="B130" s="12">
        <f>(256*4+256*4+8+10+80+20)*B45</f>
        <v>2266.0624853999998</v>
      </c>
      <c r="C130" s="6">
        <f>(256*4+256*4+8+20+80+20)*C45</f>
        <v>2276.5242367999999</v>
      </c>
      <c r="D130" s="6">
        <f>(256*4+256*4+8+40+80+20)*D45</f>
        <v>2297.4481728000001</v>
      </c>
      <c r="E130" s="19" t="s">
        <v>4</v>
      </c>
      <c r="G130" s="18" t="s">
        <v>15</v>
      </c>
      <c r="H130" s="12">
        <f>(256*4+256*4+8+10+80+20)*H45</f>
        <v>2265.9953394000004</v>
      </c>
      <c r="I130" s="6">
        <f>(256*4+256*4+8+20+80+20)*I45</f>
        <v>2276.4567808000002</v>
      </c>
      <c r="J130" s="6">
        <f>(256*4+256*4+8+40+80+20)*J45</f>
        <v>2297.3800968</v>
      </c>
      <c r="K130" s="2" t="s">
        <v>4</v>
      </c>
      <c r="M130" s="4" t="s">
        <v>15</v>
      </c>
      <c r="N130" s="12">
        <f>(256*4+256*4+8+10+80+20)*N45</f>
        <v>2266.0484063999997</v>
      </c>
      <c r="O130" s="6">
        <f>(256*4+256*4+8+20+80+20)*O45</f>
        <v>2276.5100927999997</v>
      </c>
      <c r="P130" s="6">
        <f>(256*4+256*4+8+40+80+20)*P45</f>
        <v>2297.4338988</v>
      </c>
      <c r="Q130" s="2" t="s">
        <v>4</v>
      </c>
    </row>
    <row r="131" spans="1:17" x14ac:dyDescent="0.3">
      <c r="A131" s="1" t="s">
        <v>16</v>
      </c>
      <c r="B131" s="11">
        <f>(64*4+256*4+8+10+40+20)*B46</f>
        <v>1422.8654132000001</v>
      </c>
      <c r="C131" s="5">
        <f>(64*4+256*4+8+20+40+20)*C46</f>
        <v>1431.1189728000002</v>
      </c>
      <c r="D131" s="5">
        <f>(64*4+256*4+8+40+40+20)*D46</f>
        <v>1452.0417648</v>
      </c>
      <c r="E131" s="16" t="s">
        <v>5</v>
      </c>
      <c r="G131" s="16" t="s">
        <v>16</v>
      </c>
      <c r="H131" s="11">
        <f>(64*4+256*4+8+10+40+20)*H46</f>
        <v>1422.8491171999999</v>
      </c>
      <c r="I131" s="5">
        <f>(64*4+256*4+8+20+40+20)*I46</f>
        <v>1431.1025568</v>
      </c>
      <c r="J131" s="5">
        <f>(64*4+256*4+8+40+40+20)*J46</f>
        <v>1452.0251088</v>
      </c>
      <c r="K131" s="1" t="s">
        <v>5</v>
      </c>
      <c r="M131" s="1" t="s">
        <v>16</v>
      </c>
      <c r="N131" s="11">
        <f>(64*4+256*4+8+10+40+20)*N46</f>
        <v>1422.8837461999999</v>
      </c>
      <c r="O131" s="5">
        <f>(64*4+256*4+8+20+40+20)*O46</f>
        <v>1431.1374407999999</v>
      </c>
      <c r="P131" s="5">
        <f>(64*4+256*4+8+40+40+20)*P46</f>
        <v>1452.0605028</v>
      </c>
      <c r="Q131" s="1" t="s">
        <v>5</v>
      </c>
    </row>
    <row r="132" spans="1:17" x14ac:dyDescent="0.3">
      <c r="A132" s="1" t="s">
        <v>14</v>
      </c>
      <c r="B132" s="11">
        <f>(128*4+256*4+8+10+40+20)*B47</f>
        <v>1688.4695565</v>
      </c>
      <c r="C132" s="5">
        <f>(128*4+256*4+8+20+40+20)*C47</f>
        <v>1698.9307104000002</v>
      </c>
      <c r="D132" s="5">
        <f>(128*4+256*4+8+40+40+20)*D47</f>
        <v>1719.8535024</v>
      </c>
      <c r="E132" s="16" t="s">
        <v>5</v>
      </c>
      <c r="G132" s="16" t="s">
        <v>14</v>
      </c>
      <c r="H132" s="11">
        <f>(128*4+256*4+8+10+40+20)*H47</f>
        <v>1688.4501885</v>
      </c>
      <c r="I132" s="5">
        <f>(128*4+256*4+8+20+40+20)*I47</f>
        <v>1698.9112223999998</v>
      </c>
      <c r="J132" s="5">
        <f>(128*4+256*4+8+40+40+20)*J47</f>
        <v>1719.8337743999998</v>
      </c>
      <c r="K132" s="1" t="s">
        <v>5</v>
      </c>
      <c r="M132" s="1" t="s">
        <v>14</v>
      </c>
      <c r="N132" s="11">
        <f>(128*4+256*4+8+10+40+20)*N47</f>
        <v>1688.4913454999999</v>
      </c>
      <c r="O132" s="5">
        <f>(128*4+256*4+8+20+40+20)*O47</f>
        <v>1698.9526343999999</v>
      </c>
      <c r="P132" s="5">
        <f>(128*4+256*4+8+40+40+20)*P47</f>
        <v>1719.8756963999999</v>
      </c>
      <c r="Q132" s="1" t="s">
        <v>5</v>
      </c>
    </row>
    <row r="133" spans="1:17" x14ac:dyDescent="0.3">
      <c r="A133" s="1" t="s">
        <v>20</v>
      </c>
      <c r="B133" s="11">
        <f>(256*4+128*4+8+10+40+20)*B48</f>
        <v>1688.6352335999998</v>
      </c>
      <c r="C133" s="11">
        <f>(256*4+128*4+8+20+40+20)*C48</f>
        <v>1699.0976575999998</v>
      </c>
      <c r="D133" s="11">
        <f>(256*4+128*4+8+40+40+20)*D48</f>
        <v>1720.0225055999999</v>
      </c>
      <c r="E133" s="16" t="s">
        <v>5</v>
      </c>
      <c r="G133" s="1" t="s">
        <v>20</v>
      </c>
      <c r="H133" s="11">
        <f>(256*4+128*4+8+10+40+20)*H48</f>
        <v>1688.5916555999997</v>
      </c>
      <c r="I133" s="11">
        <f>(256*4+128*4+8+20+40+20)*I48</f>
        <v>1699.0538095999998</v>
      </c>
      <c r="J133" s="11">
        <f>(256*4+128*4+8+40+40+20)*J48</f>
        <v>1719.9781175999999</v>
      </c>
      <c r="K133" s="1" t="s">
        <v>5</v>
      </c>
      <c r="M133" s="1" t="s">
        <v>20</v>
      </c>
      <c r="N133" s="11">
        <f>(256*4+128*4+8+10+40+20)*N48</f>
        <v>1688.6311986000001</v>
      </c>
      <c r="O133" s="11">
        <f>(256*4+128*4+8+20+40+20)*O48</f>
        <v>1699.0935976000001</v>
      </c>
      <c r="P133" s="11">
        <f>(256*4+128*4+8+40+40+20)*P48</f>
        <v>1720.0183956000001</v>
      </c>
      <c r="Q133" s="1" t="s">
        <v>5</v>
      </c>
    </row>
    <row r="134" spans="1:17" ht="14.5" thickBot="1" x14ac:dyDescent="0.35">
      <c r="A134" s="4" t="s">
        <v>15</v>
      </c>
      <c r="B134" s="12">
        <f>(256*4+256*4+8+10+40+20)*B49</f>
        <v>2224.0930021999998</v>
      </c>
      <c r="C134" s="6">
        <f>(256*4+256*4+8+20+40+20)*C49</f>
        <v>2234.5541856</v>
      </c>
      <c r="D134" s="6">
        <f>(256*4+256*4+8+40+40+20)*D49</f>
        <v>2255.4769776000003</v>
      </c>
      <c r="E134" s="19" t="s">
        <v>5</v>
      </c>
      <c r="G134" s="18" t="s">
        <v>15</v>
      </c>
      <c r="H134" s="12">
        <f>(256*4+256*4+8+10+40+20)*H49</f>
        <v>2224.0674902000001</v>
      </c>
      <c r="I134" s="6">
        <f>(256*4+256*4+8+20+40+20)*I49</f>
        <v>2234.5285535999997</v>
      </c>
      <c r="J134" s="6">
        <f>(256*4+256*4+8+40+40+20)*J49</f>
        <v>2255.4511055999997</v>
      </c>
      <c r="K134" s="2" t="s">
        <v>5</v>
      </c>
      <c r="M134" s="4" t="s">
        <v>15</v>
      </c>
      <c r="N134" s="12">
        <f>(256*4+256*4+8+10+40+20)*N49</f>
        <v>2224.1217032</v>
      </c>
      <c r="O134" s="6">
        <f>(256*4+256*4+8+20+40+20)*O49</f>
        <v>2234.5830215999999</v>
      </c>
      <c r="P134" s="6">
        <f>(256*4+256*4+8+40+40+20)*P49</f>
        <v>2255.5060835999998</v>
      </c>
      <c r="Q134" s="2" t="s">
        <v>5</v>
      </c>
    </row>
    <row r="135" spans="1:17" x14ac:dyDescent="0.3">
      <c r="A135" s="1" t="s">
        <v>16</v>
      </c>
      <c r="B135" s="13">
        <f>(64*4+256*4+8+10+80+20)*B50</f>
        <v>1464.7593231000001</v>
      </c>
      <c r="C135" s="8">
        <f>(64*4+256*4+8+20+80+20)*C50</f>
        <v>1472.9477312000001</v>
      </c>
      <c r="D135" s="8">
        <f>(64*4+256*4+8+40+80+20)*D50</f>
        <v>1493.8702842</v>
      </c>
      <c r="E135" s="17" t="s">
        <v>6</v>
      </c>
      <c r="G135" s="16" t="s">
        <v>16</v>
      </c>
      <c r="H135" s="13">
        <f>(64*4+256*4+8+10+80+20)*H50</f>
        <v>1464.7453431000001</v>
      </c>
      <c r="I135" s="8">
        <f>(64*4+256*4+8+20+80+20)*I50</f>
        <v>1472.9336512</v>
      </c>
      <c r="J135" s="8">
        <f>(64*4+256*4+8+40+80+20)*J50</f>
        <v>1493.8560041999999</v>
      </c>
      <c r="K135" t="s">
        <v>6</v>
      </c>
      <c r="M135" s="1" t="s">
        <v>16</v>
      </c>
      <c r="N135" s="13">
        <f>(64*4+256*4+8+10+80+20)*N50</f>
        <v>1464.7809921</v>
      </c>
      <c r="O135" s="8">
        <f>(64*4+256*4+8+20+80+20)*O50</f>
        <v>1472.9695552000001</v>
      </c>
      <c r="P135" s="8">
        <f>(64*4+256*4+8+40+80+20)*P50</f>
        <v>1493.8924182000001</v>
      </c>
      <c r="Q135" t="s">
        <v>6</v>
      </c>
    </row>
    <row r="136" spans="1:17" x14ac:dyDescent="0.3">
      <c r="A136" s="1" t="s">
        <v>14</v>
      </c>
      <c r="B136" s="13">
        <f>(128*4+256*4+8+10+80+20)*B51</f>
        <v>1730.2953812000001</v>
      </c>
      <c r="C136" s="8">
        <f>(128*4+256*4+8+20+80+20)*C51</f>
        <v>1740.7564096000001</v>
      </c>
      <c r="D136" s="8">
        <f>(128*4+256*4+8+40+80+20)*D51</f>
        <v>1761.6789626000002</v>
      </c>
      <c r="E136" s="17" t="s">
        <v>6</v>
      </c>
      <c r="G136" s="16" t="s">
        <v>14</v>
      </c>
      <c r="H136" s="13">
        <f>(128*4+256*4+8+10+80+20)*H51</f>
        <v>1730.2788412</v>
      </c>
      <c r="I136" s="8">
        <f>(128*4+256*4+8+20+80+20)*I51</f>
        <v>1740.7397696</v>
      </c>
      <c r="J136" s="8">
        <f>(128*4+256*4+8+40+80+20)*J51</f>
        <v>1761.6621226</v>
      </c>
      <c r="K136" t="s">
        <v>6</v>
      </c>
      <c r="M136" s="1" t="s">
        <v>14</v>
      </c>
      <c r="N136" s="13">
        <f>(128*4+256*4+8+10+80+20)*N51</f>
        <v>1730.3210182</v>
      </c>
      <c r="O136" s="8">
        <f>(128*4+256*4+8+20+80+20)*O51</f>
        <v>1740.7822016</v>
      </c>
      <c r="P136" s="8">
        <f>(128*4+256*4+8+40+80+20)*P51</f>
        <v>1761.7050646</v>
      </c>
      <c r="Q136" t="s">
        <v>6</v>
      </c>
    </row>
    <row r="137" spans="1:17" x14ac:dyDescent="0.3">
      <c r="A137" s="1" t="s">
        <v>20</v>
      </c>
      <c r="B137" s="13">
        <f>(256*4+128*4+8+10+80+20)*B52</f>
        <v>1730.4253029000001</v>
      </c>
      <c r="C137" s="13">
        <f>(256*4+128*4+8+20+80+20)*C52</f>
        <v>1740.8873664</v>
      </c>
      <c r="D137" s="13">
        <f>(256*4+128*4+8+40+80+20)*D52</f>
        <v>1761.8114934</v>
      </c>
      <c r="E137" s="17" t="s">
        <v>6</v>
      </c>
      <c r="G137" s="1" t="s">
        <v>20</v>
      </c>
      <c r="H137" s="13">
        <f>(256*4+128*4+8+10+80+20)*H52</f>
        <v>1730.4004929</v>
      </c>
      <c r="I137" s="13">
        <f>(256*4+128*4+8+20+80+20)*I52</f>
        <v>1740.8624064000001</v>
      </c>
      <c r="J137" s="13">
        <f>(256*4+128*4+8+40+80+20)*J52</f>
        <v>1761.7862333999999</v>
      </c>
      <c r="K137" t="s">
        <v>6</v>
      </c>
      <c r="M137" s="1" t="s">
        <v>20</v>
      </c>
      <c r="N137" s="13">
        <f>(256*4+128*4+8+10+80+20)*N52</f>
        <v>1730.4418428999998</v>
      </c>
      <c r="O137" s="13">
        <f>(256*4+128*4+8+20+80+20)*O52</f>
        <v>1740.9040063999998</v>
      </c>
      <c r="P137" s="13">
        <f>(256*4+128*4+8+40+80+20)*P52</f>
        <v>1761.8283333999998</v>
      </c>
      <c r="Q137" t="s">
        <v>6</v>
      </c>
    </row>
    <row r="138" spans="1:17" ht="14.5" thickBot="1" x14ac:dyDescent="0.35">
      <c r="A138" s="4" t="s">
        <v>15</v>
      </c>
      <c r="B138" s="12">
        <f>(256*4+256*4+8+10+80+20)*B53</f>
        <v>2265.9127064999998</v>
      </c>
      <c r="C138" s="6">
        <f>(256*4+256*4+8+20+80+20)*C53</f>
        <v>2276.3737664</v>
      </c>
      <c r="D138" s="6">
        <f>(256*4+256*4+8+40+80+20)*D53</f>
        <v>2297.2963194000004</v>
      </c>
      <c r="E138" s="19" t="s">
        <v>6</v>
      </c>
      <c r="G138" s="18" t="s">
        <v>15</v>
      </c>
      <c r="H138" s="12">
        <f>(256*4+256*4+8+10+80+20)*H53</f>
        <v>2265.8910465000004</v>
      </c>
      <c r="I138" s="6">
        <f>(256*4+256*4+8+20+80+20)*I53</f>
        <v>2276.3520063999999</v>
      </c>
      <c r="J138" s="6">
        <f>(256*4+256*4+8+40+80+20)*J53</f>
        <v>2297.2743593999999</v>
      </c>
      <c r="K138" s="2" t="s">
        <v>6</v>
      </c>
      <c r="M138" s="4" t="s">
        <v>15</v>
      </c>
      <c r="N138" s="12">
        <f>(256*4+256*4+8+10+80+20)*N53</f>
        <v>2265.9462794999999</v>
      </c>
      <c r="O138" s="6">
        <f>(256*4+256*4+8+20+80+20)*O53</f>
        <v>2276.4074943999999</v>
      </c>
      <c r="P138" s="6">
        <f>(256*4+256*4+8+40+80+20)*P53</f>
        <v>2297.3303574000001</v>
      </c>
      <c r="Q138" s="2" t="s">
        <v>6</v>
      </c>
    </row>
    <row r="139" spans="1:17" x14ac:dyDescent="0.3">
      <c r="B139" s="20"/>
      <c r="C139" s="17"/>
      <c r="D139" s="17"/>
      <c r="E139" s="17"/>
      <c r="G139" s="17"/>
      <c r="H139" s="20"/>
      <c r="I139" s="17"/>
      <c r="J139" s="17"/>
      <c r="N139" s="9"/>
    </row>
    <row r="140" spans="1:17" x14ac:dyDescent="0.3">
      <c r="B140" s="20"/>
      <c r="C140" s="17"/>
      <c r="D140" s="17"/>
      <c r="E140" s="17"/>
      <c r="G140" s="17"/>
      <c r="H140" s="20"/>
      <c r="I140" s="17"/>
      <c r="J140" s="17"/>
      <c r="N140" s="9"/>
    </row>
    <row r="141" spans="1:17" x14ac:dyDescent="0.3">
      <c r="A141" s="21" t="s">
        <v>8</v>
      </c>
      <c r="B141" s="23" t="s">
        <v>10</v>
      </c>
      <c r="C141" s="23" t="s">
        <v>18</v>
      </c>
      <c r="D141" s="17"/>
      <c r="E141" s="17"/>
      <c r="G141" s="24" t="s">
        <v>8</v>
      </c>
      <c r="H141" s="23" t="s">
        <v>11</v>
      </c>
      <c r="I141" s="23" t="s">
        <v>18</v>
      </c>
      <c r="J141" s="17"/>
      <c r="M141" s="21" t="s">
        <v>8</v>
      </c>
      <c r="N141" s="23" t="s">
        <v>12</v>
      </c>
      <c r="O141" s="23" t="s">
        <v>18</v>
      </c>
    </row>
    <row r="142" spans="1:17" x14ac:dyDescent="0.3">
      <c r="A142" s="22"/>
      <c r="B142" s="23"/>
      <c r="C142" s="23"/>
      <c r="D142" s="17"/>
      <c r="E142" s="17"/>
      <c r="G142" s="25"/>
      <c r="H142" s="23"/>
      <c r="I142" s="23"/>
      <c r="J142" s="17"/>
      <c r="M142" s="22"/>
      <c r="N142" s="23"/>
      <c r="O142" s="23"/>
    </row>
    <row r="143" spans="1:17" x14ac:dyDescent="0.3">
      <c r="B143" s="9" t="s">
        <v>1</v>
      </c>
      <c r="C143" t="s">
        <v>2</v>
      </c>
      <c r="D143" t="s">
        <v>3</v>
      </c>
      <c r="E143" s="17"/>
      <c r="G143" s="17"/>
      <c r="H143" s="9" t="s">
        <v>1</v>
      </c>
      <c r="I143" t="s">
        <v>2</v>
      </c>
      <c r="J143" t="s">
        <v>3</v>
      </c>
      <c r="N143" s="9" t="s">
        <v>1</v>
      </c>
      <c r="O143" t="s">
        <v>2</v>
      </c>
      <c r="P143" t="s">
        <v>3</v>
      </c>
    </row>
    <row r="144" spans="1:17" x14ac:dyDescent="0.3">
      <c r="A144" s="1" t="s">
        <v>16</v>
      </c>
      <c r="B144" s="13">
        <f>(64*4+256*4+8+10+80+20)*B59</f>
        <v>1431.0740936999998</v>
      </c>
      <c r="C144" s="8">
        <f>(64*4+256*4+8+20+80+20)*C59</f>
        <v>1441.3106048</v>
      </c>
      <c r="D144" s="8">
        <f>(64*4+256*4+8+40+80+20)*D59</f>
        <v>1461.7837668</v>
      </c>
      <c r="E144" s="16" t="s">
        <v>4</v>
      </c>
      <c r="G144" s="16" t="s">
        <v>16</v>
      </c>
      <c r="H144" s="13">
        <f>(64*4+256*4+8+10+80+20)*H59</f>
        <v>1431.0090867000001</v>
      </c>
      <c r="I144" s="8">
        <f>(64*4+256*4+8+20+80+20)*I59</f>
        <v>1441.2451328</v>
      </c>
      <c r="J144" s="8">
        <f>(64*4+256*4+8+40+80+20)*J59</f>
        <v>1461.7173648</v>
      </c>
      <c r="K144" s="1" t="s">
        <v>4</v>
      </c>
      <c r="M144" s="1" t="s">
        <v>16</v>
      </c>
      <c r="N144" s="13">
        <f>(64*4+256*4+8+10+80+20)*N59</f>
        <v>1431.0803847</v>
      </c>
      <c r="O144" s="8">
        <f>(64*4+256*4+8+20+80+20)*O59</f>
        <v>1441.3169407999999</v>
      </c>
      <c r="P144" s="8">
        <f>(64*4+256*4+8+40+80+20)*P59</f>
        <v>1461.7901927999999</v>
      </c>
      <c r="Q144" s="1" t="s">
        <v>4</v>
      </c>
    </row>
    <row r="145" spans="1:17" x14ac:dyDescent="0.3">
      <c r="A145" s="1" t="s">
        <v>14</v>
      </c>
      <c r="B145" s="13">
        <f>(128*4+256*4+8+10+80+20)*B60</f>
        <v>1693.1304974</v>
      </c>
      <c r="C145" s="8">
        <f>(128*4+256*4+8+20+80+20)*C60</f>
        <v>1703.3670784000001</v>
      </c>
      <c r="D145" s="8">
        <f>(128*4+256*4+8+40+80+20)*D60</f>
        <v>1723.8402404000001</v>
      </c>
      <c r="E145" s="16" t="s">
        <v>4</v>
      </c>
      <c r="G145" s="16" t="s">
        <v>14</v>
      </c>
      <c r="H145" s="13">
        <f>(128*4+256*4+8+10+80+20)*H60</f>
        <v>1693.0535863999999</v>
      </c>
      <c r="I145" s="8">
        <f>(128*4+256*4+8+20+80+20)*I60</f>
        <v>1703.2897023999999</v>
      </c>
      <c r="J145" s="8">
        <f>(128*4+256*4+8+40+80+20)*J60</f>
        <v>1723.7619344</v>
      </c>
      <c r="K145" s="1" t="s">
        <v>4</v>
      </c>
      <c r="M145" s="1" t="s">
        <v>14</v>
      </c>
      <c r="N145" s="13">
        <f>(128*4+256*4+8+10+80+20)*N60</f>
        <v>1693.1379403999999</v>
      </c>
      <c r="O145" s="8">
        <f>(128*4+256*4+8+20+80+20)*O60</f>
        <v>1703.3745664</v>
      </c>
      <c r="P145" s="8">
        <f>(128*4+256*4+8+40+80+20)*P60</f>
        <v>1723.8478184000001</v>
      </c>
      <c r="Q145" s="1" t="s">
        <v>4</v>
      </c>
    </row>
    <row r="146" spans="1:17" x14ac:dyDescent="0.3">
      <c r="A146" s="1" t="s">
        <v>20</v>
      </c>
      <c r="B146" s="13">
        <f>(256*4+128*4+8+10+80+20)*B61</f>
        <v>1693.3579223999998</v>
      </c>
      <c r="C146" s="13">
        <f>(256*4+128*4+8+20+80+20)*C61</f>
        <v>1703.5958783999999</v>
      </c>
      <c r="D146" s="13">
        <f>(256*4+128*4+8+40+80+20)*D61</f>
        <v>1724.0717903999998</v>
      </c>
      <c r="E146" s="16" t="s">
        <v>4</v>
      </c>
      <c r="G146" s="1" t="s">
        <v>20</v>
      </c>
      <c r="H146" s="13">
        <f>(256*4+128*4+8+10+80+20)*H61</f>
        <v>1693.2892814000002</v>
      </c>
      <c r="I146" s="13">
        <f>(256*4+128*4+8+20+80+20)*I61</f>
        <v>1703.5268224000001</v>
      </c>
      <c r="J146" s="13">
        <f>(256*4+128*4+8+40+80+20)*J61</f>
        <v>1724.0019044000003</v>
      </c>
      <c r="K146" s="1" t="s">
        <v>4</v>
      </c>
      <c r="M146" s="1" t="s">
        <v>20</v>
      </c>
      <c r="N146" s="13">
        <f>(256*4+128*4+8+10+80+20)*N61</f>
        <v>1693.3744624000001</v>
      </c>
      <c r="O146" s="13">
        <f>(256*4+128*4+8+20+80+20)*O61</f>
        <v>1703.6125184</v>
      </c>
      <c r="P146" s="13">
        <f>(256*4+128*4+8+40+80+20)*P61</f>
        <v>1724.0886304000001</v>
      </c>
      <c r="Q146" s="1" t="s">
        <v>4</v>
      </c>
    </row>
    <row r="147" spans="1:17" ht="14.5" thickBot="1" x14ac:dyDescent="0.35">
      <c r="A147" s="4" t="s">
        <v>15</v>
      </c>
      <c r="B147" s="12">
        <f>(256*4+256*4+8+10+80+20)*B62</f>
        <v>2217.2434446000002</v>
      </c>
      <c r="C147" s="6">
        <f>(256*4+256*4+8+20+80+20)*C62</f>
        <v>2227.4800255999999</v>
      </c>
      <c r="D147" s="6">
        <f>(256*4+256*4+8+40+80+20)*D62</f>
        <v>2247.9531876000001</v>
      </c>
      <c r="E147" s="19" t="s">
        <v>4</v>
      </c>
      <c r="G147" s="18" t="s">
        <v>15</v>
      </c>
      <c r="H147" s="12">
        <f>(256*4+256*4+8+10+80+20)*H62</f>
        <v>2217.1427255999997</v>
      </c>
      <c r="I147" s="6">
        <f>(256*4+256*4+8+20+80+20)*I62</f>
        <v>2227.3788415999998</v>
      </c>
      <c r="J147" s="6">
        <f>(256*4+256*4+8+40+80+20)*J62</f>
        <v>2247.8510735999998</v>
      </c>
      <c r="K147" s="2" t="s">
        <v>4</v>
      </c>
      <c r="M147" s="4" t="s">
        <v>15</v>
      </c>
      <c r="N147" s="12">
        <f>(256*4+256*4+8+10+80+20)*N62</f>
        <v>2217.2531915999998</v>
      </c>
      <c r="O147" s="6">
        <f>(256*4+256*4+8+20+80+20)*O62</f>
        <v>2227.4898176000002</v>
      </c>
      <c r="P147" s="6">
        <f>(256*4+256*4+8+40+80+20)*P62</f>
        <v>2247.9630695999999</v>
      </c>
      <c r="Q147" s="2" t="s">
        <v>4</v>
      </c>
    </row>
    <row r="148" spans="1:17" x14ac:dyDescent="0.3">
      <c r="A148" s="1" t="s">
        <v>16</v>
      </c>
      <c r="B148" s="11">
        <f>(64*4+256*4+8+10+40+20)*B63</f>
        <v>1390.0426210999999</v>
      </c>
      <c r="C148" s="5">
        <f>(64*4+256*4+8+20+40+20)*C63</f>
        <v>1400.2785072000001</v>
      </c>
      <c r="D148" s="5">
        <f>(64*4+256*4+8+40+40+20)*D63</f>
        <v>1420.7504152000001</v>
      </c>
      <c r="E148" s="16" t="s">
        <v>5</v>
      </c>
      <c r="G148" s="16" t="s">
        <v>16</v>
      </c>
      <c r="H148" s="11">
        <f>(64*4+256*4+8+10+40+20)*H63</f>
        <v>1390.0012021</v>
      </c>
      <c r="I148" s="5">
        <f>(64*4+256*4+8+20+40+20)*I63</f>
        <v>1400.2367832</v>
      </c>
      <c r="J148" s="5">
        <f>(64*4+256*4+8+40+40+20)*J63</f>
        <v>1420.7080811999999</v>
      </c>
      <c r="K148" s="1" t="s">
        <v>5</v>
      </c>
      <c r="M148" s="1" t="s">
        <v>16</v>
      </c>
      <c r="N148" s="11">
        <f>(64*4+256*4+8+10+40+20)*N63</f>
        <v>1390.0691021</v>
      </c>
      <c r="O148" s="5">
        <f>(64*4+256*4+8+20+40+20)*O63</f>
        <v>1400.3051832000001</v>
      </c>
      <c r="P148" s="5">
        <f>(64*4+256*4+8+40+40+20)*P63</f>
        <v>1420.7774812000002</v>
      </c>
      <c r="Q148" s="1" t="s">
        <v>5</v>
      </c>
    </row>
    <row r="149" spans="1:17" x14ac:dyDescent="0.3">
      <c r="A149" s="1" t="s">
        <v>14</v>
      </c>
      <c r="B149" s="11">
        <f>(128*4+256*4+8+10+40+20)*B64</f>
        <v>1652.0829756000001</v>
      </c>
      <c r="C149" s="5">
        <f>(128*4+256*4+8+20+40+20)*C64</f>
        <v>1662.3189296</v>
      </c>
      <c r="D149" s="5">
        <f>(128*4+256*4+8+40+40+20)*D64</f>
        <v>1682.7908376</v>
      </c>
      <c r="E149" s="16" t="s">
        <v>5</v>
      </c>
      <c r="G149" s="16" t="s">
        <v>14</v>
      </c>
      <c r="H149" s="11">
        <f>(128*4+256*4+8+10+40+20)*H64</f>
        <v>1652.0337486000001</v>
      </c>
      <c r="I149" s="5">
        <f>(128*4+256*4+8+20+40+20)*I64</f>
        <v>1662.2693976</v>
      </c>
      <c r="J149" s="5">
        <f>(128*4+256*4+8+40+40+20)*J64</f>
        <v>1682.7406956</v>
      </c>
      <c r="K149" s="1" t="s">
        <v>5</v>
      </c>
      <c r="M149" s="1" t="s">
        <v>14</v>
      </c>
      <c r="N149" s="11">
        <f>(128*4+256*4+8+10+40+20)*N64</f>
        <v>1652.1144486000001</v>
      </c>
      <c r="O149" s="5">
        <f>(128*4+256*4+8+20+40+20)*O64</f>
        <v>1662.3505976000001</v>
      </c>
      <c r="P149" s="5">
        <f>(128*4+256*4+8+40+40+20)*P64</f>
        <v>1682.8228956000003</v>
      </c>
      <c r="Q149" s="1" t="s">
        <v>5</v>
      </c>
    </row>
    <row r="150" spans="1:17" x14ac:dyDescent="0.3">
      <c r="A150" s="1" t="s">
        <v>20</v>
      </c>
      <c r="B150" s="11">
        <f>(256*4+128*4+8+10+40+20)*B65</f>
        <v>1652.2755258</v>
      </c>
      <c r="C150" s="11">
        <f>(256*4+128*4+8+20+40+20)*C65</f>
        <v>1662.5126728</v>
      </c>
      <c r="D150" s="11">
        <f>(256*4+128*4+8+40+40+20)*D65</f>
        <v>1682.9869667999999</v>
      </c>
      <c r="E150" s="16" t="s">
        <v>5</v>
      </c>
      <c r="G150" s="1" t="s">
        <v>20</v>
      </c>
      <c r="H150" s="11">
        <f>(256*4+128*4+8+10+40+20)*H65</f>
        <v>1652.2037028</v>
      </c>
      <c r="I150" s="11">
        <f>(256*4+128*4+8+20+40+20)*I65</f>
        <v>1662.4404047999999</v>
      </c>
      <c r="J150" s="11">
        <f>(256*4+128*4+8+40+40+20)*J65</f>
        <v>1682.9138088</v>
      </c>
      <c r="K150" s="1" t="s">
        <v>5</v>
      </c>
      <c r="M150" s="1" t="s">
        <v>20</v>
      </c>
      <c r="N150" s="11">
        <f>(256*4+128*4+8+10+40+20)*N65</f>
        <v>1652.2868238000001</v>
      </c>
      <c r="O150" s="11">
        <f>(256*4+128*4+8+20+40+20)*O65</f>
        <v>1662.5240408000002</v>
      </c>
      <c r="P150" s="11">
        <f>(256*4+128*4+8+40+40+20)*P65</f>
        <v>1682.9984748000002</v>
      </c>
      <c r="Q150" s="1" t="s">
        <v>5</v>
      </c>
    </row>
    <row r="151" spans="1:17" ht="14.5" thickBot="1" x14ac:dyDescent="0.35">
      <c r="A151" s="4" t="s">
        <v>15</v>
      </c>
      <c r="B151" s="12">
        <f>(256*4+256*4+8+10+40+20)*B66</f>
        <v>2176.1638204000001</v>
      </c>
      <c r="C151" s="6">
        <f>(256*4+256*4+8+20+40+20)*C66</f>
        <v>2186.3997744000003</v>
      </c>
      <c r="D151" s="6">
        <f>(256*4+256*4+8+40+40+20)*D66</f>
        <v>2206.8716824000003</v>
      </c>
      <c r="E151" s="19" t="s">
        <v>5</v>
      </c>
      <c r="G151" s="18" t="s">
        <v>15</v>
      </c>
      <c r="H151" s="12">
        <f>(256*4+256*4+8+10+40+20)*H66</f>
        <v>2176.0989774</v>
      </c>
      <c r="I151" s="6">
        <f>(256*4+256*4+8+20+40+20)*I66</f>
        <v>2186.3346264000002</v>
      </c>
      <c r="J151" s="6">
        <f>(256*4+256*4+8+40+40+20)*J66</f>
        <v>2206.8059244000001</v>
      </c>
      <c r="K151" s="2" t="s">
        <v>5</v>
      </c>
      <c r="M151" s="4" t="s">
        <v>15</v>
      </c>
      <c r="N151" s="12">
        <f>(256*4+256*4+8+10+40+20)*N66</f>
        <v>2176.2052774000003</v>
      </c>
      <c r="O151" s="6">
        <f>(256*4+256*4+8+20+40+20)*O66</f>
        <v>2186.4414264000002</v>
      </c>
      <c r="P151" s="6">
        <f>(256*4+256*4+8+40+40+20)*P66</f>
        <v>2206.9137244000003</v>
      </c>
      <c r="Q151" s="2" t="s">
        <v>5</v>
      </c>
    </row>
    <row r="152" spans="1:17" x14ac:dyDescent="0.3">
      <c r="A152" s="1" t="s">
        <v>16</v>
      </c>
      <c r="B152" s="13">
        <f>(64*4+256*4+8+10+80+20)*B67</f>
        <v>1430.9669369999999</v>
      </c>
      <c r="C152" s="8">
        <f>(64*4+256*4+8+20+80+20)*C67</f>
        <v>1441.2026816</v>
      </c>
      <c r="D152" s="8">
        <f>(64*4+256*4+8+40+80+20)*D67</f>
        <v>1461.6743105999999</v>
      </c>
      <c r="E152" s="17" t="s">
        <v>6</v>
      </c>
      <c r="G152" s="16" t="s">
        <v>16</v>
      </c>
      <c r="H152" s="13">
        <f>(64*4+256*4+8+10+80+20)*H67</f>
        <v>1430.928492</v>
      </c>
      <c r="I152" s="8">
        <f>(64*4+256*4+8+20+80+20)*I67</f>
        <v>1441.1639616</v>
      </c>
      <c r="J152" s="8">
        <f>(64*4+256*4+8+40+80+20)*J67</f>
        <v>1461.6350405999999</v>
      </c>
      <c r="K152" t="s">
        <v>6</v>
      </c>
      <c r="M152" s="1" t="s">
        <v>16</v>
      </c>
      <c r="N152" s="13">
        <f>(64*4+256*4+8+10+80+20)*N67</f>
        <v>1431.000489</v>
      </c>
      <c r="O152" s="8">
        <f>(64*4+256*4+8+20+80+20)*O67</f>
        <v>1441.2364736</v>
      </c>
      <c r="P152" s="8">
        <f>(64*4+256*4+8+40+80+20)*P67</f>
        <v>1461.7085826</v>
      </c>
      <c r="Q152" t="s">
        <v>6</v>
      </c>
    </row>
    <row r="153" spans="1:17" x14ac:dyDescent="0.3">
      <c r="A153" s="1" t="s">
        <v>14</v>
      </c>
      <c r="B153" s="13">
        <f>(128*4+256*4+8+10+80+20)*B68</f>
        <v>1693.0037182999999</v>
      </c>
      <c r="C153" s="8">
        <f>(128*4+256*4+8+20+80+20)*C68</f>
        <v>1703.2395328</v>
      </c>
      <c r="D153" s="8">
        <f>(128*4+256*4+8+40+80+20)*D68</f>
        <v>1723.7111617999999</v>
      </c>
      <c r="E153" s="17" t="s">
        <v>6</v>
      </c>
      <c r="G153" s="16" t="s">
        <v>14</v>
      </c>
      <c r="H153" s="13">
        <f>(128*4+256*4+8+10+80+20)*H68</f>
        <v>1692.9582332999998</v>
      </c>
      <c r="I153" s="8">
        <f>(128*4+256*4+8+20+80+20)*I68</f>
        <v>1703.1937727999998</v>
      </c>
      <c r="J153" s="8">
        <f>(128*4+256*4+8+40+80+20)*J68</f>
        <v>1723.6648518</v>
      </c>
      <c r="K153" t="s">
        <v>6</v>
      </c>
      <c r="M153" s="1" t="s">
        <v>14</v>
      </c>
      <c r="N153" s="13">
        <f>(128*4+256*4+8+10+80+20)*N68</f>
        <v>1693.0434143</v>
      </c>
      <c r="O153" s="8">
        <f>(128*4+256*4+8+20+80+20)*O68</f>
        <v>1703.2794688000001</v>
      </c>
      <c r="P153" s="8">
        <f>(128*4+256*4+8+40+80+20)*P68</f>
        <v>1723.7515778</v>
      </c>
      <c r="Q153" t="s">
        <v>6</v>
      </c>
    </row>
    <row r="154" spans="1:17" x14ac:dyDescent="0.3">
      <c r="A154" s="1" t="s">
        <v>20</v>
      </c>
      <c r="B154" s="13">
        <f>(256*4+128*4+8+10+80+20)*B69</f>
        <v>1693.1626676999999</v>
      </c>
      <c r="C154" s="13">
        <f>(256*4+128*4+8+20+80+20)*C69</f>
        <v>1703.3994432</v>
      </c>
      <c r="D154" s="13">
        <f>(256*4+128*4+8+40+80+20)*D69</f>
        <v>1723.8729942</v>
      </c>
      <c r="E154" s="17" t="s">
        <v>6</v>
      </c>
      <c r="G154" s="1" t="s">
        <v>20</v>
      </c>
      <c r="H154" s="13">
        <f>(256*4+128*4+8+10+80+20)*H69</f>
        <v>1693.0915456999999</v>
      </c>
      <c r="I154" s="13">
        <f>(256*4+128*4+8+20+80+20)*I69</f>
        <v>1703.3278911999998</v>
      </c>
      <c r="J154" s="13">
        <f>(256*4+128*4+8+40+80+20)*J69</f>
        <v>1723.8005821999998</v>
      </c>
      <c r="K154" t="s">
        <v>6</v>
      </c>
      <c r="M154" s="1" t="s">
        <v>20</v>
      </c>
      <c r="N154" s="13">
        <f>(256*4+128*4+8+10+80+20)*N69</f>
        <v>1693.1775537000001</v>
      </c>
      <c r="O154" s="13">
        <f>(256*4+128*4+8+20+80+20)*O69</f>
        <v>1703.4144192000001</v>
      </c>
      <c r="P154" s="13">
        <f>(256*4+128*4+8+40+80+20)*P69</f>
        <v>1723.8881502000002</v>
      </c>
      <c r="Q154" t="s">
        <v>6</v>
      </c>
    </row>
    <row r="155" spans="1:17" ht="14.5" thickBot="1" x14ac:dyDescent="0.35">
      <c r="A155" s="4" t="s">
        <v>15</v>
      </c>
      <c r="B155" s="12">
        <f>(256*4+256*4+8+10+80+20)*B70</f>
        <v>2217.0774206999999</v>
      </c>
      <c r="C155" s="6">
        <f>(256*4+256*4+8+20+80+20)*C70</f>
        <v>2227.3132352000002</v>
      </c>
      <c r="D155" s="6">
        <f>(256*4+256*4+8+40+80+20)*D70</f>
        <v>2247.7848641999999</v>
      </c>
      <c r="E155" s="19" t="s">
        <v>6</v>
      </c>
      <c r="G155" s="18" t="s">
        <v>15</v>
      </c>
      <c r="H155" s="12">
        <f>(256*4+256*4+8+10+80+20)*H70</f>
        <v>2217.0178556999999</v>
      </c>
      <c r="I155" s="6">
        <f>(256*4+256*4+8+20+80+20)*I70</f>
        <v>2227.2533951999999</v>
      </c>
      <c r="J155" s="6">
        <f>(256*4+256*4+8+40+80+20)*J70</f>
        <v>2247.7244741999998</v>
      </c>
      <c r="K155" s="2" t="s">
        <v>6</v>
      </c>
      <c r="M155" s="4" t="s">
        <v>15</v>
      </c>
      <c r="N155" s="12">
        <f>(256*4+256*4+8+10+80+20)*N70</f>
        <v>2217.1294047000001</v>
      </c>
      <c r="O155" s="6">
        <f>(256*4+256*4+8+20+80+20)*O70</f>
        <v>2227.3654592000003</v>
      </c>
      <c r="P155" s="6">
        <f>(256*4+256*4+8+40+80+20)*P70</f>
        <v>2247.8375682000001</v>
      </c>
      <c r="Q155" s="2" t="s">
        <v>6</v>
      </c>
    </row>
  </sheetData>
  <mergeCells count="72">
    <mergeCell ref="O124:O125"/>
    <mergeCell ref="G141:G142"/>
    <mergeCell ref="H141:H142"/>
    <mergeCell ref="I141:I142"/>
    <mergeCell ref="M141:M142"/>
    <mergeCell ref="N141:N142"/>
    <mergeCell ref="O141:O142"/>
    <mergeCell ref="G124:G125"/>
    <mergeCell ref="H124:H125"/>
    <mergeCell ref="I124:I125"/>
    <mergeCell ref="M124:M125"/>
    <mergeCell ref="N124:N125"/>
    <mergeCell ref="O86:O87"/>
    <mergeCell ref="G106:G107"/>
    <mergeCell ref="H106:H107"/>
    <mergeCell ref="I106:I107"/>
    <mergeCell ref="M106:M107"/>
    <mergeCell ref="N106:N107"/>
    <mergeCell ref="O106:O107"/>
    <mergeCell ref="G86:G87"/>
    <mergeCell ref="H86:H87"/>
    <mergeCell ref="I86:I87"/>
    <mergeCell ref="M86:M87"/>
    <mergeCell ref="N86:N87"/>
    <mergeCell ref="A124:A125"/>
    <mergeCell ref="B124:B125"/>
    <mergeCell ref="C124:C125"/>
    <mergeCell ref="A141:A142"/>
    <mergeCell ref="B141:B142"/>
    <mergeCell ref="C141:C142"/>
    <mergeCell ref="A86:A87"/>
    <mergeCell ref="B86:B87"/>
    <mergeCell ref="C86:C87"/>
    <mergeCell ref="A106:A107"/>
    <mergeCell ref="B106:B107"/>
    <mergeCell ref="C106:C107"/>
    <mergeCell ref="M39:M40"/>
    <mergeCell ref="N39:N40"/>
    <mergeCell ref="O39:O40"/>
    <mergeCell ref="G56:G57"/>
    <mergeCell ref="B56:B57"/>
    <mergeCell ref="H56:H57"/>
    <mergeCell ref="B39:B40"/>
    <mergeCell ref="H39:H40"/>
    <mergeCell ref="M56:M57"/>
    <mergeCell ref="N56:N57"/>
    <mergeCell ref="O56:O57"/>
    <mergeCell ref="O1:O2"/>
    <mergeCell ref="I21:I22"/>
    <mergeCell ref="I1:I2"/>
    <mergeCell ref="C1:C2"/>
    <mergeCell ref="C21:C22"/>
    <mergeCell ref="O21:O22"/>
    <mergeCell ref="N21:N22"/>
    <mergeCell ref="A21:A22"/>
    <mergeCell ref="B21:B22"/>
    <mergeCell ref="H21:H22"/>
    <mergeCell ref="G21:G22"/>
    <mergeCell ref="M21:M22"/>
    <mergeCell ref="A39:A40"/>
    <mergeCell ref="A56:A57"/>
    <mergeCell ref="C39:C40"/>
    <mergeCell ref="C56:C57"/>
    <mergeCell ref="I39:I40"/>
    <mergeCell ref="I56:I57"/>
    <mergeCell ref="G39:G40"/>
    <mergeCell ref="A1:A2"/>
    <mergeCell ref="B1:B2"/>
    <mergeCell ref="H1:H2"/>
    <mergeCell ref="N1:N2"/>
    <mergeCell ref="G1:G2"/>
    <mergeCell ref="M1:M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6070-BC79-4969-90A2-EA079733958E}">
  <sheetPr>
    <tabColor theme="9" tint="-0.249977111117893"/>
  </sheetPr>
  <dimension ref="A1:W153"/>
  <sheetViews>
    <sheetView tabSelected="1" topLeftCell="M70" workbookViewId="0">
      <selection activeCell="T101" sqref="T101"/>
    </sheetView>
  </sheetViews>
  <sheetFormatPr defaultRowHeight="14" x14ac:dyDescent="0.3"/>
  <cols>
    <col min="1" max="1" width="12" bestFit="1" customWidth="1"/>
    <col min="2" max="3" width="25.25" bestFit="1" customWidth="1"/>
    <col min="4" max="4" width="25.25" customWidth="1"/>
    <col min="5" max="5" width="26.08203125" bestFit="1" customWidth="1"/>
    <col min="6" max="6" width="8.6640625" customWidth="1"/>
    <col min="7" max="7" width="12" bestFit="1" customWidth="1"/>
    <col min="8" max="10" width="25.25" bestFit="1" customWidth="1"/>
    <col min="11" max="11" width="26.08203125" bestFit="1" customWidth="1"/>
    <col min="12" max="12" width="8.6640625" customWidth="1"/>
    <col min="13" max="13" width="12" bestFit="1" customWidth="1"/>
    <col min="14" max="15" width="25.25" bestFit="1" customWidth="1"/>
    <col min="16" max="17" width="26.33203125" bestFit="1" customWidth="1"/>
    <col min="18" max="18" width="8.6640625" customWidth="1"/>
    <col min="19" max="19" width="12" bestFit="1" customWidth="1"/>
    <col min="20" max="22" width="25.25" bestFit="1" customWidth="1"/>
    <col min="23" max="23" width="26.08203125" bestFit="1" customWidth="1"/>
  </cols>
  <sheetData>
    <row r="1" spans="1:23" ht="14" customHeight="1" x14ac:dyDescent="0.3">
      <c r="A1" s="21" t="s">
        <v>7</v>
      </c>
      <c r="B1" s="23" t="s">
        <v>9</v>
      </c>
      <c r="C1" s="23" t="s">
        <v>17</v>
      </c>
      <c r="G1" s="21" t="s">
        <v>7</v>
      </c>
      <c r="H1" s="23" t="s">
        <v>10</v>
      </c>
      <c r="I1" s="23" t="s">
        <v>17</v>
      </c>
      <c r="M1" s="21" t="s">
        <v>7</v>
      </c>
      <c r="N1" s="23" t="s">
        <v>11</v>
      </c>
      <c r="O1" s="23" t="s">
        <v>17</v>
      </c>
      <c r="S1" s="21" t="s">
        <v>7</v>
      </c>
      <c r="T1" s="23" t="s">
        <v>12</v>
      </c>
      <c r="U1" s="23" t="s">
        <v>17</v>
      </c>
    </row>
    <row r="2" spans="1:23" x14ac:dyDescent="0.3">
      <c r="A2" s="22"/>
      <c r="B2" s="23"/>
      <c r="C2" s="23"/>
      <c r="G2" s="22"/>
      <c r="H2" s="23"/>
      <c r="I2" s="23"/>
      <c r="M2" s="22"/>
      <c r="N2" s="23"/>
      <c r="O2" s="23"/>
      <c r="S2" s="22"/>
      <c r="T2" s="23"/>
      <c r="U2" s="23"/>
    </row>
    <row r="3" spans="1:23" ht="14.5" thickBot="1" x14ac:dyDescent="0.35">
      <c r="B3" s="2" t="s">
        <v>1</v>
      </c>
      <c r="C3" s="2" t="s">
        <v>2</v>
      </c>
      <c r="D3" s="2" t="s">
        <v>3</v>
      </c>
      <c r="H3" s="2" t="s">
        <v>1</v>
      </c>
      <c r="I3" s="2" t="s">
        <v>2</v>
      </c>
      <c r="J3" s="2" t="s">
        <v>3</v>
      </c>
      <c r="N3" s="2" t="s">
        <v>1</v>
      </c>
      <c r="O3" s="2" t="s">
        <v>2</v>
      </c>
      <c r="P3" s="2" t="s">
        <v>3</v>
      </c>
      <c r="T3" s="2" t="s">
        <v>1</v>
      </c>
      <c r="U3" s="2" t="s">
        <v>2</v>
      </c>
      <c r="V3" s="2" t="s">
        <v>3</v>
      </c>
    </row>
    <row r="4" spans="1:23" x14ac:dyDescent="0.3">
      <c r="A4" t="s">
        <v>19</v>
      </c>
      <c r="B4" s="15">
        <v>1.0033917999999999</v>
      </c>
      <c r="C4" s="15">
        <v>1.0033469500000001</v>
      </c>
      <c r="D4" s="14">
        <v>1.0033454500000001</v>
      </c>
      <c r="E4" s="1" t="s">
        <v>4</v>
      </c>
      <c r="G4" t="s">
        <v>19</v>
      </c>
      <c r="H4" s="15">
        <v>1.0033843</v>
      </c>
      <c r="I4" s="15">
        <v>1.00334145</v>
      </c>
      <c r="J4" s="14">
        <v>1.0033409499999999</v>
      </c>
      <c r="K4" s="1" t="s">
        <v>4</v>
      </c>
      <c r="M4" t="s">
        <v>19</v>
      </c>
      <c r="N4" s="14">
        <v>1.0033837999999999</v>
      </c>
      <c r="O4" s="14">
        <v>1.00334145</v>
      </c>
      <c r="P4" s="14">
        <v>1.0033409499999999</v>
      </c>
      <c r="Q4" s="1" t="s">
        <v>4</v>
      </c>
      <c r="S4" t="s">
        <v>19</v>
      </c>
      <c r="T4" s="14"/>
      <c r="U4" s="14"/>
      <c r="V4" s="14"/>
      <c r="W4" s="1" t="s">
        <v>4</v>
      </c>
    </row>
    <row r="5" spans="1:23" x14ac:dyDescent="0.3">
      <c r="A5" s="1" t="s">
        <v>16</v>
      </c>
      <c r="B5" s="5">
        <v>1.00337955</v>
      </c>
      <c r="C5" s="5">
        <v>1.0033384000000001</v>
      </c>
      <c r="D5" s="5">
        <v>1.0033379</v>
      </c>
      <c r="E5" s="1" t="s">
        <v>4</v>
      </c>
      <c r="G5" s="1" t="s">
        <v>16</v>
      </c>
      <c r="H5" s="11">
        <v>1.00337755</v>
      </c>
      <c r="I5" s="5">
        <v>1.0033364</v>
      </c>
      <c r="J5" s="5">
        <v>1.0033358999999999</v>
      </c>
      <c r="K5" s="1" t="s">
        <v>4</v>
      </c>
      <c r="M5" s="1" t="s">
        <v>16</v>
      </c>
      <c r="N5" s="11">
        <v>1.0033770500000001</v>
      </c>
      <c r="O5" s="5">
        <v>1.0033364</v>
      </c>
      <c r="P5" s="5">
        <v>1.0033358999999999</v>
      </c>
      <c r="Q5" s="1" t="s">
        <v>4</v>
      </c>
      <c r="S5" s="1" t="s">
        <v>16</v>
      </c>
      <c r="T5" s="11"/>
      <c r="U5" s="5"/>
      <c r="V5" s="5"/>
      <c r="W5" s="1" t="s">
        <v>4</v>
      </c>
    </row>
    <row r="6" spans="1:23" x14ac:dyDescent="0.3">
      <c r="A6" s="1" t="s">
        <v>14</v>
      </c>
      <c r="B6" s="5">
        <v>1.0033346000000001</v>
      </c>
      <c r="C6" s="5">
        <v>1.00333435</v>
      </c>
      <c r="D6" s="5">
        <v>1.0033341499999999</v>
      </c>
      <c r="E6" s="1" t="s">
        <v>4</v>
      </c>
      <c r="G6" s="1" t="s">
        <v>14</v>
      </c>
      <c r="H6" s="11">
        <v>1.0033346000000001</v>
      </c>
      <c r="I6" s="5">
        <v>1.00333435</v>
      </c>
      <c r="J6" s="5">
        <v>1.0033341499999999</v>
      </c>
      <c r="K6" s="1" t="s">
        <v>4</v>
      </c>
      <c r="M6" s="1" t="s">
        <v>14</v>
      </c>
      <c r="N6" s="11">
        <v>1.0033346000000001</v>
      </c>
      <c r="O6" s="5">
        <v>1.00333435</v>
      </c>
      <c r="P6" s="5">
        <v>1.0033341499999999</v>
      </c>
      <c r="Q6" s="1" t="s">
        <v>4</v>
      </c>
      <c r="S6" s="1" t="s">
        <v>14</v>
      </c>
      <c r="T6" s="11"/>
      <c r="U6" s="5"/>
      <c r="V6" s="5"/>
      <c r="W6" s="1" t="s">
        <v>4</v>
      </c>
    </row>
    <row r="7" spans="1:23" x14ac:dyDescent="0.3">
      <c r="A7" s="10" t="s">
        <v>20</v>
      </c>
      <c r="B7" s="5">
        <v>1.0047383000000001</v>
      </c>
      <c r="C7" s="5">
        <v>1.0047382</v>
      </c>
      <c r="D7" s="5">
        <v>1.0047382</v>
      </c>
      <c r="E7" s="1" t="s">
        <v>4</v>
      </c>
      <c r="G7" s="10" t="s">
        <v>20</v>
      </c>
      <c r="H7" s="11">
        <v>1.0047368000000001</v>
      </c>
      <c r="I7" s="5">
        <v>1.0047367</v>
      </c>
      <c r="J7" s="5">
        <v>1.0047367</v>
      </c>
      <c r="K7" s="1" t="s">
        <v>4</v>
      </c>
      <c r="M7" s="10" t="s">
        <v>20</v>
      </c>
      <c r="N7" s="11">
        <v>1.0047368000000001</v>
      </c>
      <c r="O7" s="5">
        <v>1.0047367</v>
      </c>
      <c r="P7" s="5">
        <v>1.0047367</v>
      </c>
      <c r="Q7" s="1" t="s">
        <v>4</v>
      </c>
      <c r="S7" s="10" t="s">
        <v>20</v>
      </c>
      <c r="T7" s="11"/>
      <c r="U7" s="5"/>
      <c r="V7" s="5"/>
      <c r="W7" s="1"/>
    </row>
    <row r="8" spans="1:23" ht="14.5" thickBot="1" x14ac:dyDescent="0.35">
      <c r="A8" s="4" t="s">
        <v>15</v>
      </c>
      <c r="B8" s="6">
        <v>1.00333425</v>
      </c>
      <c r="C8" s="6">
        <v>1.0033341499999999</v>
      </c>
      <c r="D8" s="6">
        <v>1.0033341499999999</v>
      </c>
      <c r="E8" s="2" t="s">
        <v>4</v>
      </c>
      <c r="G8" s="4" t="s">
        <v>15</v>
      </c>
      <c r="H8" s="12">
        <v>1.00333425</v>
      </c>
      <c r="I8" s="6">
        <v>1.0033341499999999</v>
      </c>
      <c r="J8" s="6">
        <v>1.0033341499999999</v>
      </c>
      <c r="K8" s="2" t="s">
        <v>4</v>
      </c>
      <c r="M8" s="4" t="s">
        <v>15</v>
      </c>
      <c r="N8" s="12">
        <v>1.00333425</v>
      </c>
      <c r="O8" s="6">
        <v>1.0033341499999999</v>
      </c>
      <c r="P8" s="6">
        <v>1.0033341499999999</v>
      </c>
      <c r="Q8" s="2" t="s">
        <v>4</v>
      </c>
      <c r="S8" s="4" t="s">
        <v>15</v>
      </c>
      <c r="T8" s="12"/>
      <c r="U8" s="6"/>
      <c r="V8" s="6"/>
      <c r="W8" s="2" t="s">
        <v>4</v>
      </c>
    </row>
    <row r="9" spans="1:23" x14ac:dyDescent="0.3">
      <c r="A9" t="s">
        <v>19</v>
      </c>
      <c r="B9" s="5">
        <v>1.0033877</v>
      </c>
      <c r="C9" s="5">
        <v>1.0033428499999999</v>
      </c>
      <c r="D9" s="5">
        <v>1.0033413499999999</v>
      </c>
      <c r="E9" s="1" t="s">
        <v>5</v>
      </c>
      <c r="G9" t="s">
        <v>19</v>
      </c>
      <c r="H9" s="11">
        <v>1.0033821999999999</v>
      </c>
      <c r="I9" s="5">
        <v>1.0033398499999999</v>
      </c>
      <c r="J9" s="5">
        <v>1.0033393500000001</v>
      </c>
      <c r="K9" s="1" t="s">
        <v>5</v>
      </c>
      <c r="M9" t="s">
        <v>19</v>
      </c>
      <c r="N9" s="11">
        <v>1.0033821999999999</v>
      </c>
      <c r="O9" s="5">
        <v>1.0033398499999999</v>
      </c>
      <c r="P9" s="5">
        <v>1.0033393500000001</v>
      </c>
      <c r="Q9" s="1" t="s">
        <v>5</v>
      </c>
      <c r="S9" t="s">
        <v>19</v>
      </c>
      <c r="T9" s="11"/>
      <c r="U9" s="5"/>
      <c r="V9" s="5"/>
      <c r="W9" s="1" t="s">
        <v>5</v>
      </c>
    </row>
    <row r="10" spans="1:23" x14ac:dyDescent="0.3">
      <c r="A10" s="1" t="s">
        <v>16</v>
      </c>
      <c r="B10" s="5">
        <v>1.00337695</v>
      </c>
      <c r="C10" s="5">
        <v>1.0033357999999999</v>
      </c>
      <c r="D10" s="5">
        <v>1.0033348</v>
      </c>
      <c r="E10" s="1" t="s">
        <v>5</v>
      </c>
      <c r="G10" s="1" t="s">
        <v>16</v>
      </c>
      <c r="H10" s="11">
        <v>1.0033754500000001</v>
      </c>
      <c r="I10" s="5">
        <v>1.0033348</v>
      </c>
      <c r="J10" s="5">
        <v>1.0033342999999999</v>
      </c>
      <c r="K10" s="1" t="s">
        <v>5</v>
      </c>
      <c r="M10" s="1" t="s">
        <v>16</v>
      </c>
      <c r="N10" s="11">
        <v>1.0033754500000001</v>
      </c>
      <c r="O10" s="5">
        <v>1.0033348</v>
      </c>
      <c r="P10" s="5">
        <v>1.0033342999999999</v>
      </c>
      <c r="Q10" s="1" t="s">
        <v>5</v>
      </c>
      <c r="S10" s="1" t="s">
        <v>16</v>
      </c>
      <c r="T10" s="11"/>
      <c r="U10" s="5"/>
      <c r="V10" s="5"/>
      <c r="W10" s="1" t="s">
        <v>5</v>
      </c>
    </row>
    <row r="11" spans="1:23" x14ac:dyDescent="0.3">
      <c r="A11" s="1" t="s">
        <v>14</v>
      </c>
      <c r="B11" s="5">
        <v>1.003333</v>
      </c>
      <c r="C11" s="5">
        <v>1.00333275</v>
      </c>
      <c r="D11" s="5">
        <v>1.0033325500000001</v>
      </c>
      <c r="E11" s="1" t="s">
        <v>5</v>
      </c>
      <c r="G11" s="1" t="s">
        <v>14</v>
      </c>
      <c r="H11" s="11">
        <v>1.003333</v>
      </c>
      <c r="I11" s="5">
        <v>1.00333275</v>
      </c>
      <c r="J11" s="5">
        <v>1.0033325500000001</v>
      </c>
      <c r="K11" s="1" t="s">
        <v>5</v>
      </c>
      <c r="M11" s="1" t="s">
        <v>14</v>
      </c>
      <c r="N11" s="11">
        <v>1.003333</v>
      </c>
      <c r="O11" s="5">
        <v>1.00333275</v>
      </c>
      <c r="P11" s="5">
        <v>1.0033325500000001</v>
      </c>
      <c r="Q11" s="1" t="s">
        <v>5</v>
      </c>
      <c r="S11" s="1" t="s">
        <v>14</v>
      </c>
      <c r="T11" s="11"/>
      <c r="U11" s="5"/>
      <c r="V11" s="5"/>
      <c r="W11" s="1" t="s">
        <v>5</v>
      </c>
    </row>
    <row r="12" spans="1:23" x14ac:dyDescent="0.3">
      <c r="A12" s="10" t="s">
        <v>20</v>
      </c>
      <c r="B12" s="5">
        <v>1.0049347</v>
      </c>
      <c r="C12" s="5">
        <v>1.0049345999999999</v>
      </c>
      <c r="D12" s="5">
        <v>1.0049345999999999</v>
      </c>
      <c r="E12" s="1" t="s">
        <v>5</v>
      </c>
      <c r="G12" s="10" t="s">
        <v>20</v>
      </c>
      <c r="H12" s="11">
        <v>1.0049322000000001</v>
      </c>
      <c r="I12" s="5">
        <v>1.0049321</v>
      </c>
      <c r="J12" s="5">
        <v>1.0049321</v>
      </c>
      <c r="K12" s="1" t="s">
        <v>5</v>
      </c>
      <c r="M12" s="10" t="s">
        <v>20</v>
      </c>
      <c r="N12" s="11">
        <v>1.0049322000000001</v>
      </c>
      <c r="O12" s="5">
        <v>1.0049321</v>
      </c>
      <c r="P12" s="5">
        <v>1.0049321</v>
      </c>
      <c r="Q12" s="1" t="s">
        <v>5</v>
      </c>
      <c r="S12" s="10" t="s">
        <v>20</v>
      </c>
      <c r="T12" s="11"/>
      <c r="U12" s="5"/>
      <c r="V12" s="5"/>
      <c r="W12" s="1"/>
    </row>
    <row r="13" spans="1:23" ht="14.5" thickBot="1" x14ac:dyDescent="0.35">
      <c r="A13" s="4" t="s">
        <v>15</v>
      </c>
      <c r="B13" s="6">
        <v>1.0033326499999999</v>
      </c>
      <c r="C13" s="6">
        <v>1.0033325500000001</v>
      </c>
      <c r="D13" s="6">
        <v>1.0033325500000001</v>
      </c>
      <c r="E13" s="2" t="s">
        <v>5</v>
      </c>
      <c r="G13" s="4" t="s">
        <v>15</v>
      </c>
      <c r="H13" s="12">
        <v>1.0033326499999999</v>
      </c>
      <c r="I13" s="6">
        <v>1.0033325500000001</v>
      </c>
      <c r="J13" s="6">
        <v>1.0033325500000001</v>
      </c>
      <c r="K13" s="2" t="s">
        <v>5</v>
      </c>
      <c r="M13" s="4" t="s">
        <v>15</v>
      </c>
      <c r="N13" s="12">
        <v>1.0033326499999999</v>
      </c>
      <c r="O13" s="6">
        <v>1.0033325500000001</v>
      </c>
      <c r="P13" s="6">
        <v>1.0033325500000001</v>
      </c>
      <c r="Q13" s="2" t="s">
        <v>5</v>
      </c>
      <c r="S13" s="4" t="s">
        <v>15</v>
      </c>
      <c r="T13" s="12"/>
      <c r="U13" s="6"/>
      <c r="V13" s="6"/>
      <c r="W13" s="2" t="s">
        <v>5</v>
      </c>
    </row>
    <row r="14" spans="1:23" x14ac:dyDescent="0.3">
      <c r="A14" t="s">
        <v>19</v>
      </c>
      <c r="B14" s="5">
        <v>1.0033825999999999</v>
      </c>
      <c r="C14" s="5">
        <v>1.0033801</v>
      </c>
      <c r="D14" s="5">
        <v>1.00333625</v>
      </c>
      <c r="E14" t="s">
        <v>6</v>
      </c>
      <c r="G14" t="s">
        <v>19</v>
      </c>
      <c r="H14" s="11">
        <v>1.0033776000000001</v>
      </c>
      <c r="I14" s="5">
        <v>1.0033352499999999</v>
      </c>
      <c r="J14" s="5">
        <v>1.0033347500000001</v>
      </c>
      <c r="K14" t="s">
        <v>6</v>
      </c>
      <c r="M14" t="s">
        <v>19</v>
      </c>
      <c r="N14" s="11">
        <v>1.0033776000000001</v>
      </c>
      <c r="O14" s="5">
        <v>1.0033352499999999</v>
      </c>
      <c r="P14" s="5">
        <v>1.0033347500000001</v>
      </c>
      <c r="Q14" s="1" t="s">
        <v>6</v>
      </c>
      <c r="S14" t="s">
        <v>19</v>
      </c>
      <c r="T14" s="11"/>
      <c r="U14" s="5"/>
      <c r="V14" s="5"/>
      <c r="W14" s="1" t="s">
        <v>6</v>
      </c>
    </row>
    <row r="15" spans="1:23" x14ac:dyDescent="0.3">
      <c r="A15" s="1" t="s">
        <v>16</v>
      </c>
      <c r="B15" s="8">
        <v>1.00337185</v>
      </c>
      <c r="C15" s="8">
        <v>1.0033307</v>
      </c>
      <c r="D15" s="8">
        <v>1.0033297000000001</v>
      </c>
      <c r="E15" t="s">
        <v>6</v>
      </c>
      <c r="G15" s="1" t="s">
        <v>16</v>
      </c>
      <c r="H15" s="13">
        <v>1.00337085</v>
      </c>
      <c r="I15" s="8">
        <v>1.0033301999999999</v>
      </c>
      <c r="J15" s="8">
        <v>1.0033297000000001</v>
      </c>
      <c r="K15" t="s">
        <v>6</v>
      </c>
      <c r="M15" s="1" t="s">
        <v>16</v>
      </c>
      <c r="N15" s="13">
        <v>1.00337085</v>
      </c>
      <c r="O15" s="8">
        <v>1.0033301999999999</v>
      </c>
      <c r="P15" s="8">
        <v>1.0033297000000001</v>
      </c>
      <c r="Q15" t="s">
        <v>6</v>
      </c>
      <c r="S15" s="1" t="s">
        <v>16</v>
      </c>
      <c r="T15" s="13"/>
      <c r="U15" s="8"/>
      <c r="V15" s="8"/>
      <c r="W15" t="s">
        <v>6</v>
      </c>
    </row>
    <row r="16" spans="1:23" x14ac:dyDescent="0.3">
      <c r="A16" s="1" t="s">
        <v>14</v>
      </c>
      <c r="B16" s="5">
        <v>1.0033284</v>
      </c>
      <c r="C16" s="5">
        <v>1.00332815</v>
      </c>
      <c r="D16" s="5">
        <v>1.0033279500000001</v>
      </c>
      <c r="E16" s="1" t="s">
        <v>6</v>
      </c>
      <c r="G16" s="1" t="s">
        <v>14</v>
      </c>
      <c r="H16" s="11">
        <v>1.0033284</v>
      </c>
      <c r="I16" s="5">
        <v>1.00332815</v>
      </c>
      <c r="J16" s="5">
        <v>1.0033279500000001</v>
      </c>
      <c r="K16" s="1" t="s">
        <v>6</v>
      </c>
      <c r="M16" s="1" t="s">
        <v>14</v>
      </c>
      <c r="N16" s="11">
        <v>1.0033284</v>
      </c>
      <c r="O16" s="5">
        <v>1.00332815</v>
      </c>
      <c r="P16" s="5">
        <v>1.0033279500000001</v>
      </c>
      <c r="Q16" s="1" t="s">
        <v>6</v>
      </c>
      <c r="S16" s="1" t="s">
        <v>14</v>
      </c>
      <c r="T16" s="11"/>
      <c r="U16" s="5"/>
      <c r="V16" s="5"/>
      <c r="W16" s="1" t="s">
        <v>6</v>
      </c>
    </row>
    <row r="17" spans="1:23" x14ac:dyDescent="0.3">
      <c r="A17" s="10" t="s">
        <v>20</v>
      </c>
      <c r="B17" s="5">
        <v>1.00473485</v>
      </c>
      <c r="C17" s="5">
        <v>1.0047347499999999</v>
      </c>
      <c r="D17" s="5">
        <v>1.0047347499999999</v>
      </c>
      <c r="E17" s="1" t="s">
        <v>6</v>
      </c>
      <c r="G17" s="10" t="s">
        <v>20</v>
      </c>
      <c r="H17" s="11">
        <v>1.0047323500000001</v>
      </c>
      <c r="I17" s="5">
        <v>1.00473225</v>
      </c>
      <c r="J17" s="5">
        <v>1.00473225</v>
      </c>
      <c r="K17" s="1" t="s">
        <v>6</v>
      </c>
      <c r="M17" s="10" t="s">
        <v>20</v>
      </c>
      <c r="N17" s="11">
        <v>1.0047323500000001</v>
      </c>
      <c r="O17" s="5">
        <v>1.00473225</v>
      </c>
      <c r="P17" s="5">
        <v>1.00473225</v>
      </c>
      <c r="Q17" s="1" t="s">
        <v>6</v>
      </c>
      <c r="S17" s="10" t="s">
        <v>20</v>
      </c>
      <c r="T17" s="11"/>
      <c r="U17" s="5"/>
      <c r="V17" s="5"/>
      <c r="W17" s="1"/>
    </row>
    <row r="18" spans="1:23" ht="14.5" customHeight="1" thickBot="1" x14ac:dyDescent="0.35">
      <c r="A18" s="4" t="s">
        <v>15</v>
      </c>
      <c r="B18" s="6">
        <v>1.0033280499999999</v>
      </c>
      <c r="C18" s="6">
        <v>1.0033279500000001</v>
      </c>
      <c r="D18" s="6">
        <v>1.0033279500000001</v>
      </c>
      <c r="E18" s="2" t="s">
        <v>6</v>
      </c>
      <c r="G18" s="4" t="s">
        <v>15</v>
      </c>
      <c r="H18" s="12">
        <v>1.0033280499999999</v>
      </c>
      <c r="I18" s="6">
        <v>1.0033279500000001</v>
      </c>
      <c r="J18" s="6">
        <v>1.0033279500000001</v>
      </c>
      <c r="K18" s="2" t="s">
        <v>6</v>
      </c>
      <c r="M18" s="4" t="s">
        <v>15</v>
      </c>
      <c r="N18" s="12">
        <v>1.0033280499999999</v>
      </c>
      <c r="O18" s="6">
        <v>1.0033279500000001</v>
      </c>
      <c r="P18" s="6">
        <v>1.0033279500000001</v>
      </c>
      <c r="Q18" s="2" t="s">
        <v>6</v>
      </c>
      <c r="S18" s="4" t="s">
        <v>15</v>
      </c>
      <c r="T18" s="12"/>
      <c r="U18" s="6"/>
      <c r="V18" s="6"/>
      <c r="W18" s="2" t="s">
        <v>6</v>
      </c>
    </row>
    <row r="19" spans="1:23" x14ac:dyDescent="0.3">
      <c r="H19" s="9"/>
      <c r="N19" s="9"/>
    </row>
    <row r="20" spans="1:23" x14ac:dyDescent="0.3">
      <c r="H20" s="9"/>
      <c r="N20" s="9"/>
    </row>
    <row r="21" spans="1:23" ht="14" customHeight="1" x14ac:dyDescent="0.3">
      <c r="A21" s="21" t="s">
        <v>8</v>
      </c>
      <c r="B21" s="23" t="s">
        <v>9</v>
      </c>
      <c r="C21" s="23" t="s">
        <v>17</v>
      </c>
      <c r="G21" s="21" t="s">
        <v>8</v>
      </c>
      <c r="H21" s="23" t="s">
        <v>10</v>
      </c>
      <c r="I21" s="23" t="s">
        <v>17</v>
      </c>
      <c r="M21" s="21" t="s">
        <v>8</v>
      </c>
      <c r="N21" s="23" t="s">
        <v>11</v>
      </c>
      <c r="O21" s="23" t="s">
        <v>17</v>
      </c>
      <c r="S21" s="21" t="s">
        <v>8</v>
      </c>
      <c r="T21" s="23" t="s">
        <v>12</v>
      </c>
      <c r="U21" s="23" t="s">
        <v>17</v>
      </c>
    </row>
    <row r="22" spans="1:23" x14ac:dyDescent="0.3">
      <c r="A22" s="22"/>
      <c r="B22" s="23"/>
      <c r="C22" s="23"/>
      <c r="G22" s="22"/>
      <c r="H22" s="23"/>
      <c r="I22" s="23"/>
      <c r="M22" s="22"/>
      <c r="N22" s="23"/>
      <c r="O22" s="23"/>
      <c r="S22" s="22"/>
      <c r="T22" s="23"/>
      <c r="U22" s="23"/>
    </row>
    <row r="23" spans="1:23" ht="14.5" customHeight="1" thickBot="1" x14ac:dyDescent="0.35">
      <c r="B23" s="2" t="s">
        <v>1</v>
      </c>
      <c r="C23" s="2" t="s">
        <v>2</v>
      </c>
      <c r="D23" s="2" t="s">
        <v>3</v>
      </c>
      <c r="H23" s="2" t="s">
        <v>1</v>
      </c>
      <c r="I23" s="2" t="s">
        <v>2</v>
      </c>
      <c r="J23" s="2" t="s">
        <v>3</v>
      </c>
      <c r="N23" s="2" t="s">
        <v>1</v>
      </c>
      <c r="O23" s="2" t="s">
        <v>2</v>
      </c>
      <c r="P23" s="2" t="s">
        <v>3</v>
      </c>
      <c r="T23" t="s">
        <v>1</v>
      </c>
      <c r="U23" t="s">
        <v>2</v>
      </c>
      <c r="V23" t="s">
        <v>3</v>
      </c>
    </row>
    <row r="24" spans="1:23" x14ac:dyDescent="0.3">
      <c r="A24" s="1" t="s">
        <v>16</v>
      </c>
      <c r="B24" s="5">
        <v>1.00184115</v>
      </c>
      <c r="C24" s="5">
        <v>1.0017884500000001</v>
      </c>
      <c r="D24" s="5">
        <v>1.0017886</v>
      </c>
      <c r="E24" s="1" t="s">
        <v>4</v>
      </c>
      <c r="F24" s="1"/>
      <c r="G24" s="1" t="s">
        <v>16</v>
      </c>
      <c r="H24" s="11">
        <v>1.00183815</v>
      </c>
      <c r="I24" s="5">
        <v>1.0017859499999999</v>
      </c>
      <c r="J24" s="5">
        <v>1.0017856000000001</v>
      </c>
      <c r="K24" s="1" t="s">
        <v>4</v>
      </c>
      <c r="L24" s="1"/>
      <c r="M24" s="1" t="s">
        <v>16</v>
      </c>
      <c r="N24" s="11">
        <v>1.0018376499999999</v>
      </c>
      <c r="O24" s="5">
        <v>1.0017859499999999</v>
      </c>
      <c r="P24" s="5">
        <v>1.0017856000000001</v>
      </c>
      <c r="Q24" s="1" t="s">
        <v>4</v>
      </c>
      <c r="S24" s="1" t="s">
        <v>16</v>
      </c>
      <c r="T24" s="3"/>
      <c r="U24" s="3"/>
      <c r="V24" s="3"/>
      <c r="W24" s="1" t="s">
        <v>4</v>
      </c>
    </row>
    <row r="25" spans="1:23" x14ac:dyDescent="0.3">
      <c r="A25" s="1" t="s">
        <v>14</v>
      </c>
      <c r="B25" s="5">
        <v>1.0017847499999999</v>
      </c>
      <c r="C25" s="5">
        <v>1.00178455</v>
      </c>
      <c r="D25" s="5">
        <v>1.0017835500000001</v>
      </c>
      <c r="E25" s="1" t="s">
        <v>4</v>
      </c>
      <c r="F25" s="1"/>
      <c r="G25" s="1" t="s">
        <v>14</v>
      </c>
      <c r="H25" s="11">
        <v>1.00178425</v>
      </c>
      <c r="I25" s="5">
        <v>1.0017840499999999</v>
      </c>
      <c r="J25" s="5">
        <v>1.0017835500000001</v>
      </c>
      <c r="K25" s="1" t="s">
        <v>4</v>
      </c>
      <c r="L25" s="1"/>
      <c r="M25" s="1" t="s">
        <v>14</v>
      </c>
      <c r="N25" s="11">
        <v>1.00178425</v>
      </c>
      <c r="O25" s="5">
        <v>1.0017840499999999</v>
      </c>
      <c r="P25" s="5">
        <v>1.0017835500000001</v>
      </c>
      <c r="Q25" s="1" t="s">
        <v>4</v>
      </c>
      <c r="S25" s="1" t="s">
        <v>14</v>
      </c>
      <c r="T25" s="1"/>
      <c r="U25" s="1"/>
      <c r="V25" s="1"/>
      <c r="W25" s="1" t="s">
        <v>4</v>
      </c>
    </row>
    <row r="26" spans="1:23" x14ac:dyDescent="0.3">
      <c r="A26" s="10" t="s">
        <v>20</v>
      </c>
      <c r="B26" s="5">
        <v>1.0025533</v>
      </c>
      <c r="C26" s="5">
        <v>1.00255315</v>
      </c>
      <c r="D26" s="5">
        <v>1.00255315</v>
      </c>
      <c r="E26" s="1" t="s">
        <v>4</v>
      </c>
      <c r="F26" s="1"/>
      <c r="G26" s="10" t="s">
        <v>20</v>
      </c>
      <c r="H26" s="11">
        <v>1.0025527999999999</v>
      </c>
      <c r="I26" s="5">
        <v>1.0025526499999999</v>
      </c>
      <c r="J26" s="5">
        <v>1.0025526499999999</v>
      </c>
      <c r="K26" s="1" t="s">
        <v>4</v>
      </c>
      <c r="L26" s="1"/>
      <c r="M26" s="10" t="s">
        <v>20</v>
      </c>
      <c r="N26" s="11">
        <v>1.0025527999999999</v>
      </c>
      <c r="O26" s="5">
        <v>1.0025526499999999</v>
      </c>
      <c r="P26" s="5">
        <v>1.0025526499999999</v>
      </c>
      <c r="Q26" s="1" t="s">
        <v>4</v>
      </c>
      <c r="S26" s="10" t="s">
        <v>20</v>
      </c>
      <c r="T26" s="1"/>
      <c r="U26" s="1"/>
      <c r="V26" s="1"/>
      <c r="W26" s="1"/>
    </row>
    <row r="27" spans="1:23" ht="14.5" thickBot="1" x14ac:dyDescent="0.35">
      <c r="A27" s="4" t="s">
        <v>15</v>
      </c>
      <c r="B27" s="6">
        <v>1.0017836499999999</v>
      </c>
      <c r="C27" s="6">
        <v>1.0017834999999999</v>
      </c>
      <c r="D27" s="6">
        <v>1.0017834999999999</v>
      </c>
      <c r="E27" s="2" t="s">
        <v>4</v>
      </c>
      <c r="F27" s="1"/>
      <c r="G27" s="4" t="s">
        <v>15</v>
      </c>
      <c r="H27" s="12">
        <v>1.0017836499999999</v>
      </c>
      <c r="I27" s="6">
        <v>1.0017834999999999</v>
      </c>
      <c r="J27" s="6">
        <v>1.0017834999999999</v>
      </c>
      <c r="K27" s="2" t="s">
        <v>4</v>
      </c>
      <c r="L27" s="1"/>
      <c r="M27" s="4" t="s">
        <v>15</v>
      </c>
      <c r="N27" s="12">
        <v>1.0017836499999999</v>
      </c>
      <c r="O27" s="6">
        <v>1.0017834999999999</v>
      </c>
      <c r="P27" s="6">
        <v>1.0017834999999999</v>
      </c>
      <c r="Q27" s="2" t="s">
        <v>4</v>
      </c>
      <c r="S27" s="4" t="s">
        <v>15</v>
      </c>
      <c r="T27" s="2"/>
      <c r="U27" s="2"/>
      <c r="V27" s="2"/>
      <c r="W27" s="2" t="s">
        <v>4</v>
      </c>
    </row>
    <row r="28" spans="1:23" x14ac:dyDescent="0.3">
      <c r="A28" s="1" t="s">
        <v>16</v>
      </c>
      <c r="B28" s="5">
        <v>1.0018395499999999</v>
      </c>
      <c r="C28" s="5">
        <v>1.00178685</v>
      </c>
      <c r="D28" s="5">
        <v>1.0017864999999999</v>
      </c>
      <c r="E28" s="1" t="s">
        <v>5</v>
      </c>
      <c r="F28" s="1"/>
      <c r="G28" s="1" t="s">
        <v>16</v>
      </c>
      <c r="H28" s="11">
        <v>1.00183705</v>
      </c>
      <c r="I28" s="5">
        <v>1.00178535</v>
      </c>
      <c r="J28" s="5">
        <v>1.0017849999999999</v>
      </c>
      <c r="K28" s="1" t="s">
        <v>5</v>
      </c>
      <c r="L28" s="1"/>
      <c r="M28" s="1" t="s">
        <v>16</v>
      </c>
      <c r="N28" s="11">
        <v>1.00183705</v>
      </c>
      <c r="O28" s="5">
        <v>1.00178535</v>
      </c>
      <c r="P28" s="5">
        <v>1.0017849999999999</v>
      </c>
      <c r="Q28" s="1" t="s">
        <v>5</v>
      </c>
      <c r="S28" s="1" t="s">
        <v>16</v>
      </c>
      <c r="T28" s="3"/>
      <c r="U28" s="3"/>
      <c r="V28" s="3"/>
      <c r="W28" s="1" t="s">
        <v>5</v>
      </c>
    </row>
    <row r="29" spans="1:23" x14ac:dyDescent="0.3">
      <c r="A29" s="1" t="s">
        <v>14</v>
      </c>
      <c r="B29" s="5">
        <v>1.00178415</v>
      </c>
      <c r="C29" s="5">
        <v>1.0017839500000001</v>
      </c>
      <c r="D29" s="5">
        <v>1.0017830000000001</v>
      </c>
      <c r="E29" s="1" t="s">
        <v>5</v>
      </c>
      <c r="F29" s="1"/>
      <c r="G29" s="1" t="s">
        <v>14</v>
      </c>
      <c r="H29" s="11">
        <v>1.0017836499999999</v>
      </c>
      <c r="I29" s="5">
        <v>1.0017834999999999</v>
      </c>
      <c r="J29" s="5">
        <v>1.0017830000000001</v>
      </c>
      <c r="K29" s="1" t="s">
        <v>5</v>
      </c>
      <c r="L29" s="1"/>
      <c r="M29" s="1" t="s">
        <v>14</v>
      </c>
      <c r="N29" s="11">
        <v>1.0017836499999999</v>
      </c>
      <c r="O29" s="5">
        <v>1.0017834999999999</v>
      </c>
      <c r="P29" s="5">
        <v>1.0017830000000001</v>
      </c>
      <c r="Q29" s="1" t="s">
        <v>5</v>
      </c>
      <c r="S29" s="1" t="s">
        <v>14</v>
      </c>
      <c r="T29" s="1"/>
      <c r="U29" s="1"/>
      <c r="V29" s="1"/>
      <c r="W29" s="1" t="s">
        <v>5</v>
      </c>
    </row>
    <row r="30" spans="1:23" x14ac:dyDescent="0.3">
      <c r="A30" s="10" t="s">
        <v>20</v>
      </c>
      <c r="B30" s="5">
        <v>1.0026615999999999</v>
      </c>
      <c r="C30" s="5">
        <v>1.00266145</v>
      </c>
      <c r="D30" s="5">
        <v>1.00266145</v>
      </c>
      <c r="E30" s="1" t="s">
        <v>5</v>
      </c>
      <c r="F30" s="1"/>
      <c r="G30" s="10" t="s">
        <v>20</v>
      </c>
      <c r="H30" s="11">
        <v>1.0026606</v>
      </c>
      <c r="I30" s="5">
        <v>1.00266045</v>
      </c>
      <c r="J30" s="5">
        <v>1.00266045</v>
      </c>
      <c r="K30" s="1" t="s">
        <v>5</v>
      </c>
      <c r="L30" s="1"/>
      <c r="M30" s="10" t="s">
        <v>20</v>
      </c>
      <c r="N30" s="11">
        <v>1.0026606</v>
      </c>
      <c r="O30" s="5">
        <v>1.00266045</v>
      </c>
      <c r="P30" s="5">
        <v>1.00266045</v>
      </c>
      <c r="Q30" s="1" t="s">
        <v>5</v>
      </c>
      <c r="S30" s="10" t="s">
        <v>20</v>
      </c>
      <c r="T30" s="1"/>
      <c r="U30" s="1"/>
      <c r="V30" s="1"/>
      <c r="W30" s="1"/>
    </row>
    <row r="31" spans="1:23" ht="14.5" thickBot="1" x14ac:dyDescent="0.35">
      <c r="A31" s="4" t="s">
        <v>15</v>
      </c>
      <c r="B31" s="6">
        <v>1.0017830999999999</v>
      </c>
      <c r="C31" s="6">
        <v>1.0017829499999999</v>
      </c>
      <c r="D31" s="6">
        <v>1.0017829499999999</v>
      </c>
      <c r="E31" s="2" t="s">
        <v>5</v>
      </c>
      <c r="F31" s="1"/>
      <c r="G31" s="4" t="s">
        <v>15</v>
      </c>
      <c r="H31" s="12">
        <v>1.0017830999999999</v>
      </c>
      <c r="I31" s="6">
        <v>1.0017829499999999</v>
      </c>
      <c r="J31" s="6">
        <v>1.0017829499999999</v>
      </c>
      <c r="K31" s="2" t="s">
        <v>5</v>
      </c>
      <c r="L31" s="1"/>
      <c r="M31" s="4" t="s">
        <v>15</v>
      </c>
      <c r="N31" s="12">
        <v>1.0017830999999999</v>
      </c>
      <c r="O31" s="6">
        <v>1.0017829499999999</v>
      </c>
      <c r="P31" s="6">
        <v>1.0017829499999999</v>
      </c>
      <c r="Q31" s="2" t="s">
        <v>5</v>
      </c>
      <c r="S31" s="4" t="s">
        <v>15</v>
      </c>
      <c r="T31" s="2"/>
      <c r="U31" s="2"/>
      <c r="V31" s="2"/>
      <c r="W31" s="2" t="s">
        <v>5</v>
      </c>
    </row>
    <row r="32" spans="1:23" x14ac:dyDescent="0.3">
      <c r="A32" s="1" t="s">
        <v>16</v>
      </c>
      <c r="B32" s="5">
        <v>1.0018357499999999</v>
      </c>
      <c r="C32" s="5">
        <v>1.00178305</v>
      </c>
      <c r="D32" s="5">
        <v>1.0017826999999999</v>
      </c>
      <c r="E32" s="1" t="s">
        <v>6</v>
      </c>
      <c r="F32" s="1"/>
      <c r="G32" s="1" t="s">
        <v>16</v>
      </c>
      <c r="H32" s="11">
        <v>1.0018337500000001</v>
      </c>
      <c r="I32" s="5">
        <v>1.0017820500000001</v>
      </c>
      <c r="J32" s="5">
        <v>1.0017817</v>
      </c>
      <c r="K32" s="1" t="s">
        <v>6</v>
      </c>
      <c r="L32" s="1"/>
      <c r="M32" s="1" t="s">
        <v>16</v>
      </c>
      <c r="N32" s="11">
        <v>1.0018337500000001</v>
      </c>
      <c r="O32" s="5">
        <v>1.0017820500000001</v>
      </c>
      <c r="P32" s="5">
        <v>1.0017817</v>
      </c>
      <c r="Q32" s="1" t="s">
        <v>6</v>
      </c>
      <c r="S32" s="1" t="s">
        <v>16</v>
      </c>
      <c r="W32" t="s">
        <v>6</v>
      </c>
    </row>
    <row r="33" spans="1:23" x14ac:dyDescent="0.3">
      <c r="A33" s="1" t="s">
        <v>14</v>
      </c>
      <c r="B33" s="5">
        <v>1.0017808500000001</v>
      </c>
      <c r="C33" s="5">
        <v>1.0017806499999999</v>
      </c>
      <c r="D33" s="5">
        <v>1.0017796999999999</v>
      </c>
      <c r="E33" s="1" t="s">
        <v>6</v>
      </c>
      <c r="F33" s="1"/>
      <c r="G33" s="1" t="s">
        <v>14</v>
      </c>
      <c r="H33" s="11">
        <v>1.00178035</v>
      </c>
      <c r="I33" s="5">
        <v>1.0017802</v>
      </c>
      <c r="J33" s="5">
        <v>1.0017796999999999</v>
      </c>
      <c r="K33" s="1" t="s">
        <v>6</v>
      </c>
      <c r="L33" s="1"/>
      <c r="M33" s="1" t="s">
        <v>14</v>
      </c>
      <c r="N33" s="11">
        <v>1.00178035</v>
      </c>
      <c r="O33" s="5">
        <v>1.0017802</v>
      </c>
      <c r="P33" s="5">
        <v>1.0017796999999999</v>
      </c>
      <c r="Q33" s="1" t="s">
        <v>6</v>
      </c>
      <c r="S33" s="1" t="s">
        <v>14</v>
      </c>
      <c r="W33" t="s">
        <v>6</v>
      </c>
    </row>
    <row r="34" spans="1:23" x14ac:dyDescent="0.3">
      <c r="A34" s="10" t="s">
        <v>20</v>
      </c>
      <c r="B34" s="5">
        <v>1.00253075</v>
      </c>
      <c r="C34" s="5">
        <v>1.0025306</v>
      </c>
      <c r="D34" s="5">
        <v>1.0025306</v>
      </c>
      <c r="E34" s="1" t="s">
        <v>6</v>
      </c>
      <c r="F34" s="1"/>
      <c r="G34" s="10" t="s">
        <v>20</v>
      </c>
      <c r="H34" s="11">
        <v>1.0025297500000001</v>
      </c>
      <c r="I34" s="5">
        <v>1.0025295999999999</v>
      </c>
      <c r="J34" s="5">
        <v>1.0025295999999999</v>
      </c>
      <c r="K34" s="1" t="s">
        <v>6</v>
      </c>
      <c r="L34" s="1"/>
      <c r="M34" s="10" t="s">
        <v>20</v>
      </c>
      <c r="N34" s="11">
        <v>1.0025297500000001</v>
      </c>
      <c r="O34" s="5">
        <v>1.0025295999999999</v>
      </c>
      <c r="P34" s="5">
        <v>1.0025295999999999</v>
      </c>
      <c r="Q34" s="1" t="s">
        <v>6</v>
      </c>
      <c r="S34" s="10" t="s">
        <v>20</v>
      </c>
    </row>
    <row r="35" spans="1:23" ht="14.5" thickBot="1" x14ac:dyDescent="0.35">
      <c r="A35" s="4" t="s">
        <v>15</v>
      </c>
      <c r="B35" s="6">
        <v>1.0017798</v>
      </c>
      <c r="C35" s="6">
        <v>1.00177965</v>
      </c>
      <c r="D35" s="6">
        <v>1.00177965</v>
      </c>
      <c r="E35" s="2" t="s">
        <v>6</v>
      </c>
      <c r="F35" s="1"/>
      <c r="G35" s="4" t="s">
        <v>15</v>
      </c>
      <c r="H35" s="6">
        <v>1.0017798</v>
      </c>
      <c r="I35" s="6">
        <v>1.00177965</v>
      </c>
      <c r="J35" s="6">
        <v>1.00177965</v>
      </c>
      <c r="K35" s="2" t="s">
        <v>6</v>
      </c>
      <c r="L35" s="1"/>
      <c r="M35" s="4" t="s">
        <v>15</v>
      </c>
      <c r="N35" s="6">
        <v>1.0017798</v>
      </c>
      <c r="O35" s="6">
        <v>1.00177965</v>
      </c>
      <c r="P35" s="6">
        <v>1.00177965</v>
      </c>
      <c r="Q35" s="2" t="s">
        <v>6</v>
      </c>
      <c r="S35" s="4" t="s">
        <v>15</v>
      </c>
      <c r="T35" s="2"/>
      <c r="U35" s="2"/>
      <c r="V35" s="2"/>
      <c r="W35" s="2" t="s">
        <v>6</v>
      </c>
    </row>
    <row r="36" spans="1:23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40" spans="1:23" ht="14" customHeight="1" x14ac:dyDescent="0.3">
      <c r="A40" s="21" t="s">
        <v>7</v>
      </c>
      <c r="B40" s="23" t="s">
        <v>9</v>
      </c>
      <c r="C40" s="23" t="s">
        <v>18</v>
      </c>
      <c r="G40" s="21" t="s">
        <v>7</v>
      </c>
      <c r="H40" s="23" t="s">
        <v>10</v>
      </c>
      <c r="I40" s="23" t="s">
        <v>18</v>
      </c>
      <c r="M40" s="21" t="s">
        <v>7</v>
      </c>
      <c r="N40" s="23" t="s">
        <v>11</v>
      </c>
      <c r="O40" s="23" t="s">
        <v>18</v>
      </c>
      <c r="S40" s="21" t="s">
        <v>7</v>
      </c>
      <c r="T40" s="23" t="s">
        <v>12</v>
      </c>
      <c r="U40" s="23" t="s">
        <v>18</v>
      </c>
    </row>
    <row r="41" spans="1:23" x14ac:dyDescent="0.3">
      <c r="A41" s="22"/>
      <c r="B41" s="23"/>
      <c r="C41" s="23"/>
      <c r="G41" s="22"/>
      <c r="H41" s="23"/>
      <c r="I41" s="23"/>
      <c r="M41" s="22"/>
      <c r="N41" s="23"/>
      <c r="O41" s="23"/>
      <c r="S41" s="22"/>
      <c r="T41" s="23"/>
      <c r="U41" s="23"/>
    </row>
    <row r="42" spans="1:23" ht="14.5" thickBot="1" x14ac:dyDescent="0.35">
      <c r="B42" t="s">
        <v>1</v>
      </c>
      <c r="C42" t="s">
        <v>2</v>
      </c>
      <c r="D42" t="s">
        <v>3</v>
      </c>
      <c r="H42" t="s">
        <v>1</v>
      </c>
      <c r="I42" t="s">
        <v>2</v>
      </c>
      <c r="J42" t="s">
        <v>3</v>
      </c>
      <c r="N42" t="s">
        <v>1</v>
      </c>
      <c r="O42" t="s">
        <v>2</v>
      </c>
      <c r="P42" t="s">
        <v>3</v>
      </c>
      <c r="T42" t="s">
        <v>1</v>
      </c>
      <c r="U42" t="s">
        <v>2</v>
      </c>
      <c r="V42" t="s">
        <v>3</v>
      </c>
    </row>
    <row r="43" spans="1:23" x14ac:dyDescent="0.3">
      <c r="A43" s="1" t="s">
        <v>16</v>
      </c>
      <c r="B43" s="7">
        <v>1.0033770500000001</v>
      </c>
      <c r="C43" s="7">
        <v>1.0033364</v>
      </c>
      <c r="D43" s="7">
        <v>1.0033358999999999</v>
      </c>
      <c r="E43" s="1" t="s">
        <v>4</v>
      </c>
      <c r="G43" s="1" t="s">
        <v>16</v>
      </c>
      <c r="H43" s="7">
        <v>1.0033770500000001</v>
      </c>
      <c r="I43" s="7">
        <v>1.0033364</v>
      </c>
      <c r="J43" s="7">
        <v>1.0033358999999999</v>
      </c>
      <c r="K43" s="1" t="s">
        <v>4</v>
      </c>
      <c r="M43" s="1" t="s">
        <v>16</v>
      </c>
      <c r="N43" s="7">
        <v>1.0033770500000001</v>
      </c>
      <c r="O43" s="7">
        <v>1.0033364</v>
      </c>
      <c r="P43" s="7">
        <v>1.0033358999999999</v>
      </c>
      <c r="Q43" s="1" t="s">
        <v>4</v>
      </c>
      <c r="S43" s="1" t="s">
        <v>16</v>
      </c>
      <c r="T43" s="7">
        <v>1.0033770500000001</v>
      </c>
      <c r="U43" s="7">
        <v>1.0033364</v>
      </c>
      <c r="V43" s="7">
        <v>1.0033358999999999</v>
      </c>
      <c r="W43" s="1" t="s">
        <v>4</v>
      </c>
    </row>
    <row r="44" spans="1:23" x14ac:dyDescent="0.3">
      <c r="A44" s="1" t="s">
        <v>14</v>
      </c>
      <c r="B44" s="5">
        <v>1.0033346000000001</v>
      </c>
      <c r="C44" s="5">
        <v>1.00333435</v>
      </c>
      <c r="D44" s="5">
        <v>1.0033341499999999</v>
      </c>
      <c r="E44" s="1" t="s">
        <v>4</v>
      </c>
      <c r="G44" s="1" t="s">
        <v>14</v>
      </c>
      <c r="H44" s="5">
        <v>1.0033346000000001</v>
      </c>
      <c r="I44" s="5">
        <v>1.00333435</v>
      </c>
      <c r="J44" s="5">
        <v>1.0033341499999999</v>
      </c>
      <c r="K44" s="1" t="s">
        <v>4</v>
      </c>
      <c r="M44" s="1" t="s">
        <v>14</v>
      </c>
      <c r="N44" s="5">
        <v>1.0033346000000001</v>
      </c>
      <c r="O44" s="5">
        <v>1.00333435</v>
      </c>
      <c r="P44" s="5">
        <v>1.0033341499999999</v>
      </c>
      <c r="Q44" s="1" t="s">
        <v>4</v>
      </c>
      <c r="S44" s="1" t="s">
        <v>14</v>
      </c>
      <c r="T44" s="5">
        <v>1.0033346000000001</v>
      </c>
      <c r="U44" s="5">
        <v>1.00333435</v>
      </c>
      <c r="V44" s="5">
        <v>1.0033341499999999</v>
      </c>
      <c r="W44" s="1" t="s">
        <v>4</v>
      </c>
    </row>
    <row r="45" spans="1:23" x14ac:dyDescent="0.3">
      <c r="A45" s="10" t="s">
        <v>20</v>
      </c>
      <c r="B45" s="5">
        <v>1.0047368000000001</v>
      </c>
      <c r="C45" s="5">
        <v>1.0047367</v>
      </c>
      <c r="D45" s="5">
        <v>1.0047367</v>
      </c>
      <c r="E45" s="1" t="s">
        <v>4</v>
      </c>
      <c r="G45" s="10" t="s">
        <v>20</v>
      </c>
      <c r="H45" s="5">
        <v>1.0047368000000001</v>
      </c>
      <c r="I45" s="5">
        <v>1.0047367</v>
      </c>
      <c r="J45" s="5">
        <v>1.0047367</v>
      </c>
      <c r="K45" s="1" t="s">
        <v>4</v>
      </c>
      <c r="M45" s="10" t="s">
        <v>20</v>
      </c>
      <c r="N45" s="5">
        <v>1.0047368000000001</v>
      </c>
      <c r="O45" s="5">
        <v>1.0047367</v>
      </c>
      <c r="P45" s="5">
        <v>1.0047367</v>
      </c>
      <c r="Q45" s="1" t="s">
        <v>4</v>
      </c>
      <c r="S45" s="10" t="s">
        <v>20</v>
      </c>
      <c r="T45" s="5"/>
      <c r="U45" s="5"/>
      <c r="V45" s="5"/>
      <c r="W45" s="1"/>
    </row>
    <row r="46" spans="1:23" ht="14.5" thickBot="1" x14ac:dyDescent="0.35">
      <c r="A46" s="4" t="s">
        <v>15</v>
      </c>
      <c r="B46" s="6">
        <v>1.00333425</v>
      </c>
      <c r="C46" s="6">
        <v>1.0033341499999999</v>
      </c>
      <c r="D46" s="6">
        <v>1.0033341499999999</v>
      </c>
      <c r="E46" s="2" t="s">
        <v>4</v>
      </c>
      <c r="G46" s="4" t="s">
        <v>15</v>
      </c>
      <c r="H46" s="6">
        <v>1.00333425</v>
      </c>
      <c r="I46" s="6">
        <v>1.0033341499999999</v>
      </c>
      <c r="J46" s="6">
        <v>1.0033341499999999</v>
      </c>
      <c r="K46" s="2" t="s">
        <v>4</v>
      </c>
      <c r="M46" s="4" t="s">
        <v>15</v>
      </c>
      <c r="N46" s="6">
        <v>1.00333425</v>
      </c>
      <c r="O46" s="6">
        <v>1.0033341499999999</v>
      </c>
      <c r="P46" s="6">
        <v>1.0033341499999999</v>
      </c>
      <c r="Q46" s="2" t="s">
        <v>4</v>
      </c>
      <c r="S46" s="4" t="s">
        <v>15</v>
      </c>
      <c r="T46" s="6">
        <v>1.00333425</v>
      </c>
      <c r="U46" s="6">
        <v>1.0033341499999999</v>
      </c>
      <c r="V46" s="6">
        <v>1.0033341499999999</v>
      </c>
      <c r="W46" s="2" t="s">
        <v>4</v>
      </c>
    </row>
    <row r="47" spans="1:23" x14ac:dyDescent="0.3">
      <c r="A47" s="1" t="s">
        <v>16</v>
      </c>
      <c r="B47" s="7">
        <v>1.0033754500000001</v>
      </c>
      <c r="C47" s="7">
        <v>1.0033348</v>
      </c>
      <c r="D47" s="7">
        <v>1.0033342999999999</v>
      </c>
      <c r="E47" s="1" t="s">
        <v>5</v>
      </c>
      <c r="G47" s="1" t="s">
        <v>16</v>
      </c>
      <c r="H47" s="7">
        <v>1.0033754500000001</v>
      </c>
      <c r="I47" s="7">
        <v>1.0033348</v>
      </c>
      <c r="J47" s="7">
        <v>1.0033342999999999</v>
      </c>
      <c r="K47" s="1" t="s">
        <v>5</v>
      </c>
      <c r="M47" s="1" t="s">
        <v>16</v>
      </c>
      <c r="N47" s="7">
        <v>1.0033754500000001</v>
      </c>
      <c r="O47" s="7">
        <v>1.0033348</v>
      </c>
      <c r="P47" s="7">
        <v>1.0033342999999999</v>
      </c>
      <c r="Q47" s="1" t="s">
        <v>5</v>
      </c>
      <c r="S47" s="1" t="s">
        <v>16</v>
      </c>
      <c r="T47" s="7">
        <v>1.0033754500000001</v>
      </c>
      <c r="U47" s="7">
        <v>1.0033348</v>
      </c>
      <c r="V47" s="7">
        <v>1.0033342999999999</v>
      </c>
      <c r="W47" s="1" t="s">
        <v>5</v>
      </c>
    </row>
    <row r="48" spans="1:23" x14ac:dyDescent="0.3">
      <c r="A48" s="1" t="s">
        <v>14</v>
      </c>
      <c r="B48" s="5">
        <v>1.003333</v>
      </c>
      <c r="C48" s="5">
        <v>1.00333275</v>
      </c>
      <c r="D48" s="5">
        <v>1.0033325500000001</v>
      </c>
      <c r="E48" s="1" t="s">
        <v>5</v>
      </c>
      <c r="G48" s="1" t="s">
        <v>14</v>
      </c>
      <c r="H48" s="5">
        <v>1.003333</v>
      </c>
      <c r="I48" s="5">
        <v>1.00333275</v>
      </c>
      <c r="J48" s="5">
        <v>1.0033325500000001</v>
      </c>
      <c r="K48" s="1" t="s">
        <v>5</v>
      </c>
      <c r="M48" s="1" t="s">
        <v>14</v>
      </c>
      <c r="N48" s="5">
        <v>1.003333</v>
      </c>
      <c r="O48" s="5">
        <v>1.00333275</v>
      </c>
      <c r="P48" s="5">
        <v>1.0033325500000001</v>
      </c>
      <c r="Q48" s="1" t="s">
        <v>5</v>
      </c>
      <c r="S48" s="1" t="s">
        <v>14</v>
      </c>
      <c r="T48" s="5">
        <v>1.003333</v>
      </c>
      <c r="U48" s="5">
        <v>1.00333275</v>
      </c>
      <c r="V48" s="5">
        <v>1.0033325500000001</v>
      </c>
      <c r="W48" s="1" t="s">
        <v>5</v>
      </c>
    </row>
    <row r="49" spans="1:23" x14ac:dyDescent="0.3">
      <c r="A49" s="10" t="s">
        <v>20</v>
      </c>
      <c r="B49" s="5">
        <v>1.0049322000000001</v>
      </c>
      <c r="C49" s="5">
        <v>1.0049321</v>
      </c>
      <c r="D49" s="5">
        <v>1.0049321</v>
      </c>
      <c r="E49" s="1" t="s">
        <v>5</v>
      </c>
      <c r="G49" s="10" t="s">
        <v>20</v>
      </c>
      <c r="H49" s="5">
        <v>1.0049322000000001</v>
      </c>
      <c r="I49" s="5">
        <v>1.0049321</v>
      </c>
      <c r="J49" s="5">
        <v>1.0049321</v>
      </c>
      <c r="K49" s="1" t="s">
        <v>5</v>
      </c>
      <c r="M49" s="10" t="s">
        <v>20</v>
      </c>
      <c r="N49" s="5">
        <v>1.0049322000000001</v>
      </c>
      <c r="O49" s="5">
        <v>1.0049321</v>
      </c>
      <c r="P49" s="5">
        <v>1.0049321</v>
      </c>
      <c r="Q49" s="1" t="s">
        <v>5</v>
      </c>
      <c r="S49" s="10" t="s">
        <v>20</v>
      </c>
      <c r="T49" s="5"/>
      <c r="U49" s="5"/>
      <c r="V49" s="5"/>
      <c r="W49" s="1"/>
    </row>
    <row r="50" spans="1:23" ht="14.5" thickBot="1" x14ac:dyDescent="0.35">
      <c r="A50" s="4" t="s">
        <v>15</v>
      </c>
      <c r="B50" s="6">
        <v>1.0033326499999999</v>
      </c>
      <c r="C50" s="6">
        <v>1.0033325500000001</v>
      </c>
      <c r="D50" s="6">
        <v>1.0033325500000001</v>
      </c>
      <c r="E50" s="2" t="s">
        <v>5</v>
      </c>
      <c r="G50" s="4" t="s">
        <v>15</v>
      </c>
      <c r="H50" s="6">
        <v>1.0033326499999999</v>
      </c>
      <c r="I50" s="6">
        <v>1.0033325500000001</v>
      </c>
      <c r="J50" s="6">
        <v>1.0033325500000001</v>
      </c>
      <c r="K50" s="2" t="s">
        <v>5</v>
      </c>
      <c r="M50" s="4" t="s">
        <v>15</v>
      </c>
      <c r="N50" s="6">
        <v>1.0033326499999999</v>
      </c>
      <c r="O50" s="6">
        <v>1.0033325500000001</v>
      </c>
      <c r="P50" s="6">
        <v>1.0033325500000001</v>
      </c>
      <c r="Q50" s="2" t="s">
        <v>5</v>
      </c>
      <c r="S50" s="4" t="s">
        <v>15</v>
      </c>
      <c r="T50" s="6">
        <v>1.0033326499999999</v>
      </c>
      <c r="U50" s="6">
        <v>1.0033325500000001</v>
      </c>
      <c r="V50" s="6">
        <v>1.0033325500000001</v>
      </c>
      <c r="W50" s="2" t="s">
        <v>5</v>
      </c>
    </row>
    <row r="51" spans="1:23" x14ac:dyDescent="0.3">
      <c r="A51" s="1" t="s">
        <v>16</v>
      </c>
      <c r="B51" s="8">
        <v>1.00337085</v>
      </c>
      <c r="C51" s="8">
        <v>1.0033301999999999</v>
      </c>
      <c r="D51" s="8">
        <v>1.0033297000000001</v>
      </c>
      <c r="E51" t="s">
        <v>6</v>
      </c>
      <c r="G51" s="1" t="s">
        <v>16</v>
      </c>
      <c r="H51" s="8">
        <v>1.00337085</v>
      </c>
      <c r="I51" s="8">
        <v>1.0033301999999999</v>
      </c>
      <c r="J51" s="8">
        <v>1.0033297000000001</v>
      </c>
      <c r="K51" t="s">
        <v>6</v>
      </c>
      <c r="M51" s="1" t="s">
        <v>16</v>
      </c>
      <c r="N51" s="8">
        <v>1.00337085</v>
      </c>
      <c r="O51" s="8">
        <v>1.0033301999999999</v>
      </c>
      <c r="P51" s="8">
        <v>1.0033297000000001</v>
      </c>
      <c r="Q51" t="s">
        <v>6</v>
      </c>
      <c r="S51" s="1" t="s">
        <v>16</v>
      </c>
      <c r="T51" s="8">
        <v>1.00337085</v>
      </c>
      <c r="U51" s="8">
        <v>1.0033301999999999</v>
      </c>
      <c r="V51" s="8">
        <v>1.0033297000000001</v>
      </c>
      <c r="W51" t="s">
        <v>6</v>
      </c>
    </row>
    <row r="52" spans="1:23" x14ac:dyDescent="0.3">
      <c r="A52" s="1" t="s">
        <v>14</v>
      </c>
      <c r="B52" s="8">
        <v>1.0033284</v>
      </c>
      <c r="C52" s="8">
        <v>1.00332815</v>
      </c>
      <c r="D52" s="8">
        <v>1.0033279500000001</v>
      </c>
      <c r="E52" t="s">
        <v>6</v>
      </c>
      <c r="G52" s="1" t="s">
        <v>14</v>
      </c>
      <c r="H52" s="8">
        <v>1.0033284</v>
      </c>
      <c r="I52" s="8">
        <v>1.00332815</v>
      </c>
      <c r="J52" s="8">
        <v>1.0033279500000001</v>
      </c>
      <c r="K52" t="s">
        <v>6</v>
      </c>
      <c r="M52" s="1" t="s">
        <v>14</v>
      </c>
      <c r="N52" s="8">
        <v>1.0033284</v>
      </c>
      <c r="O52" s="8">
        <v>1.00332815</v>
      </c>
      <c r="P52" s="8">
        <v>1.0033279500000001</v>
      </c>
      <c r="Q52" t="s">
        <v>6</v>
      </c>
      <c r="S52" s="1" t="s">
        <v>14</v>
      </c>
      <c r="T52" s="8">
        <v>1.0033284</v>
      </c>
      <c r="U52" s="8">
        <v>1.00332815</v>
      </c>
      <c r="V52" s="8">
        <v>1.0033279500000001</v>
      </c>
      <c r="W52" t="s">
        <v>6</v>
      </c>
    </row>
    <row r="53" spans="1:23" x14ac:dyDescent="0.3">
      <c r="A53" s="10" t="s">
        <v>20</v>
      </c>
      <c r="B53" s="8">
        <v>1.0047323500000001</v>
      </c>
      <c r="C53" s="8">
        <v>1.00473225</v>
      </c>
      <c r="D53" s="8">
        <v>1.00473225</v>
      </c>
      <c r="E53" t="s">
        <v>6</v>
      </c>
      <c r="G53" s="10" t="s">
        <v>20</v>
      </c>
      <c r="H53" s="8">
        <v>1.0047323500000001</v>
      </c>
      <c r="I53" s="8">
        <v>1.00473225</v>
      </c>
      <c r="J53" s="8">
        <v>1.00473225</v>
      </c>
      <c r="K53" t="s">
        <v>6</v>
      </c>
      <c r="M53" s="10" t="s">
        <v>20</v>
      </c>
      <c r="N53" s="8">
        <v>1.0047323500000001</v>
      </c>
      <c r="O53" s="8">
        <v>1.00473225</v>
      </c>
      <c r="P53" s="8">
        <v>1.00473225</v>
      </c>
      <c r="Q53" t="s">
        <v>6</v>
      </c>
      <c r="S53" s="10" t="s">
        <v>20</v>
      </c>
      <c r="T53" s="8"/>
      <c r="U53" s="8"/>
      <c r="V53" s="8"/>
    </row>
    <row r="54" spans="1:23" ht="14.5" thickBot="1" x14ac:dyDescent="0.35">
      <c r="A54" s="4" t="s">
        <v>15</v>
      </c>
      <c r="B54" s="6">
        <v>1.0033280499999999</v>
      </c>
      <c r="C54" s="6">
        <v>1.0033279500000001</v>
      </c>
      <c r="D54" s="6">
        <v>1.0033279500000001</v>
      </c>
      <c r="E54" s="2" t="s">
        <v>6</v>
      </c>
      <c r="G54" s="4" t="s">
        <v>15</v>
      </c>
      <c r="H54" s="6">
        <v>1.0033280499999999</v>
      </c>
      <c r="I54" s="6">
        <v>1.0033279500000001</v>
      </c>
      <c r="J54" s="6">
        <v>1.0033279500000001</v>
      </c>
      <c r="K54" s="2" t="s">
        <v>6</v>
      </c>
      <c r="M54" s="4" t="s">
        <v>15</v>
      </c>
      <c r="N54" s="6">
        <v>1.0033280499999999</v>
      </c>
      <c r="O54" s="6">
        <v>1.0033279500000001</v>
      </c>
      <c r="P54" s="6">
        <v>1.0033279500000001</v>
      </c>
      <c r="Q54" s="2" t="s">
        <v>6</v>
      </c>
      <c r="S54" s="4" t="s">
        <v>15</v>
      </c>
      <c r="T54" s="6">
        <v>1.0033280499999999</v>
      </c>
      <c r="U54" s="6">
        <v>1.0033279500000001</v>
      </c>
      <c r="V54" s="6">
        <v>1.0033279500000001</v>
      </c>
      <c r="W54" s="2" t="s">
        <v>6</v>
      </c>
    </row>
    <row r="57" spans="1:23" x14ac:dyDescent="0.3">
      <c r="A57" s="21" t="s">
        <v>8</v>
      </c>
      <c r="B57" s="23" t="s">
        <v>9</v>
      </c>
      <c r="C57" s="23" t="s">
        <v>18</v>
      </c>
      <c r="G57" s="21" t="s">
        <v>8</v>
      </c>
      <c r="H57" s="23" t="s">
        <v>10</v>
      </c>
      <c r="I57" s="23" t="s">
        <v>18</v>
      </c>
      <c r="M57" s="21" t="s">
        <v>8</v>
      </c>
      <c r="N57" s="23" t="s">
        <v>11</v>
      </c>
      <c r="O57" s="23" t="s">
        <v>18</v>
      </c>
      <c r="S57" s="21" t="s">
        <v>8</v>
      </c>
      <c r="T57" s="23" t="s">
        <v>12</v>
      </c>
      <c r="U57" s="23" t="s">
        <v>18</v>
      </c>
    </row>
    <row r="58" spans="1:23" x14ac:dyDescent="0.3">
      <c r="A58" s="22"/>
      <c r="B58" s="23"/>
      <c r="C58" s="23"/>
      <c r="G58" s="22"/>
      <c r="H58" s="23"/>
      <c r="I58" s="23"/>
      <c r="M58" s="22"/>
      <c r="N58" s="23"/>
      <c r="O58" s="23"/>
      <c r="S58" s="22"/>
      <c r="T58" s="23"/>
      <c r="U58" s="23"/>
    </row>
    <row r="59" spans="1:23" ht="14.5" thickBot="1" x14ac:dyDescent="0.35">
      <c r="B59" t="s">
        <v>1</v>
      </c>
      <c r="C59" t="s">
        <v>2</v>
      </c>
      <c r="D59" t="s">
        <v>3</v>
      </c>
      <c r="H59" t="s">
        <v>1</v>
      </c>
      <c r="I59" t="s">
        <v>2</v>
      </c>
      <c r="J59" t="s">
        <v>3</v>
      </c>
      <c r="N59" t="s">
        <v>1</v>
      </c>
      <c r="O59" t="s">
        <v>2</v>
      </c>
      <c r="P59" t="s">
        <v>3</v>
      </c>
      <c r="T59" t="s">
        <v>1</v>
      </c>
      <c r="U59" t="s">
        <v>2</v>
      </c>
      <c r="V59" t="s">
        <v>3</v>
      </c>
    </row>
    <row r="60" spans="1:23" x14ac:dyDescent="0.3">
      <c r="A60" s="1" t="s">
        <v>16</v>
      </c>
      <c r="B60" s="7">
        <v>1.0018376499999999</v>
      </c>
      <c r="C60" s="7">
        <v>1.0017859499999999</v>
      </c>
      <c r="D60" s="7">
        <v>1.0017856000000001</v>
      </c>
      <c r="E60" s="1" t="s">
        <v>4</v>
      </c>
      <c r="G60" s="1" t="s">
        <v>16</v>
      </c>
      <c r="H60" s="7">
        <v>1.0018376499999999</v>
      </c>
      <c r="I60" s="7">
        <v>1.0017859499999999</v>
      </c>
      <c r="J60" s="7">
        <v>1.0017856000000001</v>
      </c>
      <c r="K60" s="1" t="s">
        <v>4</v>
      </c>
      <c r="M60" s="1" t="s">
        <v>16</v>
      </c>
      <c r="N60" s="7">
        <v>1.0018376499999999</v>
      </c>
      <c r="O60" s="7">
        <v>1.0017859499999999</v>
      </c>
      <c r="P60" s="7">
        <v>1.0017856000000001</v>
      </c>
      <c r="Q60" s="1" t="s">
        <v>4</v>
      </c>
      <c r="S60" s="1" t="s">
        <v>16</v>
      </c>
      <c r="T60" s="7">
        <v>1.0018376499999999</v>
      </c>
      <c r="U60" s="7">
        <v>1.0017859499999999</v>
      </c>
      <c r="V60" s="7">
        <v>1.0017856000000001</v>
      </c>
      <c r="W60" s="1" t="s">
        <v>4</v>
      </c>
    </row>
    <row r="61" spans="1:23" x14ac:dyDescent="0.3">
      <c r="A61" s="1" t="s">
        <v>14</v>
      </c>
      <c r="B61" s="5">
        <v>1.00178425</v>
      </c>
      <c r="C61" s="5">
        <v>1.0017840499999999</v>
      </c>
      <c r="D61" s="5">
        <v>1.0017835500000001</v>
      </c>
      <c r="E61" s="1" t="s">
        <v>4</v>
      </c>
      <c r="G61" s="1" t="s">
        <v>14</v>
      </c>
      <c r="H61" s="5">
        <v>1.00178425</v>
      </c>
      <c r="I61" s="5">
        <v>1.0017840499999999</v>
      </c>
      <c r="J61" s="5">
        <v>1.0017835500000001</v>
      </c>
      <c r="K61" s="1" t="s">
        <v>4</v>
      </c>
      <c r="M61" s="1" t="s">
        <v>14</v>
      </c>
      <c r="N61" s="5">
        <v>1.00178425</v>
      </c>
      <c r="O61" s="5">
        <v>1.0017840499999999</v>
      </c>
      <c r="P61" s="5">
        <v>1.0017835500000001</v>
      </c>
      <c r="Q61" s="1" t="s">
        <v>4</v>
      </c>
      <c r="S61" s="1" t="s">
        <v>14</v>
      </c>
      <c r="T61" s="5">
        <v>1.00178425</v>
      </c>
      <c r="U61" s="5">
        <v>1.0017840499999999</v>
      </c>
      <c r="V61" s="5">
        <v>1.0017835500000001</v>
      </c>
      <c r="W61" s="1" t="s">
        <v>4</v>
      </c>
    </row>
    <row r="62" spans="1:23" x14ac:dyDescent="0.3">
      <c r="A62" s="10" t="s">
        <v>20</v>
      </c>
      <c r="B62" s="5">
        <v>1.0025527999999999</v>
      </c>
      <c r="C62" s="5">
        <v>1.0025526499999999</v>
      </c>
      <c r="D62" s="5">
        <v>1.0025526499999999</v>
      </c>
      <c r="E62" s="1" t="s">
        <v>4</v>
      </c>
      <c r="G62" s="10" t="s">
        <v>20</v>
      </c>
      <c r="H62" s="5">
        <v>1.0025527999999999</v>
      </c>
      <c r="I62" s="5">
        <v>1.0025526499999999</v>
      </c>
      <c r="J62" s="5">
        <v>1.0025526499999999</v>
      </c>
      <c r="K62" s="1" t="s">
        <v>4</v>
      </c>
      <c r="M62" s="10" t="s">
        <v>20</v>
      </c>
      <c r="N62" s="5">
        <v>1.0025527999999999</v>
      </c>
      <c r="O62" s="5">
        <v>1.0025526499999999</v>
      </c>
      <c r="P62" s="5">
        <v>1.0025526499999999</v>
      </c>
      <c r="Q62" s="1" t="s">
        <v>4</v>
      </c>
      <c r="S62" s="10" t="s">
        <v>20</v>
      </c>
      <c r="T62" s="5"/>
      <c r="U62" s="5"/>
      <c r="V62" s="5"/>
      <c r="W62" s="1"/>
    </row>
    <row r="63" spans="1:23" ht="14.5" thickBot="1" x14ac:dyDescent="0.35">
      <c r="A63" s="4" t="s">
        <v>15</v>
      </c>
      <c r="B63" s="6">
        <v>1.0017836499999999</v>
      </c>
      <c r="C63" s="6">
        <v>1.0017834999999999</v>
      </c>
      <c r="D63" s="6">
        <v>1.0017834999999999</v>
      </c>
      <c r="E63" s="2" t="s">
        <v>4</v>
      </c>
      <c r="G63" s="4" t="s">
        <v>15</v>
      </c>
      <c r="H63" s="6">
        <v>1.0017836499999999</v>
      </c>
      <c r="I63" s="6">
        <v>1.0017834999999999</v>
      </c>
      <c r="J63" s="6">
        <v>1.0017834999999999</v>
      </c>
      <c r="K63" s="2" t="s">
        <v>4</v>
      </c>
      <c r="M63" s="4" t="s">
        <v>15</v>
      </c>
      <c r="N63" s="6">
        <v>1.0017836499999999</v>
      </c>
      <c r="O63" s="6">
        <v>1.0017834999999999</v>
      </c>
      <c r="P63" s="6">
        <v>1.0017834999999999</v>
      </c>
      <c r="Q63" s="2" t="s">
        <v>4</v>
      </c>
      <c r="S63" s="4" t="s">
        <v>15</v>
      </c>
      <c r="T63" s="6">
        <v>1.0017836499999999</v>
      </c>
      <c r="U63" s="6">
        <v>1.0017834999999999</v>
      </c>
      <c r="V63" s="6">
        <v>1.0017834999999999</v>
      </c>
      <c r="W63" s="2" t="s">
        <v>4</v>
      </c>
    </row>
    <row r="64" spans="1:23" x14ac:dyDescent="0.3">
      <c r="A64" s="1" t="s">
        <v>16</v>
      </c>
      <c r="B64" s="7">
        <v>1.00183705</v>
      </c>
      <c r="C64" s="7">
        <v>1.00178535</v>
      </c>
      <c r="D64" s="7">
        <v>1.0017849999999999</v>
      </c>
      <c r="E64" s="1" t="s">
        <v>5</v>
      </c>
      <c r="G64" s="1" t="s">
        <v>16</v>
      </c>
      <c r="H64" s="7">
        <v>1.00183705</v>
      </c>
      <c r="I64" s="7">
        <v>1.00178535</v>
      </c>
      <c r="J64" s="7">
        <v>1.0017849999999999</v>
      </c>
      <c r="K64" s="1" t="s">
        <v>5</v>
      </c>
      <c r="M64" s="1" t="s">
        <v>16</v>
      </c>
      <c r="N64" s="7">
        <v>1.00183705</v>
      </c>
      <c r="O64" s="7">
        <v>1.00178535</v>
      </c>
      <c r="P64" s="7">
        <v>1.0017849999999999</v>
      </c>
      <c r="Q64" s="1" t="s">
        <v>5</v>
      </c>
      <c r="S64" s="1" t="s">
        <v>16</v>
      </c>
      <c r="T64" s="7">
        <v>1.00183705</v>
      </c>
      <c r="U64" s="7">
        <v>1.00178535</v>
      </c>
      <c r="V64" s="7">
        <v>1.0017849999999999</v>
      </c>
      <c r="W64" s="1" t="s">
        <v>5</v>
      </c>
    </row>
    <row r="65" spans="1:23" x14ac:dyDescent="0.3">
      <c r="A65" s="1" t="s">
        <v>14</v>
      </c>
      <c r="B65" s="5">
        <v>1.0017836499999999</v>
      </c>
      <c r="C65" s="5">
        <v>1.0017834999999999</v>
      </c>
      <c r="D65" s="5">
        <v>1.0017830000000001</v>
      </c>
      <c r="E65" s="1" t="s">
        <v>5</v>
      </c>
      <c r="G65" s="1" t="s">
        <v>14</v>
      </c>
      <c r="H65" s="5">
        <v>1.0017836499999999</v>
      </c>
      <c r="I65" s="5">
        <v>1.0017834999999999</v>
      </c>
      <c r="J65" s="5">
        <v>1.0017830000000001</v>
      </c>
      <c r="K65" s="1" t="s">
        <v>5</v>
      </c>
      <c r="M65" s="1" t="s">
        <v>14</v>
      </c>
      <c r="N65" s="5">
        <v>1.0017836499999999</v>
      </c>
      <c r="O65" s="5">
        <v>1.0017834999999999</v>
      </c>
      <c r="P65" s="5">
        <v>1.0017830000000001</v>
      </c>
      <c r="Q65" s="1" t="s">
        <v>5</v>
      </c>
      <c r="S65" s="1" t="s">
        <v>14</v>
      </c>
      <c r="T65" s="5">
        <v>1.0017836499999999</v>
      </c>
      <c r="U65" s="5">
        <v>1.0017834999999999</v>
      </c>
      <c r="V65" s="5">
        <v>1.0017830000000001</v>
      </c>
      <c r="W65" s="1" t="s">
        <v>5</v>
      </c>
    </row>
    <row r="66" spans="1:23" x14ac:dyDescent="0.3">
      <c r="A66" s="10" t="s">
        <v>20</v>
      </c>
      <c r="B66" s="5">
        <v>1.0026606</v>
      </c>
      <c r="C66" s="5">
        <v>1.00266045</v>
      </c>
      <c r="D66" s="5">
        <v>1.00266045</v>
      </c>
      <c r="E66" s="1" t="s">
        <v>5</v>
      </c>
      <c r="G66" s="10" t="s">
        <v>20</v>
      </c>
      <c r="H66" s="5">
        <v>1.0026606</v>
      </c>
      <c r="I66" s="5">
        <v>1.00266045</v>
      </c>
      <c r="J66" s="5">
        <v>1.00266045</v>
      </c>
      <c r="K66" s="1" t="s">
        <v>5</v>
      </c>
      <c r="M66" s="10" t="s">
        <v>20</v>
      </c>
      <c r="N66" s="5">
        <v>1.0026606</v>
      </c>
      <c r="O66" s="5">
        <v>1.00266045</v>
      </c>
      <c r="P66" s="5">
        <v>1.00266045</v>
      </c>
      <c r="Q66" s="1" t="s">
        <v>5</v>
      </c>
      <c r="S66" s="10" t="s">
        <v>20</v>
      </c>
      <c r="T66" s="5"/>
      <c r="U66" s="5"/>
      <c r="V66" s="5"/>
      <c r="W66" s="1"/>
    </row>
    <row r="67" spans="1:23" ht="14.5" thickBot="1" x14ac:dyDescent="0.35">
      <c r="A67" s="4" t="s">
        <v>15</v>
      </c>
      <c r="B67" s="6">
        <v>1.0017830999999999</v>
      </c>
      <c r="C67" s="6">
        <v>1.0017829499999999</v>
      </c>
      <c r="D67" s="6">
        <v>1.0017829499999999</v>
      </c>
      <c r="E67" s="2" t="s">
        <v>5</v>
      </c>
      <c r="G67" s="4" t="s">
        <v>15</v>
      </c>
      <c r="H67" s="6">
        <v>1.0017830999999999</v>
      </c>
      <c r="I67" s="6">
        <v>1.0017829499999999</v>
      </c>
      <c r="J67" s="6">
        <v>1.0017829499999999</v>
      </c>
      <c r="K67" s="2" t="s">
        <v>5</v>
      </c>
      <c r="M67" s="4" t="s">
        <v>15</v>
      </c>
      <c r="N67" s="6">
        <v>1.0017830999999999</v>
      </c>
      <c r="O67" s="6">
        <v>1.0017829499999999</v>
      </c>
      <c r="P67" s="6">
        <v>1.0017829499999999</v>
      </c>
      <c r="Q67" s="2" t="s">
        <v>5</v>
      </c>
      <c r="S67" s="4" t="s">
        <v>15</v>
      </c>
      <c r="T67" s="6">
        <v>1.0017830999999999</v>
      </c>
      <c r="U67" s="6">
        <v>1.0017829499999999</v>
      </c>
      <c r="V67" s="6">
        <v>1.0017829499999999</v>
      </c>
      <c r="W67" s="2" t="s">
        <v>5</v>
      </c>
    </row>
    <row r="68" spans="1:23" x14ac:dyDescent="0.3">
      <c r="A68" s="1" t="s">
        <v>16</v>
      </c>
      <c r="B68" s="8">
        <v>1.0018337500000001</v>
      </c>
      <c r="C68" s="8">
        <v>1.0017820500000001</v>
      </c>
      <c r="D68" s="8">
        <v>1.0017817</v>
      </c>
      <c r="E68" t="s">
        <v>6</v>
      </c>
      <c r="G68" s="1" t="s">
        <v>16</v>
      </c>
      <c r="H68" s="8">
        <v>1.0018337500000001</v>
      </c>
      <c r="I68" s="8">
        <v>1.0017820500000001</v>
      </c>
      <c r="J68" s="8">
        <v>1.0017817</v>
      </c>
      <c r="K68" t="s">
        <v>6</v>
      </c>
      <c r="M68" s="1" t="s">
        <v>16</v>
      </c>
      <c r="N68" s="8">
        <v>1.0018337500000001</v>
      </c>
      <c r="O68" s="8">
        <v>1.0017820500000001</v>
      </c>
      <c r="P68" s="8">
        <v>1.0017817</v>
      </c>
      <c r="Q68" t="s">
        <v>6</v>
      </c>
      <c r="S68" s="1" t="s">
        <v>16</v>
      </c>
      <c r="T68" s="8">
        <v>1.0018337500000001</v>
      </c>
      <c r="U68" s="8">
        <v>1.0017820500000001</v>
      </c>
      <c r="V68" s="8">
        <v>1.0017817</v>
      </c>
      <c r="W68" t="s">
        <v>6</v>
      </c>
    </row>
    <row r="69" spans="1:23" x14ac:dyDescent="0.3">
      <c r="A69" s="1" t="s">
        <v>14</v>
      </c>
      <c r="B69" s="8">
        <v>1.00178035</v>
      </c>
      <c r="C69" s="8">
        <v>1.0017802</v>
      </c>
      <c r="D69" s="8">
        <v>1.0017796999999999</v>
      </c>
      <c r="E69" t="s">
        <v>6</v>
      </c>
      <c r="G69" s="1" t="s">
        <v>14</v>
      </c>
      <c r="H69" s="8">
        <v>1.00178035</v>
      </c>
      <c r="I69" s="8">
        <v>1.0017802</v>
      </c>
      <c r="J69" s="8">
        <v>1.0017796999999999</v>
      </c>
      <c r="K69" t="s">
        <v>6</v>
      </c>
      <c r="M69" s="1" t="s">
        <v>14</v>
      </c>
      <c r="N69" s="8">
        <v>1.00178035</v>
      </c>
      <c r="O69" s="8">
        <v>1.0017802</v>
      </c>
      <c r="P69" s="8">
        <v>1.0017796999999999</v>
      </c>
      <c r="Q69" t="s">
        <v>6</v>
      </c>
      <c r="S69" s="1" t="s">
        <v>14</v>
      </c>
      <c r="T69" s="8">
        <v>1.00178035</v>
      </c>
      <c r="U69" s="8">
        <v>1.0017802</v>
      </c>
      <c r="V69" s="8">
        <v>1.0017796999999999</v>
      </c>
      <c r="W69" t="s">
        <v>6</v>
      </c>
    </row>
    <row r="70" spans="1:23" x14ac:dyDescent="0.3">
      <c r="A70" s="10" t="s">
        <v>20</v>
      </c>
      <c r="B70" s="8">
        <v>1.0025297500000001</v>
      </c>
      <c r="C70" s="8">
        <v>1.0025295999999999</v>
      </c>
      <c r="D70" s="8">
        <v>1.0025295999999999</v>
      </c>
      <c r="E70" t="s">
        <v>6</v>
      </c>
      <c r="G70" s="10" t="s">
        <v>20</v>
      </c>
      <c r="H70" s="8">
        <v>1.0025297500000001</v>
      </c>
      <c r="I70" s="8">
        <v>1.0025295999999999</v>
      </c>
      <c r="J70" s="8">
        <v>1.0025295999999999</v>
      </c>
      <c r="K70" t="s">
        <v>6</v>
      </c>
      <c r="M70" s="10" t="s">
        <v>20</v>
      </c>
      <c r="N70" s="8">
        <v>1.0025297500000001</v>
      </c>
      <c r="O70" s="8">
        <v>1.0025295999999999</v>
      </c>
      <c r="P70" s="8">
        <v>1.0025295999999999</v>
      </c>
      <c r="Q70" t="s">
        <v>6</v>
      </c>
      <c r="S70" s="10" t="s">
        <v>20</v>
      </c>
      <c r="T70" s="8"/>
      <c r="U70" s="8"/>
      <c r="V70" s="8"/>
    </row>
    <row r="71" spans="1:23" ht="14.5" thickBot="1" x14ac:dyDescent="0.35">
      <c r="A71" s="4" t="s">
        <v>15</v>
      </c>
      <c r="B71" s="6">
        <v>1.0017798</v>
      </c>
      <c r="C71" s="6">
        <v>1.00177965</v>
      </c>
      <c r="D71" s="6">
        <v>1.00177965</v>
      </c>
      <c r="E71" s="2" t="s">
        <v>6</v>
      </c>
      <c r="G71" s="4" t="s">
        <v>15</v>
      </c>
      <c r="H71" s="6">
        <v>1.0017798</v>
      </c>
      <c r="I71" s="6">
        <v>1.00177965</v>
      </c>
      <c r="J71" s="6">
        <v>1.00177965</v>
      </c>
      <c r="K71" s="2" t="s">
        <v>6</v>
      </c>
      <c r="M71" s="4" t="s">
        <v>15</v>
      </c>
      <c r="N71" s="6">
        <v>1.0017798</v>
      </c>
      <c r="O71" s="6">
        <v>1.00177965</v>
      </c>
      <c r="P71" s="6">
        <v>1.00177965</v>
      </c>
      <c r="Q71" s="2" t="s">
        <v>6</v>
      </c>
      <c r="S71" s="4" t="s">
        <v>15</v>
      </c>
      <c r="T71" s="6">
        <v>1.0017798</v>
      </c>
      <c r="U71" s="6">
        <v>1.00177965</v>
      </c>
      <c r="V71" s="6">
        <v>1.00177965</v>
      </c>
      <c r="W71" s="2" t="s">
        <v>6</v>
      </c>
    </row>
    <row r="75" spans="1:23" x14ac:dyDescent="0.3">
      <c r="A75" t="s">
        <v>42</v>
      </c>
      <c r="B75">
        <f>MIN(A1:W71)</f>
        <v>1.00177965</v>
      </c>
    </row>
    <row r="79" spans="1:23" x14ac:dyDescent="0.3">
      <c r="A79" t="s">
        <v>45</v>
      </c>
      <c r="B79">
        <f>MIN(A83:Q153)</f>
        <v>1208.0740951999999</v>
      </c>
    </row>
    <row r="82" spans="1:23" x14ac:dyDescent="0.3">
      <c r="S82" t="s">
        <v>43</v>
      </c>
    </row>
    <row r="83" spans="1:23" x14ac:dyDescent="0.3">
      <c r="A83" s="21" t="s">
        <v>7</v>
      </c>
      <c r="B83" s="23" t="s">
        <v>9</v>
      </c>
      <c r="C83" s="23" t="s">
        <v>17</v>
      </c>
      <c r="G83" s="21" t="s">
        <v>7</v>
      </c>
      <c r="H83" s="23" t="s">
        <v>10</v>
      </c>
      <c r="I83" s="23" t="s">
        <v>17</v>
      </c>
      <c r="M83" s="21" t="s">
        <v>7</v>
      </c>
      <c r="N83" s="23" t="s">
        <v>11</v>
      </c>
      <c r="O83" s="23" t="s">
        <v>17</v>
      </c>
      <c r="S83" s="21" t="s">
        <v>7</v>
      </c>
      <c r="T83" s="23" t="s">
        <v>11</v>
      </c>
      <c r="U83" s="23" t="s">
        <v>17</v>
      </c>
    </row>
    <row r="84" spans="1:23" x14ac:dyDescent="0.3">
      <c r="A84" s="22"/>
      <c r="B84" s="23"/>
      <c r="C84" s="23"/>
      <c r="G84" s="22"/>
      <c r="H84" s="23"/>
      <c r="I84" s="23"/>
      <c r="M84" s="22"/>
      <c r="N84" s="23"/>
      <c r="O84" s="23"/>
      <c r="S84" s="22"/>
      <c r="T84" s="23"/>
      <c r="U84" s="23"/>
    </row>
    <row r="85" spans="1:23" ht="14.5" thickBot="1" x14ac:dyDescent="0.35">
      <c r="B85" s="2" t="s">
        <v>1</v>
      </c>
      <c r="C85" s="2" t="s">
        <v>2</v>
      </c>
      <c r="D85" s="2" t="s">
        <v>3</v>
      </c>
      <c r="H85" s="2" t="s">
        <v>1</v>
      </c>
      <c r="I85" s="2" t="s">
        <v>2</v>
      </c>
      <c r="J85" s="2" t="s">
        <v>3</v>
      </c>
      <c r="N85" s="2" t="s">
        <v>1</v>
      </c>
      <c r="O85" s="2" t="s">
        <v>2</v>
      </c>
      <c r="P85" s="2" t="s">
        <v>3</v>
      </c>
      <c r="T85" s="2" t="s">
        <v>1</v>
      </c>
      <c r="U85" s="2" t="s">
        <v>2</v>
      </c>
      <c r="V85" s="2" t="s">
        <v>3</v>
      </c>
    </row>
    <row r="86" spans="1:23" x14ac:dyDescent="0.3">
      <c r="A86" t="s">
        <v>19</v>
      </c>
      <c r="B86" s="15">
        <f>(32*4+256*4+2+20+20+10)*B4</f>
        <v>1208.0837271999999</v>
      </c>
      <c r="C86" s="15">
        <f>(32*4+256*4+2+40+20+10)*C4</f>
        <v>1228.0966668000001</v>
      </c>
      <c r="D86" s="14">
        <f>(32*4+256*4+2+80+20+10)*D4</f>
        <v>1268.2286488000002</v>
      </c>
      <c r="E86" s="1" t="s">
        <v>4</v>
      </c>
      <c r="G86" t="s">
        <v>19</v>
      </c>
      <c r="H86" s="15">
        <f>(32*4+256*4+2+20+20+10)*H4</f>
        <v>1208.0746971999999</v>
      </c>
      <c r="I86" s="15">
        <f>(32*4+256*4+2+40+20+10)*I4</f>
        <v>1228.0899348</v>
      </c>
      <c r="J86" s="14">
        <f>(32*4+256*4+2+80+20+10)*J4</f>
        <v>1268.2229607999998</v>
      </c>
      <c r="K86" s="1" t="s">
        <v>4</v>
      </c>
      <c r="M86" t="s">
        <v>19</v>
      </c>
      <c r="N86" s="15">
        <f>(32*4+256*4+2+20+20+10)*N4</f>
        <v>1208.0740951999999</v>
      </c>
      <c r="O86" s="15">
        <f>(32*4+256*4+2+40+20+10)*O4</f>
        <v>1228.0899348</v>
      </c>
      <c r="P86" s="14">
        <f>(32*4+256*4+2+80+20+10)*P4</f>
        <v>1268.2229607999998</v>
      </c>
      <c r="Q86" s="1" t="s">
        <v>4</v>
      </c>
      <c r="S86" t="s">
        <v>46</v>
      </c>
      <c r="T86">
        <v>1.0047863500000001</v>
      </c>
      <c r="W86" s="1" t="s">
        <v>4</v>
      </c>
    </row>
    <row r="87" spans="1:23" x14ac:dyDescent="0.3">
      <c r="A87" s="1" t="s">
        <v>16</v>
      </c>
      <c r="B87" s="5">
        <f>(64*4+256*4+2+20+20+10)*B5</f>
        <v>1336.5015605999999</v>
      </c>
      <c r="C87" s="5">
        <f>(64*4+256*4+2+40+20+10)*C5</f>
        <v>1356.5135168000002</v>
      </c>
      <c r="D87" s="5">
        <f>(64*4+256*4+2+80+20+10)*D5</f>
        <v>1396.6463567999999</v>
      </c>
      <c r="E87" s="1" t="s">
        <v>4</v>
      </c>
      <c r="G87" s="1" t="s">
        <v>16</v>
      </c>
      <c r="H87" s="5">
        <f>(64*4+256*4+2+20+20+10)*H5</f>
        <v>1336.4988965999999</v>
      </c>
      <c r="I87" s="5">
        <f>(64*4+256*4+2+40+20+10)*I5</f>
        <v>1356.5108127999999</v>
      </c>
      <c r="J87" s="5">
        <f>(64*4+256*4+2+80+20+10)*J5</f>
        <v>1396.6435727999999</v>
      </c>
      <c r="K87" s="1" t="s">
        <v>4</v>
      </c>
      <c r="M87" s="1" t="s">
        <v>16</v>
      </c>
      <c r="N87" s="5">
        <f>(64*4+256*4+2+20+20+10)*N5</f>
        <v>1336.4982306000002</v>
      </c>
      <c r="O87" s="5">
        <f>(64*4+256*4+2+40+20+10)*O5</f>
        <v>1356.5108127999999</v>
      </c>
      <c r="P87" s="5">
        <f>(64*4+256*4+2+80+20+10)*P5</f>
        <v>1396.6435727999999</v>
      </c>
      <c r="Q87" s="1" t="s">
        <v>4</v>
      </c>
      <c r="S87" t="s">
        <v>47</v>
      </c>
      <c r="T87">
        <v>1.0047796</v>
      </c>
      <c r="W87" s="1" t="s">
        <v>4</v>
      </c>
    </row>
    <row r="88" spans="1:23" ht="14.5" thickBot="1" x14ac:dyDescent="0.35">
      <c r="A88" s="1" t="s">
        <v>14</v>
      </c>
      <c r="B88" s="5">
        <f>(128*4+256*4+2+20+20+10)*B6</f>
        <v>1593.2953448000001</v>
      </c>
      <c r="C88" s="5">
        <f>(128*4+256*4+2+40+20+10)*C6</f>
        <v>1613.3616348</v>
      </c>
      <c r="D88" s="5">
        <f>(128*4+256*4+2+80+20+10)*D6</f>
        <v>1653.4946791999998</v>
      </c>
      <c r="E88" s="1" t="s">
        <v>4</v>
      </c>
      <c r="G88" s="1" t="s">
        <v>14</v>
      </c>
      <c r="H88" s="5">
        <f>(128*4+256*4+2+20+20+10)*H6</f>
        <v>1593.2953448000001</v>
      </c>
      <c r="I88" s="5">
        <f>(128*4+256*4+2+40+20+10)*I6</f>
        <v>1613.3616348</v>
      </c>
      <c r="J88" s="5">
        <f>(128*4+256*4+2+80+20+10)*J6</f>
        <v>1653.4946791999998</v>
      </c>
      <c r="K88" s="1" t="s">
        <v>4</v>
      </c>
      <c r="M88" s="1" t="s">
        <v>14</v>
      </c>
      <c r="N88" s="5">
        <f>(128*4+256*4+2+20+20+10)*N6</f>
        <v>1593.2953448000001</v>
      </c>
      <c r="O88" s="5">
        <f>(128*4+256*4+2+40+20+10)*O6</f>
        <v>1613.3616348</v>
      </c>
      <c r="P88" s="5">
        <f>(128*4+256*4+2+80+20+10)*P6</f>
        <v>1653.4946791999998</v>
      </c>
      <c r="Q88" s="1" t="s">
        <v>4</v>
      </c>
      <c r="S88" s="2" t="s">
        <v>13</v>
      </c>
      <c r="T88" s="2">
        <v>1.00473715</v>
      </c>
      <c r="U88" s="2"/>
      <c r="V88" s="2"/>
      <c r="W88" s="2" t="s">
        <v>4</v>
      </c>
    </row>
    <row r="89" spans="1:23" x14ac:dyDescent="0.3">
      <c r="A89" s="10" t="s">
        <v>20</v>
      </c>
      <c r="B89" s="5">
        <f>(256*4+128*4+2+20+20+10)*B7</f>
        <v>1595.5244204000001</v>
      </c>
      <c r="C89" s="5">
        <f>(256*4+128*4+2+40+20+10)*C7</f>
        <v>1615.6190256</v>
      </c>
      <c r="D89" s="5">
        <f>(256*4+128*4+2+80+20+10)*D7</f>
        <v>1655.8085536000001</v>
      </c>
      <c r="E89" s="1" t="s">
        <v>4</v>
      </c>
      <c r="G89" s="10" t="s">
        <v>20</v>
      </c>
      <c r="H89" s="5">
        <f>(256*4+128*4+2+20+20+10)*H7</f>
        <v>1595.5220384000002</v>
      </c>
      <c r="I89" s="5">
        <f>(256*4+128*4+2+40+20+10)*I7</f>
        <v>1615.6166136000002</v>
      </c>
      <c r="J89" s="5">
        <f>(256*4+128*4+2+80+20+10)*J7</f>
        <v>1655.8060816</v>
      </c>
      <c r="K89" s="1" t="s">
        <v>4</v>
      </c>
      <c r="M89" s="10" t="s">
        <v>20</v>
      </c>
      <c r="N89" s="5">
        <f>(256*4+128*4+2+20+20+10)*N7</f>
        <v>1595.5220384000002</v>
      </c>
      <c r="O89" s="5">
        <f>(256*4+128*4+2+40+20+10)*O7</f>
        <v>1615.6166136000002</v>
      </c>
      <c r="P89" s="5">
        <f>(256*4+128*4+2+80+20+10)*P7</f>
        <v>1655.8060816</v>
      </c>
      <c r="Q89" s="1" t="s">
        <v>4</v>
      </c>
    </row>
    <row r="90" spans="1:23" ht="14.5" thickBot="1" x14ac:dyDescent="0.35">
      <c r="A90" s="4" t="s">
        <v>15</v>
      </c>
      <c r="B90" s="6">
        <f>(256*4+256*4+2+20+20+10)*B8</f>
        <v>2107.001925</v>
      </c>
      <c r="C90" s="6">
        <f>(256*4+256*4+2+40+20+10)*C8</f>
        <v>2127.0683979999999</v>
      </c>
      <c r="D90" s="6">
        <f>(256*4+256*4+2+80+20+10)*D8</f>
        <v>2167.2017639999999</v>
      </c>
      <c r="E90" s="2" t="s">
        <v>4</v>
      </c>
      <c r="G90" s="4" t="s">
        <v>15</v>
      </c>
      <c r="H90" s="6">
        <f>(256*4+256*4+2+20+20+10)*H8</f>
        <v>2107.001925</v>
      </c>
      <c r="I90" s="6">
        <f>(256*4+256*4+2+40+20+10)*I8</f>
        <v>2127.0683979999999</v>
      </c>
      <c r="J90" s="6">
        <f>(256*4+256*4+2+80+20+10)*J8</f>
        <v>2167.2017639999999</v>
      </c>
      <c r="K90" s="2" t="s">
        <v>4</v>
      </c>
      <c r="M90" s="4" t="s">
        <v>15</v>
      </c>
      <c r="N90" s="6">
        <f>(256*4+256*4+2+20+20+10)*N8</f>
        <v>2107.001925</v>
      </c>
      <c r="O90" s="6">
        <f>(256*4+256*4+2+40+20+10)*O8</f>
        <v>2127.0683979999999</v>
      </c>
      <c r="P90" s="6">
        <f>(256*4+256*4+2+80+20+10)*P8</f>
        <v>2167.2017639999999</v>
      </c>
      <c r="Q90" s="2" t="s">
        <v>4</v>
      </c>
      <c r="T90">
        <v>1.0073399999999999</v>
      </c>
    </row>
    <row r="91" spans="1:23" x14ac:dyDescent="0.3">
      <c r="A91" t="s">
        <v>19</v>
      </c>
      <c r="B91" s="5">
        <f>(32*4+256*4+2+20+40+10)*B9</f>
        <v>1228.1465447999999</v>
      </c>
      <c r="C91" s="5">
        <f>(32*4+256*4+2+40+40+10)*C9</f>
        <v>1248.1585054</v>
      </c>
      <c r="D91" s="5">
        <f>(32*4+256*4+2+80+40+10)*D9</f>
        <v>1288.2902933999999</v>
      </c>
      <c r="E91" s="1" t="s">
        <v>5</v>
      </c>
      <c r="G91" t="s">
        <v>19</v>
      </c>
      <c r="H91" s="5">
        <f>(32*4+256*4+2+20+40+10)*H9</f>
        <v>1228.1398127999998</v>
      </c>
      <c r="I91" s="5">
        <f>(32*4+256*4+2+40+40+10)*I9</f>
        <v>1248.1547733999998</v>
      </c>
      <c r="J91" s="5">
        <f>(32*4+256*4+2+80+40+10)*J9</f>
        <v>1288.2877254</v>
      </c>
      <c r="K91" s="1" t="s">
        <v>5</v>
      </c>
      <c r="M91" t="s">
        <v>19</v>
      </c>
      <c r="N91" s="5">
        <f>(32*4+256*4+2+20+40+10)*N9</f>
        <v>1228.1398127999998</v>
      </c>
      <c r="O91" s="5">
        <f>(32*4+256*4+2+40+40+10)*O9</f>
        <v>1248.1547733999998</v>
      </c>
      <c r="P91" s="5">
        <f>(32*4+256*4+2+80+40+10)*P9</f>
        <v>1288.2877254</v>
      </c>
      <c r="Q91" s="1" t="s">
        <v>5</v>
      </c>
    </row>
    <row r="92" spans="1:23" x14ac:dyDescent="0.3">
      <c r="A92" s="1" t="s">
        <v>16</v>
      </c>
      <c r="B92" s="5">
        <f>(64*4+256*4+2+20+40+10)*B10</f>
        <v>1356.5656364000001</v>
      </c>
      <c r="C92" s="5">
        <f>(64*4+256*4+2+40+40+10)*C10</f>
        <v>1376.5767175999999</v>
      </c>
      <c r="D92" s="5">
        <f>(64*4+256*4+2+80+40+10)*D10</f>
        <v>1416.7087375999999</v>
      </c>
      <c r="E92" s="1" t="s">
        <v>5</v>
      </c>
      <c r="G92" s="1" t="s">
        <v>16</v>
      </c>
      <c r="H92" s="5">
        <f>(64*4+256*4+2+20+40+10)*H10</f>
        <v>1356.5636084</v>
      </c>
      <c r="I92" s="5">
        <f>(64*4+256*4+2+40+40+10)*I10</f>
        <v>1376.5753456</v>
      </c>
      <c r="J92" s="5">
        <f>(64*4+256*4+2+80+40+10)*J10</f>
        <v>1416.7080315999999</v>
      </c>
      <c r="K92" s="1" t="s">
        <v>5</v>
      </c>
      <c r="M92" s="1" t="s">
        <v>16</v>
      </c>
      <c r="N92" s="5">
        <f>(64*4+256*4+2+20+40+10)*N10</f>
        <v>1356.5636084</v>
      </c>
      <c r="O92" s="5">
        <f>(64*4+256*4+2+40+40+10)*O10</f>
        <v>1376.5753456</v>
      </c>
      <c r="P92" s="5">
        <f>(64*4+256*4+2+80+40+10)*P10</f>
        <v>1416.7080315999999</v>
      </c>
      <c r="Q92" s="1" t="s">
        <v>5</v>
      </c>
      <c r="S92" t="s">
        <v>44</v>
      </c>
    </row>
    <row r="93" spans="1:23" x14ac:dyDescent="0.3">
      <c r="A93" s="1" t="s">
        <v>14</v>
      </c>
      <c r="B93" s="5">
        <f>(128*4+256*4+2+20+40+10)*B11</f>
        <v>1613.3594640000001</v>
      </c>
      <c r="C93" s="5">
        <f>(128*4+256*4+2+40+40+10)*C11</f>
        <v>1633.4257170000001</v>
      </c>
      <c r="D93" s="5">
        <f>(128*4+256*4+2+80+40+10)*D11</f>
        <v>1673.5586934000003</v>
      </c>
      <c r="E93" s="1" t="s">
        <v>5</v>
      </c>
      <c r="G93" s="1" t="s">
        <v>14</v>
      </c>
      <c r="H93" s="5">
        <f>(128*4+256*4+2+20+40+10)*H11</f>
        <v>1613.3594640000001</v>
      </c>
      <c r="I93" s="5">
        <f>(128*4+256*4+2+40+40+10)*I11</f>
        <v>1633.4257170000001</v>
      </c>
      <c r="J93" s="5">
        <f>(128*4+256*4+2+80+40+10)*J11</f>
        <v>1673.5586934000003</v>
      </c>
      <c r="K93" s="1" t="s">
        <v>5</v>
      </c>
      <c r="M93" s="1" t="s">
        <v>14</v>
      </c>
      <c r="N93" s="5">
        <f>(128*4+256*4+2+20+40+10)*N11</f>
        <v>1613.3594640000001</v>
      </c>
      <c r="O93" s="5">
        <f>(128*4+256*4+2+40+40+10)*O11</f>
        <v>1633.4257170000001</v>
      </c>
      <c r="P93" s="5">
        <f>(128*4+256*4+2+80+40+10)*P11</f>
        <v>1673.5586934000003</v>
      </c>
      <c r="Q93" s="1" t="s">
        <v>5</v>
      </c>
      <c r="S93" s="21" t="s">
        <v>7</v>
      </c>
      <c r="T93" s="23" t="s">
        <v>11</v>
      </c>
      <c r="U93" s="23" t="s">
        <v>17</v>
      </c>
    </row>
    <row r="94" spans="1:23" x14ac:dyDescent="0.3">
      <c r="A94" s="10" t="s">
        <v>20</v>
      </c>
      <c r="B94" s="5">
        <f>(256*4+128*4+2+20+40+10)*B12</f>
        <v>1615.9349975999999</v>
      </c>
      <c r="C94" s="5">
        <f>(256*4+128*4+2+40+40+10)*C12</f>
        <v>1636.0335287999999</v>
      </c>
      <c r="D94" s="5">
        <f>(256*4+128*4+2+80+40+10)*D12</f>
        <v>1676.2309127999999</v>
      </c>
      <c r="E94" s="1" t="s">
        <v>5</v>
      </c>
      <c r="G94" s="10" t="s">
        <v>20</v>
      </c>
      <c r="H94" s="5">
        <f>(256*4+128*4+2+20+40+10)*H12</f>
        <v>1615.9309776</v>
      </c>
      <c r="I94" s="5">
        <f>(256*4+128*4+2+40+40+10)*I12</f>
        <v>1636.0294587999999</v>
      </c>
      <c r="J94" s="5">
        <f>(256*4+128*4+2+80+40+10)*J12</f>
        <v>1676.2267428</v>
      </c>
      <c r="K94" s="1" t="s">
        <v>5</v>
      </c>
      <c r="M94" s="10" t="s">
        <v>20</v>
      </c>
      <c r="N94" s="5">
        <f>(256*4+128*4+2+20+40+10)*N12</f>
        <v>1615.9309776</v>
      </c>
      <c r="O94" s="5">
        <f>(256*4+128*4+2+40+40+10)*O12</f>
        <v>1636.0294587999999</v>
      </c>
      <c r="P94" s="5">
        <f>(256*4+128*4+2+80+40+10)*P12</f>
        <v>1676.2267428</v>
      </c>
      <c r="Q94" s="1" t="s">
        <v>5</v>
      </c>
      <c r="S94" s="22"/>
      <c r="T94" s="23"/>
      <c r="U94" s="23"/>
    </row>
    <row r="95" spans="1:23" ht="14.5" thickBot="1" x14ac:dyDescent="0.35">
      <c r="A95" s="4" t="s">
        <v>15</v>
      </c>
      <c r="B95" s="6">
        <f>(256*4+256*4+2+20+40+10)*B13</f>
        <v>2127.0652179999997</v>
      </c>
      <c r="C95" s="6">
        <f>(256*4+256*4+2+40+40+10)*C13</f>
        <v>2147.1316570000004</v>
      </c>
      <c r="D95" s="6">
        <f>(256*4+256*4+2+80+40+10)*D13</f>
        <v>2187.2649590000001</v>
      </c>
      <c r="E95" s="2" t="s">
        <v>5</v>
      </c>
      <c r="G95" s="4" t="s">
        <v>15</v>
      </c>
      <c r="H95" s="6">
        <f>(256*4+256*4+2+20+40+10)*H13</f>
        <v>2127.0652179999997</v>
      </c>
      <c r="I95" s="6">
        <f>(256*4+256*4+2+40+40+10)*I13</f>
        <v>2147.1316570000004</v>
      </c>
      <c r="J95" s="6">
        <f>(256*4+256*4+2+80+40+10)*J13</f>
        <v>2187.2649590000001</v>
      </c>
      <c r="K95" s="2" t="s">
        <v>5</v>
      </c>
      <c r="M95" s="4" t="s">
        <v>15</v>
      </c>
      <c r="N95" s="6">
        <f>(256*4+256*4+2+20+40+10)*N13</f>
        <v>2127.0652179999997</v>
      </c>
      <c r="O95" s="6">
        <f>(256*4+256*4+2+40+40+10)*O13</f>
        <v>2147.1316570000004</v>
      </c>
      <c r="P95" s="6">
        <f>(256*4+256*4+2+80+40+10)*P13</f>
        <v>2187.2649590000001</v>
      </c>
      <c r="Q95" s="2" t="s">
        <v>5</v>
      </c>
      <c r="T95" s="2" t="s">
        <v>1</v>
      </c>
      <c r="U95" s="2" t="s">
        <v>2</v>
      </c>
      <c r="V95" s="2" t="s">
        <v>3</v>
      </c>
    </row>
    <row r="96" spans="1:23" x14ac:dyDescent="0.3">
      <c r="A96" t="s">
        <v>19</v>
      </c>
      <c r="B96" s="5">
        <f>(32*4+256*4+2+20+80+10)*B14</f>
        <v>1268.2756063999998</v>
      </c>
      <c r="C96" s="5">
        <f>(32*4+256*4+2+40+80+10)*C14</f>
        <v>1288.3400483999999</v>
      </c>
      <c r="D96" s="5">
        <f>(32*4+256*4+2+80+80+10)*D14</f>
        <v>1328.417195</v>
      </c>
      <c r="E96" t="s">
        <v>6</v>
      </c>
      <c r="G96" t="s">
        <v>19</v>
      </c>
      <c r="H96" s="5">
        <f>(32*4+256*4+2+20+80+10)*H14</f>
        <v>1268.2692864000001</v>
      </c>
      <c r="I96" s="5">
        <f>(32*4+256*4+2+40+80+10)*I14</f>
        <v>1288.2824609999998</v>
      </c>
      <c r="J96" s="5">
        <f>(32*4+256*4+2+80+80+10)*J14</f>
        <v>1328.415209</v>
      </c>
      <c r="K96" t="s">
        <v>6</v>
      </c>
      <c r="M96" t="s">
        <v>19</v>
      </c>
      <c r="N96" s="5">
        <f>(32*4+256*4+2+20+80+10)*N14</f>
        <v>1268.2692864000001</v>
      </c>
      <c r="O96" s="5">
        <f>(32*4+256*4+2+40+80+10)*O14</f>
        <v>1288.2824609999998</v>
      </c>
      <c r="P96" s="5">
        <f>(32*4+256*4+2+80+80+10)*P14</f>
        <v>1328.415209</v>
      </c>
      <c r="Q96" s="1" t="s">
        <v>6</v>
      </c>
      <c r="S96" t="s">
        <v>46</v>
      </c>
      <c r="T96">
        <f>(32*4+128*4+2+20+20+40)*T86</f>
        <v>725.45574470000008</v>
      </c>
      <c r="W96" s="1" t="s">
        <v>4</v>
      </c>
    </row>
    <row r="97" spans="1:23" x14ac:dyDescent="0.3">
      <c r="A97" s="1" t="s">
        <v>16</v>
      </c>
      <c r="B97" s="8">
        <f>(64*4+256*4+2+20+80+10)*B15</f>
        <v>1396.6936151999998</v>
      </c>
      <c r="C97" s="8">
        <f>(64*4+256*4+2+40+80+10)*C15</f>
        <v>1416.7029484</v>
      </c>
      <c r="D97" s="8">
        <f>(64*4+256*4+2+80+80+10)*D15</f>
        <v>1456.8347244000001</v>
      </c>
      <c r="E97" t="s">
        <v>6</v>
      </c>
      <c r="G97" s="1" t="s">
        <v>16</v>
      </c>
      <c r="H97" s="8">
        <f>(64*4+256*4+2+20+80+10)*H15</f>
        <v>1396.6922231999999</v>
      </c>
      <c r="I97" s="8">
        <f>(64*4+256*4+2+40+80+10)*I15</f>
        <v>1416.7022423999999</v>
      </c>
      <c r="J97" s="8">
        <f>(64*4+256*4+2+80+80+10)*J15</f>
        <v>1456.8347244000001</v>
      </c>
      <c r="K97" t="s">
        <v>6</v>
      </c>
      <c r="M97" s="1" t="s">
        <v>16</v>
      </c>
      <c r="N97" s="8">
        <f>(64*4+256*4+2+20+80+10)*N15</f>
        <v>1396.6922231999999</v>
      </c>
      <c r="O97" s="8">
        <f>(64*4+256*4+2+40+80+10)*O15</f>
        <v>1416.7022423999999</v>
      </c>
      <c r="P97" s="8">
        <f>(64*4+256*4+2+80+80+10)*P15</f>
        <v>1456.8347244000001</v>
      </c>
      <c r="Q97" t="s">
        <v>6</v>
      </c>
      <c r="S97" t="s">
        <v>47</v>
      </c>
      <c r="T97">
        <f>(64*4+128*4+2+20+20+40)*T88</f>
        <v>854.02657749999992</v>
      </c>
      <c r="W97" s="1" t="s">
        <v>4</v>
      </c>
    </row>
    <row r="98" spans="1:23" ht="14.5" thickBot="1" x14ac:dyDescent="0.35">
      <c r="A98" s="1" t="s">
        <v>14</v>
      </c>
      <c r="B98" s="5">
        <f>(128*4+256*4+2+20+80+10)*B16</f>
        <v>1653.4852032000001</v>
      </c>
      <c r="C98" s="5">
        <f>(128*4+256*4+2+40+80+10)*C16</f>
        <v>1673.5513541999999</v>
      </c>
      <c r="D98" s="5">
        <f>(128*4+256*4+2+80+80+10)*D16</f>
        <v>1713.6841386000001</v>
      </c>
      <c r="E98" s="1" t="s">
        <v>6</v>
      </c>
      <c r="G98" s="1" t="s">
        <v>14</v>
      </c>
      <c r="H98" s="5">
        <f>(128*4+256*4+2+20+80+10)*H16</f>
        <v>1653.4852032000001</v>
      </c>
      <c r="I98" s="5">
        <f>(128*4+256*4+2+40+80+10)*I16</f>
        <v>1673.5513541999999</v>
      </c>
      <c r="J98" s="5">
        <f>(128*4+256*4+2+80+80+10)*J16</f>
        <v>1713.6841386000001</v>
      </c>
      <c r="K98" s="1" t="s">
        <v>6</v>
      </c>
      <c r="M98" s="1" t="s">
        <v>14</v>
      </c>
      <c r="N98" s="5">
        <f>(128*4+256*4+2+20+80+10)*N16</f>
        <v>1653.4852032000001</v>
      </c>
      <c r="O98" s="5">
        <f>(128*4+256*4+2+40+80+10)*O16</f>
        <v>1673.5513541999999</v>
      </c>
      <c r="P98" s="5">
        <f>(128*4+256*4+2+80+80+10)*P16</f>
        <v>1713.6841386000001</v>
      </c>
      <c r="Q98" s="1" t="s">
        <v>6</v>
      </c>
      <c r="S98" s="2" t="s">
        <v>13</v>
      </c>
      <c r="T98">
        <f>(128*4+128*4+2+20+20+40)*T88</f>
        <v>1111.2392878999999</v>
      </c>
      <c r="U98" s="2"/>
      <c r="V98" s="2"/>
      <c r="W98" s="2" t="s">
        <v>4</v>
      </c>
    </row>
    <row r="99" spans="1:23" x14ac:dyDescent="0.3">
      <c r="A99" s="10" t="s">
        <v>20</v>
      </c>
      <c r="B99" s="5">
        <f>(256*4+128*4+2+20+80+10)*B17</f>
        <v>1655.8030328</v>
      </c>
      <c r="C99" s="5">
        <f>(256*4+128*4+2+40+80+10)*C17</f>
        <v>1675.8975629999998</v>
      </c>
      <c r="D99" s="5">
        <f>(256*4+128*4+2+80+80+10)*D17</f>
        <v>1716.0869529999998</v>
      </c>
      <c r="E99" s="1" t="s">
        <v>6</v>
      </c>
      <c r="G99" s="10" t="s">
        <v>20</v>
      </c>
      <c r="H99" s="5">
        <f>(256*4+128*4+2+20+80+10)*H17</f>
        <v>1655.7989128000002</v>
      </c>
      <c r="I99" s="5">
        <f>(256*4+128*4+2+40+80+10)*I17</f>
        <v>1675.8933930000001</v>
      </c>
      <c r="J99" s="5">
        <f>(256*4+128*4+2+80+80+10)*J17</f>
        <v>1716.0826830000001</v>
      </c>
      <c r="K99" s="1" t="s">
        <v>6</v>
      </c>
      <c r="M99" s="10" t="s">
        <v>20</v>
      </c>
      <c r="N99" s="5">
        <f>(256*4+128*4+2+20+80+10)*N17</f>
        <v>1655.7989128000002</v>
      </c>
      <c r="O99" s="5">
        <f>(256*4+128*4+2+40+80+10)*O17</f>
        <v>1675.8933930000001</v>
      </c>
      <c r="P99" s="5">
        <f>(256*4+128*4+2+80+80+10)*P17</f>
        <v>1716.0826830000001</v>
      </c>
      <c r="Q99" s="1" t="s">
        <v>6</v>
      </c>
    </row>
    <row r="100" spans="1:23" ht="14.5" thickBot="1" x14ac:dyDescent="0.35">
      <c r="A100" s="4" t="s">
        <v>15</v>
      </c>
      <c r="B100" s="6">
        <f>(256*4+256*4+2+20+80+10)*B18</f>
        <v>2167.188588</v>
      </c>
      <c r="C100" s="6">
        <f>(256*4+256*4+2+40+80+10)*C18</f>
        <v>2187.2549310000004</v>
      </c>
      <c r="D100" s="6">
        <f>(256*4+256*4+2+80+80+10)*D18</f>
        <v>2227.3880490000001</v>
      </c>
      <c r="E100" s="2" t="s">
        <v>6</v>
      </c>
      <c r="G100" s="4" t="s">
        <v>15</v>
      </c>
      <c r="H100" s="6">
        <f>(256*4+256*4+2+20+80+10)*H18</f>
        <v>2167.188588</v>
      </c>
      <c r="I100" s="6">
        <f>(256*4+256*4+2+40+80+10)*I18</f>
        <v>2187.2549310000004</v>
      </c>
      <c r="J100" s="6">
        <f>(256*4+256*4+2+80+80+10)*J18</f>
        <v>2227.3880490000001</v>
      </c>
      <c r="K100" s="2" t="s">
        <v>6</v>
      </c>
      <c r="M100" s="4" t="s">
        <v>15</v>
      </c>
      <c r="N100" s="6">
        <f>(256*4+256*4+2+20+80+10)*N18</f>
        <v>2167.188588</v>
      </c>
      <c r="O100" s="6">
        <f>(256*4+256*4+2+40+80+10)*O18</f>
        <v>2187.2549310000004</v>
      </c>
      <c r="P100" s="6">
        <f>(256*4+256*4+2+80+80+10)*P18</f>
        <v>2227.3880490000001</v>
      </c>
      <c r="Q100" s="2" t="s">
        <v>6</v>
      </c>
    </row>
    <row r="101" spans="1:23" x14ac:dyDescent="0.3">
      <c r="H101" s="9"/>
      <c r="N101" s="9"/>
      <c r="T101">
        <f>(32*4+64*4+2+20+20+40)*T90</f>
        <v>469.42043999999993</v>
      </c>
    </row>
    <row r="102" spans="1:23" x14ac:dyDescent="0.3">
      <c r="H102" s="9"/>
      <c r="N102" s="9"/>
    </row>
    <row r="103" spans="1:23" x14ac:dyDescent="0.3">
      <c r="A103" s="21" t="s">
        <v>8</v>
      </c>
      <c r="B103" s="23" t="s">
        <v>9</v>
      </c>
      <c r="C103" s="23" t="s">
        <v>17</v>
      </c>
      <c r="G103" s="21" t="s">
        <v>8</v>
      </c>
      <c r="H103" s="23" t="s">
        <v>10</v>
      </c>
      <c r="I103" s="23" t="s">
        <v>17</v>
      </c>
      <c r="M103" s="21" t="s">
        <v>8</v>
      </c>
      <c r="N103" s="23" t="s">
        <v>11</v>
      </c>
      <c r="O103" s="23" t="s">
        <v>17</v>
      </c>
    </row>
    <row r="104" spans="1:23" x14ac:dyDescent="0.3">
      <c r="A104" s="22"/>
      <c r="B104" s="23"/>
      <c r="C104" s="23"/>
      <c r="G104" s="22"/>
      <c r="H104" s="23"/>
      <c r="I104" s="23"/>
      <c r="M104" s="22"/>
      <c r="N104" s="23"/>
      <c r="O104" s="23"/>
    </row>
    <row r="105" spans="1:23" ht="14.5" thickBot="1" x14ac:dyDescent="0.35">
      <c r="B105" s="2" t="s">
        <v>1</v>
      </c>
      <c r="C105" s="2" t="s">
        <v>2</v>
      </c>
      <c r="D105" s="2" t="s">
        <v>3</v>
      </c>
      <c r="H105" s="2" t="s">
        <v>1</v>
      </c>
      <c r="I105" s="2" t="s">
        <v>2</v>
      </c>
      <c r="J105" s="2" t="s">
        <v>3</v>
      </c>
      <c r="N105" s="2" t="s">
        <v>1</v>
      </c>
      <c r="O105" s="2" t="s">
        <v>2</v>
      </c>
      <c r="P105" s="2" t="s">
        <v>3</v>
      </c>
    </row>
    <row r="106" spans="1:23" x14ac:dyDescent="0.3">
      <c r="A106" s="1" t="s">
        <v>16</v>
      </c>
      <c r="B106" s="5">
        <f>(64*4+256*4+2+20+20+10)*B24</f>
        <v>1334.4524117999999</v>
      </c>
      <c r="C106" s="5">
        <f>(64*4+256*4+2+40+20+10)*C24</f>
        <v>1354.4179844</v>
      </c>
      <c r="D106" s="5">
        <f>(64*4+256*4+2+80+20+10)*D24</f>
        <v>1394.4897312000001</v>
      </c>
      <c r="E106" s="1" t="s">
        <v>4</v>
      </c>
      <c r="F106" s="1"/>
      <c r="G106" s="1" t="s">
        <v>16</v>
      </c>
      <c r="H106" s="5">
        <f>(64*4+256*4+2+20+20+10)*H24</f>
        <v>1334.4484158</v>
      </c>
      <c r="I106" s="5">
        <f>(64*4+256*4+2+40+20+10)*I24</f>
        <v>1354.4146043999999</v>
      </c>
      <c r="J106" s="5">
        <f>(64*4+256*4+2+80+20+10)*J24</f>
        <v>1394.4855552000001</v>
      </c>
      <c r="K106" s="1" t="s">
        <v>4</v>
      </c>
      <c r="L106" s="1"/>
      <c r="M106" s="1" t="s">
        <v>16</v>
      </c>
      <c r="N106" s="5">
        <f>(64*4+256*4+2+20+20+10)*N24</f>
        <v>1334.4477497999999</v>
      </c>
      <c r="O106" s="5">
        <f>(64*4+256*4+2+40+20+10)*O24</f>
        <v>1354.4146043999999</v>
      </c>
      <c r="P106" s="5">
        <f>(64*4+256*4+2+80+20+10)*P24</f>
        <v>1394.4855552000001</v>
      </c>
      <c r="Q106" s="1" t="s">
        <v>4</v>
      </c>
    </row>
    <row r="107" spans="1:23" x14ac:dyDescent="0.3">
      <c r="A107" s="1" t="s">
        <v>14</v>
      </c>
      <c r="B107" s="5">
        <f>(128*4+256*4+2+20+20+10)*B25</f>
        <v>1590.8341829999999</v>
      </c>
      <c r="C107" s="5">
        <f>(128*4+256*4+2+40+20+10)*C25</f>
        <v>1610.8695564</v>
      </c>
      <c r="D107" s="5">
        <f>(128*4+256*4+2+80+20+10)*D25</f>
        <v>1650.9392904000001</v>
      </c>
      <c r="E107" s="1" t="s">
        <v>4</v>
      </c>
      <c r="F107" s="1"/>
      <c r="G107" s="1" t="s">
        <v>14</v>
      </c>
      <c r="H107" s="5">
        <f>(128*4+256*4+2+20+20+10)*H25</f>
        <v>1590.8333890000001</v>
      </c>
      <c r="I107" s="5">
        <f>(128*4+256*4+2+40+20+10)*I25</f>
        <v>1610.8687523999999</v>
      </c>
      <c r="J107" s="5">
        <f>(128*4+256*4+2+80+20+10)*J25</f>
        <v>1650.9392904000001</v>
      </c>
      <c r="K107" s="1" t="s">
        <v>4</v>
      </c>
      <c r="L107" s="1"/>
      <c r="M107" s="1" t="s">
        <v>14</v>
      </c>
      <c r="N107" s="5">
        <f>(128*4+256*4+2+20+20+10)*N25</f>
        <v>1590.8333890000001</v>
      </c>
      <c r="O107" s="5">
        <f>(128*4+256*4+2+40+20+10)*O25</f>
        <v>1610.8687523999999</v>
      </c>
      <c r="P107" s="5">
        <f>(128*4+256*4+2+80+20+10)*P25</f>
        <v>1650.9392904000001</v>
      </c>
      <c r="Q107" s="1" t="s">
        <v>4</v>
      </c>
    </row>
    <row r="108" spans="1:23" x14ac:dyDescent="0.3">
      <c r="A108" s="10" t="s">
        <v>20</v>
      </c>
      <c r="B108" s="5">
        <f>(256*4+128*4+2+20+20+10)*B26</f>
        <v>1592.0546403999999</v>
      </c>
      <c r="C108" s="5">
        <f>(256*4+128*4+2+40+20+10)*C26</f>
        <v>1612.1054652</v>
      </c>
      <c r="D108" s="5">
        <f>(256*4+128*4+2+80+20+10)*D26</f>
        <v>1652.2075912</v>
      </c>
      <c r="E108" s="1" t="s">
        <v>4</v>
      </c>
      <c r="F108" s="1"/>
      <c r="G108" s="10" t="s">
        <v>20</v>
      </c>
      <c r="H108" s="5">
        <f>(256*4+128*4+2+20+20+10)*H26</f>
        <v>1592.0538463999999</v>
      </c>
      <c r="I108" s="5">
        <f>(256*4+128*4+2+40+20+10)*I26</f>
        <v>1612.1046611999998</v>
      </c>
      <c r="J108" s="5">
        <f>(256*4+128*4+2+80+20+10)*J26</f>
        <v>1652.2067671999998</v>
      </c>
      <c r="K108" s="1" t="s">
        <v>4</v>
      </c>
      <c r="L108" s="1"/>
      <c r="M108" s="10" t="s">
        <v>20</v>
      </c>
      <c r="N108" s="5">
        <f>(256*4+128*4+2+20+20+10)*N26</f>
        <v>1592.0538463999999</v>
      </c>
      <c r="O108" s="5">
        <f>(256*4+128*4+2+40+20+10)*O26</f>
        <v>1612.1046611999998</v>
      </c>
      <c r="P108" s="5">
        <f>(256*4+128*4+2+80+20+10)*P26</f>
        <v>1652.2067671999998</v>
      </c>
      <c r="Q108" s="1" t="s">
        <v>4</v>
      </c>
    </row>
    <row r="109" spans="1:23" ht="14.5" thickBot="1" x14ac:dyDescent="0.35">
      <c r="A109" s="4" t="s">
        <v>15</v>
      </c>
      <c r="B109" s="6">
        <f>(256*4+256*4+2+20+20+10)*B27</f>
        <v>2103.7456649999999</v>
      </c>
      <c r="C109" s="6">
        <f>(256*4+256*4+2+40+20+10)*C27</f>
        <v>2123.7810199999999</v>
      </c>
      <c r="D109" s="6">
        <f>(256*4+256*4+2+80+20+10)*D27</f>
        <v>2163.8523599999999</v>
      </c>
      <c r="E109" s="2" t="s">
        <v>4</v>
      </c>
      <c r="F109" s="1"/>
      <c r="G109" s="4" t="s">
        <v>15</v>
      </c>
      <c r="H109" s="6">
        <f>(256*4+256*4+2+20+20+10)*H27</f>
        <v>2103.7456649999999</v>
      </c>
      <c r="I109" s="6">
        <f>(256*4+256*4+2+40+20+10)*I27</f>
        <v>2123.7810199999999</v>
      </c>
      <c r="J109" s="6">
        <f>(256*4+256*4+2+80+20+10)*J27</f>
        <v>2163.8523599999999</v>
      </c>
      <c r="K109" s="2" t="s">
        <v>4</v>
      </c>
      <c r="L109" s="1"/>
      <c r="M109" s="4" t="s">
        <v>15</v>
      </c>
      <c r="N109" s="6">
        <f>(256*4+256*4+2+20+20+10)*N27</f>
        <v>2103.7456649999999</v>
      </c>
      <c r="O109" s="6">
        <f>(256*4+256*4+2+40+20+10)*O27</f>
        <v>2123.7810199999999</v>
      </c>
      <c r="P109" s="6">
        <f>(256*4+256*4+2+80+20+10)*P27</f>
        <v>2163.8523599999999</v>
      </c>
      <c r="Q109" s="2" t="s">
        <v>4</v>
      </c>
    </row>
    <row r="110" spans="1:23" x14ac:dyDescent="0.3">
      <c r="A110" s="1" t="s">
        <v>16</v>
      </c>
      <c r="B110" s="5">
        <f>(64*4+256*4+2+20+40+10)*B28</f>
        <v>1354.4870715999998</v>
      </c>
      <c r="C110" s="5">
        <f>(64*4+256*4+2+40+40+10)*C28</f>
        <v>1374.4515581999999</v>
      </c>
      <c r="D110" s="5">
        <f>(64*4+256*4+2+80+40+10)*D28</f>
        <v>1414.5225379999999</v>
      </c>
      <c r="E110" s="1" t="s">
        <v>5</v>
      </c>
      <c r="F110" s="1"/>
      <c r="G110" s="1" t="s">
        <v>16</v>
      </c>
      <c r="H110" s="5">
        <f>(64*4+256*4+2+20+40+10)*H28</f>
        <v>1354.4836915999999</v>
      </c>
      <c r="I110" s="5">
        <f>(64*4+256*4+2+40+40+10)*I28</f>
        <v>1374.4495002000001</v>
      </c>
      <c r="J110" s="5">
        <f>(64*4+256*4+2+80+40+10)*J28</f>
        <v>1414.5204199999998</v>
      </c>
      <c r="K110" s="1" t="s">
        <v>5</v>
      </c>
      <c r="L110" s="1"/>
      <c r="M110" s="1" t="s">
        <v>16</v>
      </c>
      <c r="N110" s="5">
        <f>(64*4+256*4+2+20+40+10)*N28</f>
        <v>1354.4836915999999</v>
      </c>
      <c r="O110" s="5">
        <f>(64*4+256*4+2+40+40+10)*O28</f>
        <v>1374.4495002000001</v>
      </c>
      <c r="P110" s="5">
        <f>(64*4+256*4+2+80+40+10)*P28</f>
        <v>1414.5204199999998</v>
      </c>
      <c r="Q110" s="1" t="s">
        <v>5</v>
      </c>
    </row>
    <row r="111" spans="1:23" x14ac:dyDescent="0.3">
      <c r="A111" s="1" t="s">
        <v>14</v>
      </c>
      <c r="B111" s="5">
        <f>(128*4+256*4+2+20+40+10)*B29</f>
        <v>1610.8689132</v>
      </c>
      <c r="C111" s="5">
        <f>(128*4+256*4+2+40+40+10)*C29</f>
        <v>1630.9042706000002</v>
      </c>
      <c r="D111" s="5">
        <f>(128*4+256*4+2+80+40+10)*D29</f>
        <v>1670.974044</v>
      </c>
      <c r="E111" s="1" t="s">
        <v>5</v>
      </c>
      <c r="F111" s="1"/>
      <c r="G111" s="1" t="s">
        <v>14</v>
      </c>
      <c r="H111" s="5">
        <f>(128*4+256*4+2+20+40+10)*H29</f>
        <v>1610.8681091999999</v>
      </c>
      <c r="I111" s="5">
        <f>(128*4+256*4+2+40+40+10)*I29</f>
        <v>1630.9035379999998</v>
      </c>
      <c r="J111" s="5">
        <f>(128*4+256*4+2+80+40+10)*J29</f>
        <v>1670.974044</v>
      </c>
      <c r="K111" s="1" t="s">
        <v>5</v>
      </c>
      <c r="L111" s="1"/>
      <c r="M111" s="1" t="s">
        <v>14</v>
      </c>
      <c r="N111" s="5">
        <f>(128*4+256*4+2+20+40+10)*N29</f>
        <v>1610.8681091999999</v>
      </c>
      <c r="O111" s="5">
        <f>(128*4+256*4+2+40+40+10)*O29</f>
        <v>1630.9035379999998</v>
      </c>
      <c r="P111" s="5">
        <f>(128*4+256*4+2+80+40+10)*P29</f>
        <v>1670.974044</v>
      </c>
      <c r="Q111" s="1" t="s">
        <v>5</v>
      </c>
    </row>
    <row r="112" spans="1:23" x14ac:dyDescent="0.3">
      <c r="A112" s="10" t="s">
        <v>20</v>
      </c>
      <c r="B112" s="5">
        <f>(256*4+128*4+2+20+40+10)*B30</f>
        <v>1612.2798527999998</v>
      </c>
      <c r="C112" s="5">
        <f>(256*4+128*4+2+40+40+10)*C30</f>
        <v>1632.3328405999998</v>
      </c>
      <c r="D112" s="5">
        <f>(256*4+128*4+2+80+40+10)*D30</f>
        <v>1672.4392986</v>
      </c>
      <c r="E112" s="1" t="s">
        <v>5</v>
      </c>
      <c r="F112" s="1"/>
      <c r="G112" s="10" t="s">
        <v>20</v>
      </c>
      <c r="H112" s="5">
        <f>(256*4+128*4+2+20+40+10)*H30</f>
        <v>1612.2782448</v>
      </c>
      <c r="I112" s="5">
        <f>(256*4+128*4+2+40+40+10)*I30</f>
        <v>1632.3312126000001</v>
      </c>
      <c r="J112" s="5">
        <f>(256*4+128*4+2+80+40+10)*J30</f>
        <v>1672.4376306000001</v>
      </c>
      <c r="K112" s="1" t="s">
        <v>5</v>
      </c>
      <c r="L112" s="1"/>
      <c r="M112" s="10" t="s">
        <v>20</v>
      </c>
      <c r="N112" s="5">
        <f>(256*4+128*4+2+20+40+10)*N30</f>
        <v>1612.2782448</v>
      </c>
      <c r="O112" s="5">
        <f>(256*4+128*4+2+40+40+10)*O30</f>
        <v>1632.3312126000001</v>
      </c>
      <c r="P112" s="5">
        <f>(256*4+128*4+2+80+40+10)*P30</f>
        <v>1672.4376306000001</v>
      </c>
      <c r="Q112" s="1" t="s">
        <v>5</v>
      </c>
    </row>
    <row r="113" spans="1:17" ht="14.5" thickBot="1" x14ac:dyDescent="0.35">
      <c r="A113" s="4" t="s">
        <v>15</v>
      </c>
      <c r="B113" s="6">
        <f>(256*4+256*4+2+20+40+10)*B31</f>
        <v>2123.7801719999998</v>
      </c>
      <c r="C113" s="6">
        <f>(256*4+256*4+2+40+40+10)*C31</f>
        <v>2143.815513</v>
      </c>
      <c r="D113" s="6">
        <f>(256*4+256*4+2+80+40+10)*D31</f>
        <v>2183.8868309999998</v>
      </c>
      <c r="E113" s="2" t="s">
        <v>5</v>
      </c>
      <c r="F113" s="1"/>
      <c r="G113" s="4" t="s">
        <v>15</v>
      </c>
      <c r="H113" s="6">
        <f>(256*4+256*4+2+20+40+10)*H31</f>
        <v>2123.7801719999998</v>
      </c>
      <c r="I113" s="6">
        <f>(256*4+256*4+2+40+40+10)*I31</f>
        <v>2143.815513</v>
      </c>
      <c r="J113" s="6">
        <f>(256*4+256*4+2+80+40+10)*J31</f>
        <v>2183.8868309999998</v>
      </c>
      <c r="K113" s="2" t="s">
        <v>5</v>
      </c>
      <c r="L113" s="1"/>
      <c r="M113" s="4" t="s">
        <v>15</v>
      </c>
      <c r="N113" s="6">
        <f>(256*4+256*4+2+20+40+10)*N31</f>
        <v>2123.7801719999998</v>
      </c>
      <c r="O113" s="6">
        <f>(256*4+256*4+2+40+40+10)*O31</f>
        <v>2143.815513</v>
      </c>
      <c r="P113" s="6">
        <f>(256*4+256*4+2+80+40+10)*P31</f>
        <v>2183.8868309999998</v>
      </c>
      <c r="Q113" s="2" t="s">
        <v>5</v>
      </c>
    </row>
    <row r="114" spans="1:17" x14ac:dyDescent="0.3">
      <c r="A114" s="1" t="s">
        <v>16</v>
      </c>
      <c r="B114" s="8">
        <f>(64*4+256*4+2+20+80+10)*B32</f>
        <v>1394.5553639999998</v>
      </c>
      <c r="C114" s="8">
        <f>(64*4+256*4+2+40+80+10)*C32</f>
        <v>1414.5176666</v>
      </c>
      <c r="D114" s="8">
        <f>(64*4+256*4+2+80+80+10)*D32</f>
        <v>1454.5884804</v>
      </c>
      <c r="E114" s="1" t="s">
        <v>6</v>
      </c>
      <c r="F114" s="1"/>
      <c r="G114" s="1" t="s">
        <v>16</v>
      </c>
      <c r="H114" s="8">
        <f>(64*4+256*4+2+20+80+10)*H32</f>
        <v>1394.55258</v>
      </c>
      <c r="I114" s="8">
        <f>(64*4+256*4+2+40+80+10)*I32</f>
        <v>1414.5162546000001</v>
      </c>
      <c r="J114" s="8">
        <f>(64*4+256*4+2+80+80+10)*J32</f>
        <v>1454.5870284</v>
      </c>
      <c r="K114" s="1" t="s">
        <v>6</v>
      </c>
      <c r="L114" s="1"/>
      <c r="M114" s="1" t="s">
        <v>16</v>
      </c>
      <c r="N114" s="8">
        <f>(64*4+256*4+2+20+80+10)*N32</f>
        <v>1394.55258</v>
      </c>
      <c r="O114" s="8">
        <f>(64*4+256*4+2+40+80+10)*O32</f>
        <v>1414.5162546000001</v>
      </c>
      <c r="P114" s="8">
        <f>(64*4+256*4+2+80+80+10)*P32</f>
        <v>1454.5870284</v>
      </c>
      <c r="Q114" s="1" t="s">
        <v>6</v>
      </c>
    </row>
    <row r="115" spans="1:17" x14ac:dyDescent="0.3">
      <c r="A115" s="1" t="s">
        <v>14</v>
      </c>
      <c r="B115" s="5">
        <f>(128*4+256*4+2+20+80+10)*B33</f>
        <v>1650.9348408000001</v>
      </c>
      <c r="C115" s="5">
        <f>(128*4+256*4+2+40+80+10)*C33</f>
        <v>1670.9701241999999</v>
      </c>
      <c r="D115" s="5">
        <f>(128*4+256*4+2+80+80+10)*D33</f>
        <v>1711.0397275999999</v>
      </c>
      <c r="E115" s="1" t="s">
        <v>6</v>
      </c>
      <c r="F115" s="1"/>
      <c r="G115" s="1" t="s">
        <v>14</v>
      </c>
      <c r="H115" s="5">
        <f>(128*4+256*4+2+20+80+10)*H33</f>
        <v>1650.9340167999999</v>
      </c>
      <c r="I115" s="5">
        <f>(128*4+256*4+2+40+80+10)*I33</f>
        <v>1670.9693735999999</v>
      </c>
      <c r="J115" s="5">
        <f>(128*4+256*4+2+80+80+10)*J33</f>
        <v>1711.0397275999999</v>
      </c>
      <c r="K115" s="1" t="s">
        <v>6</v>
      </c>
      <c r="L115" s="1"/>
      <c r="M115" s="1" t="s">
        <v>14</v>
      </c>
      <c r="N115" s="5">
        <f>(128*4+256*4+2+20+80+10)*N33</f>
        <v>1650.9340167999999</v>
      </c>
      <c r="O115" s="5">
        <f>(128*4+256*4+2+40+80+10)*O33</f>
        <v>1670.9693735999999</v>
      </c>
      <c r="P115" s="5">
        <f>(128*4+256*4+2+80+80+10)*P33</f>
        <v>1711.0397275999999</v>
      </c>
      <c r="Q115" s="1" t="s">
        <v>6</v>
      </c>
    </row>
    <row r="116" spans="1:17" x14ac:dyDescent="0.3">
      <c r="A116" s="10" t="s">
        <v>20</v>
      </c>
      <c r="B116" s="5">
        <f>(256*4+128*4+2+20+80+10)*B34</f>
        <v>1652.170676</v>
      </c>
      <c r="C116" s="5">
        <f>(256*4+128*4+2+40+80+10)*C34</f>
        <v>1672.2210408000001</v>
      </c>
      <c r="D116" s="5">
        <f>(256*4+128*4+2+80+80+10)*D34</f>
        <v>1712.3222648000001</v>
      </c>
      <c r="E116" s="1" t="s">
        <v>6</v>
      </c>
      <c r="F116" s="1"/>
      <c r="G116" s="10" t="s">
        <v>20</v>
      </c>
      <c r="H116" s="5">
        <f>(256*4+128*4+2+20+80+10)*H34</f>
        <v>1652.1690280000003</v>
      </c>
      <c r="I116" s="5">
        <f>(256*4+128*4+2+40+80+10)*I34</f>
        <v>1672.2193727999997</v>
      </c>
      <c r="J116" s="5">
        <f>(256*4+128*4+2+80+80+10)*J34</f>
        <v>1712.3205567999998</v>
      </c>
      <c r="K116" s="1" t="s">
        <v>6</v>
      </c>
      <c r="L116" s="1"/>
      <c r="M116" s="10" t="s">
        <v>20</v>
      </c>
      <c r="N116" s="5">
        <f>(256*4+128*4+2+20+80+10)*N34</f>
        <v>1652.1690280000003</v>
      </c>
      <c r="O116" s="5">
        <f>(256*4+128*4+2+40+80+10)*O34</f>
        <v>1672.2193727999997</v>
      </c>
      <c r="P116" s="5">
        <f>(256*4+128*4+2+80+80+10)*P34</f>
        <v>1712.3205567999998</v>
      </c>
      <c r="Q116" s="1" t="s">
        <v>6</v>
      </c>
    </row>
    <row r="117" spans="1:17" ht="14.5" thickBot="1" x14ac:dyDescent="0.35">
      <c r="A117" s="4" t="s">
        <v>15</v>
      </c>
      <c r="B117" s="6">
        <f>(256*4+256*4+2+20+80+10)*B35</f>
        <v>2163.844368</v>
      </c>
      <c r="C117" s="6">
        <f>(256*4+256*4+2+40+80+10)*C35</f>
        <v>2183.879637</v>
      </c>
      <c r="D117" s="6">
        <f>(256*4+256*4+2+80+80+10)*D35</f>
        <v>2223.9508230000001</v>
      </c>
      <c r="E117" s="2" t="s">
        <v>6</v>
      </c>
      <c r="F117" s="1"/>
      <c r="G117" s="4" t="s">
        <v>15</v>
      </c>
      <c r="H117" s="6">
        <f>(256*4+256*4+2+20+80+10)*H35</f>
        <v>2163.844368</v>
      </c>
      <c r="I117" s="6">
        <f>(256*4+256*4+2+40+80+10)*I35</f>
        <v>2183.879637</v>
      </c>
      <c r="J117" s="6">
        <f>(256*4+256*4+2+80+80+10)*J35</f>
        <v>2223.9508230000001</v>
      </c>
      <c r="K117" s="2" t="s">
        <v>6</v>
      </c>
      <c r="L117" s="1"/>
      <c r="M117" s="4" t="s">
        <v>15</v>
      </c>
      <c r="N117" s="6">
        <f>(256*4+256*4+2+20+80+10)*N35</f>
        <v>2163.844368</v>
      </c>
      <c r="O117" s="6">
        <f>(256*4+256*4+2+40+80+10)*O35</f>
        <v>2183.879637</v>
      </c>
      <c r="P117" s="6">
        <f>(256*4+256*4+2+80+80+10)*P35</f>
        <v>2223.9508230000001</v>
      </c>
      <c r="Q117" s="2" t="s">
        <v>6</v>
      </c>
    </row>
    <row r="118" spans="1:1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22" spans="1:17" x14ac:dyDescent="0.3">
      <c r="A122" s="21" t="s">
        <v>7</v>
      </c>
      <c r="B122" s="23" t="s">
        <v>9</v>
      </c>
      <c r="C122" s="23" t="s">
        <v>18</v>
      </c>
      <c r="G122" s="21" t="s">
        <v>7</v>
      </c>
      <c r="H122" s="23" t="s">
        <v>10</v>
      </c>
      <c r="I122" s="23" t="s">
        <v>18</v>
      </c>
      <c r="M122" s="21" t="s">
        <v>7</v>
      </c>
      <c r="N122" s="23" t="s">
        <v>11</v>
      </c>
      <c r="O122" s="23" t="s">
        <v>18</v>
      </c>
    </row>
    <row r="123" spans="1:17" x14ac:dyDescent="0.3">
      <c r="A123" s="22"/>
      <c r="B123" s="23"/>
      <c r="C123" s="23"/>
      <c r="G123" s="22"/>
      <c r="H123" s="23"/>
      <c r="I123" s="23"/>
      <c r="M123" s="22"/>
      <c r="N123" s="23"/>
      <c r="O123" s="23"/>
    </row>
    <row r="124" spans="1:17" x14ac:dyDescent="0.3">
      <c r="B124" t="s">
        <v>1</v>
      </c>
      <c r="C124" t="s">
        <v>2</v>
      </c>
      <c r="D124" t="s">
        <v>3</v>
      </c>
      <c r="H124" t="s">
        <v>1</v>
      </c>
      <c r="I124" t="s">
        <v>2</v>
      </c>
      <c r="J124" t="s">
        <v>3</v>
      </c>
      <c r="N124" t="s">
        <v>1</v>
      </c>
      <c r="O124" t="s">
        <v>2</v>
      </c>
      <c r="P124" t="s">
        <v>3</v>
      </c>
    </row>
    <row r="125" spans="1:17" x14ac:dyDescent="0.3">
      <c r="A125" s="1" t="s">
        <v>16</v>
      </c>
      <c r="B125" s="5">
        <f>(64*4+256*4+8+20+20+10)*B43</f>
        <v>1342.5184929000002</v>
      </c>
      <c r="C125" s="5">
        <f>(64*4+256*4+8+40+20+10)*C43</f>
        <v>1362.5308312</v>
      </c>
      <c r="D125" s="5">
        <f>(64*4+256*4+8+80+20+10)*D43</f>
        <v>1402.6635881999998</v>
      </c>
      <c r="E125" s="1" t="s">
        <v>4</v>
      </c>
      <c r="G125" s="1" t="s">
        <v>16</v>
      </c>
      <c r="H125" s="5">
        <f>(64*4+256*4+8+20+20+10)*H43</f>
        <v>1342.5184929000002</v>
      </c>
      <c r="I125" s="5">
        <f>(64*4+256*4+8+40+20+10)*I43</f>
        <v>1362.5308312</v>
      </c>
      <c r="J125" s="5">
        <f>(64*4+256*4+8+80+20+10)*J43</f>
        <v>1402.6635881999998</v>
      </c>
      <c r="K125" s="1" t="s">
        <v>4</v>
      </c>
      <c r="M125" s="1" t="s">
        <v>16</v>
      </c>
      <c r="N125" s="5">
        <f>(64*4+256*4+8+20+20+10)*N43</f>
        <v>1342.5184929000002</v>
      </c>
      <c r="O125" s="5">
        <f>(64*4+256*4+8+40+20+10)*O43</f>
        <v>1362.5308312</v>
      </c>
      <c r="P125" s="5">
        <f>(64*4+256*4+8+80+20+10)*P43</f>
        <v>1402.6635881999998</v>
      </c>
      <c r="Q125" s="1" t="s">
        <v>4</v>
      </c>
    </row>
    <row r="126" spans="1:17" x14ac:dyDescent="0.3">
      <c r="A126" s="1" t="s">
        <v>14</v>
      </c>
      <c r="B126" s="5">
        <f>(128*4+256*4+8+20+20+10)*B44</f>
        <v>1599.3153524000002</v>
      </c>
      <c r="C126" s="5">
        <f>(128*4+256*4+8+40+20+10)*C44</f>
        <v>1619.3816409000001</v>
      </c>
      <c r="D126" s="5">
        <f>(128*4+256*4+8+80+20+10)*D44</f>
        <v>1659.5146840999998</v>
      </c>
      <c r="E126" s="1" t="s">
        <v>4</v>
      </c>
      <c r="G126" s="1" t="s">
        <v>14</v>
      </c>
      <c r="H126" s="5">
        <f>(128*4+256*4+8+20+20+10)*H44</f>
        <v>1599.3153524000002</v>
      </c>
      <c r="I126" s="5">
        <f>(128*4+256*4+8+40+20+10)*I44</f>
        <v>1619.3816409000001</v>
      </c>
      <c r="J126" s="5">
        <f>(128*4+256*4+8+80+20+10)*J44</f>
        <v>1659.5146840999998</v>
      </c>
      <c r="K126" s="1" t="s">
        <v>4</v>
      </c>
      <c r="M126" s="1" t="s">
        <v>14</v>
      </c>
      <c r="N126" s="5">
        <f>(128*4+256*4+8+20+20+10)*N44</f>
        <v>1599.3153524000002</v>
      </c>
      <c r="O126" s="5">
        <f>(128*4+256*4+8+40+20+10)*O44</f>
        <v>1619.3816409000001</v>
      </c>
      <c r="P126" s="5">
        <f>(128*4+256*4+8+80+20+10)*P44</f>
        <v>1659.5146840999998</v>
      </c>
      <c r="Q126" s="1" t="s">
        <v>4</v>
      </c>
    </row>
    <row r="127" spans="1:17" x14ac:dyDescent="0.3">
      <c r="A127" s="10" t="s">
        <v>20</v>
      </c>
      <c r="B127" s="5">
        <f>(256*4+128*4+8+20+20+10)*B45</f>
        <v>1601.5504592000002</v>
      </c>
      <c r="C127" s="5">
        <f>(256*4+128*4+8+40+20+10)*C45</f>
        <v>1621.6450338</v>
      </c>
      <c r="D127" s="5">
        <f>(256*4+128*4+8+80+20+10)*D45</f>
        <v>1661.8345018</v>
      </c>
      <c r="E127" s="1" t="s">
        <v>4</v>
      </c>
      <c r="G127" s="10" t="s">
        <v>20</v>
      </c>
      <c r="H127" s="5">
        <f>(256*4+128*4+8+20+20+10)*H45</f>
        <v>1601.5504592000002</v>
      </c>
      <c r="I127" s="5">
        <f>(256*4+128*4+8+40+20+10)*I45</f>
        <v>1621.6450338</v>
      </c>
      <c r="J127" s="5">
        <f>(256*4+128*4+8+80+20+10)*J45</f>
        <v>1661.8345018</v>
      </c>
      <c r="K127" s="1" t="s">
        <v>4</v>
      </c>
      <c r="M127" s="10" t="s">
        <v>20</v>
      </c>
      <c r="N127" s="5">
        <f>(256*4+128*4+8+20+20+10)*N45</f>
        <v>1601.5504592000002</v>
      </c>
      <c r="O127" s="5">
        <f>(256*4+128*4+8+40+20+10)*O45</f>
        <v>1621.6450338</v>
      </c>
      <c r="P127" s="5">
        <f>(256*4+128*4+8+80+20+10)*P45</f>
        <v>1661.8345018</v>
      </c>
      <c r="Q127" s="1" t="s">
        <v>4</v>
      </c>
    </row>
    <row r="128" spans="1:17" ht="14.5" thickBot="1" x14ac:dyDescent="0.35">
      <c r="A128" s="4" t="s">
        <v>15</v>
      </c>
      <c r="B128" s="6">
        <f>(256*4+256*4+8+20+20+10)*B46</f>
        <v>2113.0219305000001</v>
      </c>
      <c r="C128" s="6">
        <f>(256*4+256*4+8+40+20+10)*C46</f>
        <v>2133.0884028999999</v>
      </c>
      <c r="D128" s="6">
        <f>(256*4+256*4+8+80+20+10)*D46</f>
        <v>2173.2217688999999</v>
      </c>
      <c r="E128" s="2" t="s">
        <v>4</v>
      </c>
      <c r="G128" s="4" t="s">
        <v>15</v>
      </c>
      <c r="H128" s="6">
        <f>(256*4+256*4+8+20+20+10)*H46</f>
        <v>2113.0219305000001</v>
      </c>
      <c r="I128" s="6">
        <f>(256*4+256*4+8+40+20+10)*I46</f>
        <v>2133.0884028999999</v>
      </c>
      <c r="J128" s="6">
        <f>(256*4+256*4+8+80+20+10)*J46</f>
        <v>2173.2217688999999</v>
      </c>
      <c r="K128" s="2" t="s">
        <v>4</v>
      </c>
      <c r="M128" s="4" t="s">
        <v>15</v>
      </c>
      <c r="N128" s="6">
        <f>(256*4+256*4+8+20+20+10)*N46</f>
        <v>2113.0219305000001</v>
      </c>
      <c r="O128" s="6">
        <f>(256*4+256*4+8+40+20+10)*O46</f>
        <v>2133.0884028999999</v>
      </c>
      <c r="P128" s="6">
        <f>(256*4+256*4+8+80+20+10)*P46</f>
        <v>2173.2217688999999</v>
      </c>
      <c r="Q128" s="2" t="s">
        <v>4</v>
      </c>
    </row>
    <row r="129" spans="1:17" x14ac:dyDescent="0.3">
      <c r="A129" s="1" t="s">
        <v>16</v>
      </c>
      <c r="B129" s="5">
        <f>(64*4+256*4+8+20+40+10)*B47</f>
        <v>1362.5838611000001</v>
      </c>
      <c r="C129" s="5">
        <f>(64*4+256*4+8+40+40+10)*C47</f>
        <v>1382.5953543999999</v>
      </c>
      <c r="D129" s="5">
        <f>(64*4+256*4+8+80+40+10)*D47</f>
        <v>1422.7280373999999</v>
      </c>
      <c r="E129" s="1" t="s">
        <v>5</v>
      </c>
      <c r="G129" s="1" t="s">
        <v>16</v>
      </c>
      <c r="H129" s="5">
        <f>(64*4+256*4+8+20+40+10)*H47</f>
        <v>1362.5838611000001</v>
      </c>
      <c r="I129" s="5">
        <f>(64*4+256*4+8+40+40+10)*I47</f>
        <v>1382.5953543999999</v>
      </c>
      <c r="J129" s="5">
        <f>(64*4+256*4+8+80+40+10)*J47</f>
        <v>1422.7280373999999</v>
      </c>
      <c r="K129" s="1" t="s">
        <v>5</v>
      </c>
      <c r="M129" s="1" t="s">
        <v>16</v>
      </c>
      <c r="N129" s="5">
        <f>(64*4+256*4+8+20+40+10)*N47</f>
        <v>1362.5838611000001</v>
      </c>
      <c r="O129" s="5">
        <f>(64*4+256*4+8+40+40+10)*O47</f>
        <v>1382.5953543999999</v>
      </c>
      <c r="P129" s="5">
        <f>(64*4+256*4+8+80+40+10)*P47</f>
        <v>1422.7280373999999</v>
      </c>
      <c r="Q129" s="1" t="s">
        <v>5</v>
      </c>
    </row>
    <row r="130" spans="1:17" x14ac:dyDescent="0.3">
      <c r="A130" s="1" t="s">
        <v>14</v>
      </c>
      <c r="B130" s="5">
        <f>(128*4+256*4+8+20+40+10)*B48</f>
        <v>1619.3794620000001</v>
      </c>
      <c r="C130" s="5">
        <f>(128*4+256*4+8+40+40+10)*C48</f>
        <v>1639.4457135</v>
      </c>
      <c r="D130" s="5">
        <f>(128*4+256*4+8+80+40+10)*D48</f>
        <v>1679.5786887000002</v>
      </c>
      <c r="E130" s="1" t="s">
        <v>5</v>
      </c>
      <c r="G130" s="1" t="s">
        <v>14</v>
      </c>
      <c r="H130" s="5">
        <f>(128*4+256*4+8+20+40+10)*H48</f>
        <v>1619.3794620000001</v>
      </c>
      <c r="I130" s="5">
        <f>(128*4+256*4+8+40+40+10)*I48</f>
        <v>1639.4457135</v>
      </c>
      <c r="J130" s="5">
        <f>(128*4+256*4+8+80+40+10)*J48</f>
        <v>1679.5786887000002</v>
      </c>
      <c r="K130" s="1" t="s">
        <v>5</v>
      </c>
      <c r="M130" s="1" t="s">
        <v>14</v>
      </c>
      <c r="N130" s="5">
        <f>(128*4+256*4+8+20+40+10)*N48</f>
        <v>1619.3794620000001</v>
      </c>
      <c r="O130" s="5">
        <f>(128*4+256*4+8+40+40+10)*O48</f>
        <v>1639.4457135</v>
      </c>
      <c r="P130" s="5">
        <f>(128*4+256*4+8+80+40+10)*P48</f>
        <v>1679.5786887000002</v>
      </c>
      <c r="Q130" s="1" t="s">
        <v>5</v>
      </c>
    </row>
    <row r="131" spans="1:17" x14ac:dyDescent="0.3">
      <c r="A131" s="10" t="s">
        <v>20</v>
      </c>
      <c r="B131" s="5">
        <f>(256*4+128*4+8+20+40+10)*B49</f>
        <v>1621.9605708000001</v>
      </c>
      <c r="C131" s="5">
        <f>(256*4+128*4+8+40+40+10)*C49</f>
        <v>1642.0590514</v>
      </c>
      <c r="D131" s="5">
        <f>(256*4+128*4+8+80+40+10)*D49</f>
        <v>1682.2563353999999</v>
      </c>
      <c r="E131" s="1" t="s">
        <v>5</v>
      </c>
      <c r="G131" s="10" t="s">
        <v>20</v>
      </c>
      <c r="H131" s="5">
        <f>(256*4+128*4+8+20+40+10)*H49</f>
        <v>1621.9605708000001</v>
      </c>
      <c r="I131" s="5">
        <f>(256*4+128*4+8+40+40+10)*I49</f>
        <v>1642.0590514</v>
      </c>
      <c r="J131" s="5">
        <f>(256*4+128*4+8+80+40+10)*J49</f>
        <v>1682.2563353999999</v>
      </c>
      <c r="K131" s="1" t="s">
        <v>5</v>
      </c>
      <c r="M131" s="10" t="s">
        <v>20</v>
      </c>
      <c r="N131" s="5">
        <f>(256*4+128*4+8+20+40+10)*N49</f>
        <v>1621.9605708000001</v>
      </c>
      <c r="O131" s="5">
        <f>(256*4+128*4+8+40+40+10)*O49</f>
        <v>1642.0590514</v>
      </c>
      <c r="P131" s="5">
        <f>(256*4+128*4+8+80+40+10)*P49</f>
        <v>1682.2563353999999</v>
      </c>
      <c r="Q131" s="1" t="s">
        <v>5</v>
      </c>
    </row>
    <row r="132" spans="1:17" ht="14.5" thickBot="1" x14ac:dyDescent="0.35">
      <c r="A132" s="4" t="s">
        <v>15</v>
      </c>
      <c r="B132" s="6">
        <f>(256*4+256*4+8+20+40+10)*B50</f>
        <v>2133.0852138999999</v>
      </c>
      <c r="C132" s="6">
        <f>(256*4+256*4+8+40+40+10)*C50</f>
        <v>2153.1516523</v>
      </c>
      <c r="D132" s="6">
        <f>(256*4+256*4+8+80+40+10)*D50</f>
        <v>2193.2849543000002</v>
      </c>
      <c r="E132" s="2" t="s">
        <v>5</v>
      </c>
      <c r="G132" s="4" t="s">
        <v>15</v>
      </c>
      <c r="H132" s="6">
        <f>(256*4+256*4+8+20+40+10)*H50</f>
        <v>2133.0852138999999</v>
      </c>
      <c r="I132" s="6">
        <f>(256*4+256*4+8+40+40+10)*I50</f>
        <v>2153.1516523</v>
      </c>
      <c r="J132" s="6">
        <f>(256*4+256*4+8+80+40+10)*J50</f>
        <v>2193.2849543000002</v>
      </c>
      <c r="K132" s="2" t="s">
        <v>5</v>
      </c>
      <c r="M132" s="4" t="s">
        <v>15</v>
      </c>
      <c r="N132" s="6">
        <f>(256*4+256*4+8+20+40+10)*N50</f>
        <v>2133.0852138999999</v>
      </c>
      <c r="O132" s="6">
        <f>(256*4+256*4+8+40+40+10)*O50</f>
        <v>2153.1516523</v>
      </c>
      <c r="P132" s="6">
        <f>(256*4+256*4+8+80+40+10)*P50</f>
        <v>2193.2849543000002</v>
      </c>
      <c r="Q132" s="2" t="s">
        <v>5</v>
      </c>
    </row>
    <row r="133" spans="1:17" x14ac:dyDescent="0.3">
      <c r="A133" s="1" t="s">
        <v>16</v>
      </c>
      <c r="B133" s="8">
        <f>(64*4+256*4+8+20+80+10)*B51</f>
        <v>1402.7124483</v>
      </c>
      <c r="C133" s="8">
        <f>(64*4+256*4+8+40+80+10)*C51</f>
        <v>1422.7222236</v>
      </c>
      <c r="D133" s="8">
        <f>(64*4+256*4+8+80+80+10)*D51</f>
        <v>1462.8547026000001</v>
      </c>
      <c r="E133" t="s">
        <v>6</v>
      </c>
      <c r="G133" s="1" t="s">
        <v>16</v>
      </c>
      <c r="H133" s="8">
        <f>(64*4+256*4+8+20+80+10)*H51</f>
        <v>1402.7124483</v>
      </c>
      <c r="I133" s="8">
        <f>(64*4+256*4+8+40+80+10)*I51</f>
        <v>1422.7222236</v>
      </c>
      <c r="J133" s="8">
        <f>(64*4+256*4+8+80+80+10)*J51</f>
        <v>1462.8547026000001</v>
      </c>
      <c r="K133" t="s">
        <v>6</v>
      </c>
      <c r="M133" s="1" t="s">
        <v>16</v>
      </c>
      <c r="N133" s="8">
        <f>(64*4+256*4+8+20+80+10)*N51</f>
        <v>1402.7124483</v>
      </c>
      <c r="O133" s="8">
        <f>(64*4+256*4+8+40+80+10)*O51</f>
        <v>1422.7222236</v>
      </c>
      <c r="P133" s="8">
        <f>(64*4+256*4+8+80+80+10)*P51</f>
        <v>1462.8547026000001</v>
      </c>
      <c r="Q133" t="s">
        <v>6</v>
      </c>
    </row>
    <row r="134" spans="1:17" x14ac:dyDescent="0.3">
      <c r="A134" s="1" t="s">
        <v>14</v>
      </c>
      <c r="B134" s="5">
        <f>(128*4+256*4+8+20+80+10)*B52</f>
        <v>1659.5051736</v>
      </c>
      <c r="C134" s="5">
        <f>(128*4+256*4+8+40+80+10)*C52</f>
        <v>1679.5713231</v>
      </c>
      <c r="D134" s="5">
        <f>(128*4+256*4+8+80+80+10)*D52</f>
        <v>1719.7041063000001</v>
      </c>
      <c r="E134" t="s">
        <v>6</v>
      </c>
      <c r="G134" s="1" t="s">
        <v>14</v>
      </c>
      <c r="H134" s="5">
        <f>(128*4+256*4+8+20+80+10)*H52</f>
        <v>1659.5051736</v>
      </c>
      <c r="I134" s="5">
        <f>(128*4+256*4+8+40+80+10)*I52</f>
        <v>1679.5713231</v>
      </c>
      <c r="J134" s="5">
        <f>(128*4+256*4+8+80+80+10)*J52</f>
        <v>1719.7041063000001</v>
      </c>
      <c r="K134" t="s">
        <v>6</v>
      </c>
      <c r="M134" s="1" t="s">
        <v>14</v>
      </c>
      <c r="N134" s="5">
        <f>(128*4+256*4+8+20+80+10)*N52</f>
        <v>1659.5051736</v>
      </c>
      <c r="O134" s="5">
        <f>(128*4+256*4+8+40+80+10)*O52</f>
        <v>1679.5713231</v>
      </c>
      <c r="P134" s="5">
        <f>(128*4+256*4+8+80+80+10)*P52</f>
        <v>1719.7041063000001</v>
      </c>
      <c r="Q134" t="s">
        <v>6</v>
      </c>
    </row>
    <row r="135" spans="1:17" x14ac:dyDescent="0.3">
      <c r="A135" s="10" t="s">
        <v>20</v>
      </c>
      <c r="B135" s="5">
        <f>(256*4+128*4+8+20+80+10)*B53</f>
        <v>1661.8273069000002</v>
      </c>
      <c r="C135" s="5">
        <f>(256*4+128*4+8+40+80+10)*C53</f>
        <v>1681.9217865000001</v>
      </c>
      <c r="D135" s="5">
        <f>(256*4+128*4+8+80+80+10)*D53</f>
        <v>1722.1110765000001</v>
      </c>
      <c r="E135" t="s">
        <v>6</v>
      </c>
      <c r="G135" s="10" t="s">
        <v>20</v>
      </c>
      <c r="H135" s="5">
        <f>(256*4+128*4+8+20+80+10)*H53</f>
        <v>1661.8273069000002</v>
      </c>
      <c r="I135" s="5">
        <f>(256*4+128*4+8+40+80+10)*I53</f>
        <v>1681.9217865000001</v>
      </c>
      <c r="J135" s="5">
        <f>(256*4+128*4+8+80+80+10)*J53</f>
        <v>1722.1110765000001</v>
      </c>
      <c r="K135" t="s">
        <v>6</v>
      </c>
      <c r="M135" s="10" t="s">
        <v>20</v>
      </c>
      <c r="N135" s="5">
        <f>(256*4+128*4+8+20+80+10)*N53</f>
        <v>1661.8273069000002</v>
      </c>
      <c r="O135" s="5">
        <f>(256*4+128*4+8+40+80+10)*O53</f>
        <v>1681.9217865000001</v>
      </c>
      <c r="P135" s="5">
        <f>(256*4+128*4+8+80+80+10)*P53</f>
        <v>1722.1110765000001</v>
      </c>
      <c r="Q135" t="s">
        <v>6</v>
      </c>
    </row>
    <row r="136" spans="1:17" ht="14.5" thickBot="1" x14ac:dyDescent="0.35">
      <c r="A136" s="4" t="s">
        <v>15</v>
      </c>
      <c r="B136" s="6">
        <f>(256*4+256*4+8+20+80+10)*B54</f>
        <v>2173.2085562999996</v>
      </c>
      <c r="C136" s="6">
        <f>(256*4+256*4+8+40+80+10)*C54</f>
        <v>2193.2748987</v>
      </c>
      <c r="D136" s="6">
        <f>(256*4+256*4+8+80+80+10)*D54</f>
        <v>2233.4080167000002</v>
      </c>
      <c r="E136" s="2" t="s">
        <v>6</v>
      </c>
      <c r="G136" s="4" t="s">
        <v>15</v>
      </c>
      <c r="H136" s="6">
        <f>(256*4+256*4+8+20+80+10)*H54</f>
        <v>2173.2085562999996</v>
      </c>
      <c r="I136" s="6">
        <f>(256*4+256*4+8+40+80+10)*I54</f>
        <v>2193.2748987</v>
      </c>
      <c r="J136" s="6">
        <f>(256*4+256*4+8+80+80+10)*J54</f>
        <v>2233.4080167000002</v>
      </c>
      <c r="K136" s="2" t="s">
        <v>6</v>
      </c>
      <c r="M136" s="4" t="s">
        <v>15</v>
      </c>
      <c r="N136" s="6">
        <f>(256*4+256*4+8+20+80+10)*N54</f>
        <v>2173.2085562999996</v>
      </c>
      <c r="O136" s="6">
        <f>(256*4+256*4+8+40+80+10)*O54</f>
        <v>2193.2748987</v>
      </c>
      <c r="P136" s="6">
        <f>(256*4+256*4+8+80+80+10)*P54</f>
        <v>2233.4080167000002</v>
      </c>
      <c r="Q136" s="2" t="s">
        <v>6</v>
      </c>
    </row>
    <row r="139" spans="1:17" x14ac:dyDescent="0.3">
      <c r="A139" s="21" t="s">
        <v>8</v>
      </c>
      <c r="B139" s="23" t="s">
        <v>9</v>
      </c>
      <c r="C139" s="23" t="s">
        <v>18</v>
      </c>
      <c r="G139" s="21" t="s">
        <v>8</v>
      </c>
      <c r="H139" s="23" t="s">
        <v>10</v>
      </c>
      <c r="I139" s="23" t="s">
        <v>18</v>
      </c>
      <c r="M139" s="21" t="s">
        <v>8</v>
      </c>
      <c r="N139" s="23" t="s">
        <v>11</v>
      </c>
      <c r="O139" s="23" t="s">
        <v>18</v>
      </c>
    </row>
    <row r="140" spans="1:17" x14ac:dyDescent="0.3">
      <c r="A140" s="22"/>
      <c r="B140" s="23"/>
      <c r="C140" s="23"/>
      <c r="G140" s="22"/>
      <c r="H140" s="23"/>
      <c r="I140" s="23"/>
      <c r="M140" s="22"/>
      <c r="N140" s="23"/>
      <c r="O140" s="23"/>
    </row>
    <row r="141" spans="1:17" x14ac:dyDescent="0.3">
      <c r="B141" t="s">
        <v>1</v>
      </c>
      <c r="C141" t="s">
        <v>2</v>
      </c>
      <c r="D141" t="s">
        <v>3</v>
      </c>
      <c r="H141" t="s">
        <v>1</v>
      </c>
      <c r="I141" t="s">
        <v>2</v>
      </c>
      <c r="J141" t="s">
        <v>3</v>
      </c>
      <c r="N141" t="s">
        <v>1</v>
      </c>
      <c r="O141" t="s">
        <v>2</v>
      </c>
      <c r="P141" t="s">
        <v>3</v>
      </c>
    </row>
    <row r="142" spans="1:17" x14ac:dyDescent="0.3">
      <c r="A142" s="1" t="s">
        <v>16</v>
      </c>
      <c r="B142" s="5">
        <f>(64*4+256*4+8+20+20+10)*B60</f>
        <v>1340.4587756999999</v>
      </c>
      <c r="C142" s="5">
        <f>(64*4+256*4+8+40+20+10)*C60</f>
        <v>1360.4253200999999</v>
      </c>
      <c r="D142" s="5">
        <f>(64*4+256*4+8+80+20+10)*D60</f>
        <v>1400.4962688000001</v>
      </c>
      <c r="E142" s="1" t="s">
        <v>4</v>
      </c>
      <c r="G142" s="1" t="s">
        <v>16</v>
      </c>
      <c r="H142" s="5">
        <f>(64*4+256*4+8+20+20+10)*H60</f>
        <v>1340.4587756999999</v>
      </c>
      <c r="I142" s="5">
        <f>(64*4+256*4+8+40+20+10)*I60</f>
        <v>1360.4253200999999</v>
      </c>
      <c r="J142" s="5">
        <f>(64*4+256*4+8+80+20+10)*J60</f>
        <v>1400.4962688000001</v>
      </c>
      <c r="K142" s="1" t="s">
        <v>4</v>
      </c>
      <c r="M142" s="1" t="s">
        <v>16</v>
      </c>
      <c r="N142" s="5">
        <f>(64*4+256*4+8+20+20+10)*N60</f>
        <v>1340.4587756999999</v>
      </c>
      <c r="O142" s="5">
        <f>(64*4+256*4+8+40+20+10)*O60</f>
        <v>1360.4253200999999</v>
      </c>
      <c r="P142" s="5">
        <f>(64*4+256*4+8+80+20+10)*P60</f>
        <v>1400.4962688000001</v>
      </c>
      <c r="Q142" s="1" t="s">
        <v>4</v>
      </c>
    </row>
    <row r="143" spans="1:17" x14ac:dyDescent="0.3">
      <c r="A143" s="1" t="s">
        <v>14</v>
      </c>
      <c r="B143" s="5">
        <f>(128*4+256*4+8+20+20+10)*B61</f>
        <v>1596.8440945</v>
      </c>
      <c r="C143" s="5">
        <f>(128*4+256*4+8+40+20+10)*C61</f>
        <v>1616.8794567</v>
      </c>
      <c r="D143" s="5">
        <f>(128*4+256*4+8+80+20+10)*D61</f>
        <v>1656.9499917000001</v>
      </c>
      <c r="E143" s="1" t="s">
        <v>4</v>
      </c>
      <c r="G143" s="1" t="s">
        <v>14</v>
      </c>
      <c r="H143" s="5">
        <f>(128*4+256*4+8+20+20+10)*H61</f>
        <v>1596.8440945</v>
      </c>
      <c r="I143" s="5">
        <f>(128*4+256*4+8+40+20+10)*I61</f>
        <v>1616.8794567</v>
      </c>
      <c r="J143" s="5">
        <f>(128*4+256*4+8+80+20+10)*J61</f>
        <v>1656.9499917000001</v>
      </c>
      <c r="K143" s="1" t="s">
        <v>4</v>
      </c>
      <c r="M143" s="1" t="s">
        <v>14</v>
      </c>
      <c r="N143" s="5">
        <f>(128*4+256*4+8+20+20+10)*N61</f>
        <v>1596.8440945</v>
      </c>
      <c r="O143" s="5">
        <f>(128*4+256*4+8+40+20+10)*O61</f>
        <v>1616.8794567</v>
      </c>
      <c r="P143" s="5">
        <f>(128*4+256*4+8+80+20+10)*P61</f>
        <v>1656.9499917000001</v>
      </c>
      <c r="Q143" s="1" t="s">
        <v>4</v>
      </c>
    </row>
    <row r="144" spans="1:17" x14ac:dyDescent="0.3">
      <c r="A144" s="10" t="s">
        <v>20</v>
      </c>
      <c r="B144" s="5">
        <f>(256*4+128*4+8+20+20+10)*B62</f>
        <v>1598.0691631999998</v>
      </c>
      <c r="C144" s="5">
        <f>(256*4+128*4+8+40+20+10)*C62</f>
        <v>1618.1199770999999</v>
      </c>
      <c r="D144" s="5">
        <f>(256*4+128*4+8+80+20+10)*D62</f>
        <v>1658.2220831</v>
      </c>
      <c r="E144" s="1" t="s">
        <v>4</v>
      </c>
      <c r="G144" s="10" t="s">
        <v>20</v>
      </c>
      <c r="H144" s="5">
        <f>(256*4+128*4+8+20+20+10)*H62</f>
        <v>1598.0691631999998</v>
      </c>
      <c r="I144" s="5">
        <f>(256*4+128*4+8+40+20+10)*I62</f>
        <v>1618.1199770999999</v>
      </c>
      <c r="J144" s="5">
        <f>(256*4+128*4+8+80+20+10)*J62</f>
        <v>1658.2220831</v>
      </c>
      <c r="K144" s="1" t="s">
        <v>4</v>
      </c>
      <c r="M144" s="10" t="s">
        <v>20</v>
      </c>
      <c r="N144" s="5">
        <f>(256*4+128*4+8+20+20+10)*N62</f>
        <v>1598.0691631999998</v>
      </c>
      <c r="O144" s="5">
        <f>(256*4+128*4+8+40+20+10)*O62</f>
        <v>1618.1199770999999</v>
      </c>
      <c r="P144" s="5">
        <f>(256*4+128*4+8+80+20+10)*P62</f>
        <v>1658.2220831</v>
      </c>
      <c r="Q144" s="1" t="s">
        <v>4</v>
      </c>
    </row>
    <row r="145" spans="1:17" ht="14.5" thickBot="1" x14ac:dyDescent="0.35">
      <c r="A145" s="4" t="s">
        <v>15</v>
      </c>
      <c r="B145" s="6">
        <f>(256*4+256*4+8+20+20+10)*B63</f>
        <v>2109.7563668999996</v>
      </c>
      <c r="C145" s="6">
        <f>(256*4+256*4+8+40+20+10)*C63</f>
        <v>2129.7917210000001</v>
      </c>
      <c r="D145" s="6">
        <f>(256*4+256*4+8+80+20+10)*D63</f>
        <v>2169.863061</v>
      </c>
      <c r="E145" s="2" t="s">
        <v>4</v>
      </c>
      <c r="G145" s="4" t="s">
        <v>15</v>
      </c>
      <c r="H145" s="6">
        <f>(256*4+256*4+8+20+20+10)*H63</f>
        <v>2109.7563668999996</v>
      </c>
      <c r="I145" s="6">
        <f>(256*4+256*4+8+40+20+10)*I63</f>
        <v>2129.7917210000001</v>
      </c>
      <c r="J145" s="6">
        <f>(256*4+256*4+8+80+20+10)*J63</f>
        <v>2169.863061</v>
      </c>
      <c r="K145" s="2" t="s">
        <v>4</v>
      </c>
      <c r="M145" s="4" t="s">
        <v>15</v>
      </c>
      <c r="N145" s="6">
        <f>(256*4+256*4+8+20+20+10)*N63</f>
        <v>2109.7563668999996</v>
      </c>
      <c r="O145" s="6">
        <f>(256*4+256*4+8+40+20+10)*O63</f>
        <v>2129.7917210000001</v>
      </c>
      <c r="P145" s="6">
        <f>(256*4+256*4+8+80+20+10)*P63</f>
        <v>2169.863061</v>
      </c>
      <c r="Q145" s="2" t="s">
        <v>4</v>
      </c>
    </row>
    <row r="146" spans="1:17" x14ac:dyDescent="0.3">
      <c r="A146" s="1" t="s">
        <v>16</v>
      </c>
      <c r="B146" s="5">
        <f>(64*4+256*4+8+20+40+10)*B64</f>
        <v>1360.4947139000001</v>
      </c>
      <c r="C146" s="5">
        <f>(64*4+256*4+8+40+40+10)*C64</f>
        <v>1380.4602123</v>
      </c>
      <c r="D146" s="5">
        <f>(64*4+256*4+8+80+40+10)*D64</f>
        <v>1420.5311299999998</v>
      </c>
      <c r="E146" s="1" t="s">
        <v>5</v>
      </c>
      <c r="G146" s="1" t="s">
        <v>16</v>
      </c>
      <c r="H146" s="5">
        <f>(64*4+256*4+8+20+40+10)*H64</f>
        <v>1360.4947139000001</v>
      </c>
      <c r="I146" s="5">
        <f>(64*4+256*4+8+40+40+10)*I64</f>
        <v>1380.4602123</v>
      </c>
      <c r="J146" s="5">
        <f>(64*4+256*4+8+80+40+10)*J64</f>
        <v>1420.5311299999998</v>
      </c>
      <c r="K146" s="1" t="s">
        <v>5</v>
      </c>
      <c r="M146" s="1" t="s">
        <v>16</v>
      </c>
      <c r="N146" s="5">
        <f>(64*4+256*4+8+20+40+10)*N64</f>
        <v>1360.4947139000001</v>
      </c>
      <c r="O146" s="5">
        <f>(64*4+256*4+8+40+40+10)*O64</f>
        <v>1380.4602123</v>
      </c>
      <c r="P146" s="5">
        <f>(64*4+256*4+8+80+40+10)*P64</f>
        <v>1420.5311299999998</v>
      </c>
      <c r="Q146" s="1" t="s">
        <v>5</v>
      </c>
    </row>
    <row r="147" spans="1:17" x14ac:dyDescent="0.3">
      <c r="A147" s="1" t="s">
        <v>14</v>
      </c>
      <c r="B147" s="5">
        <f>(128*4+256*4+8+20+40+10)*B65</f>
        <v>1616.8788110999999</v>
      </c>
      <c r="C147" s="5">
        <f>(128*4+256*4+8+40+40+10)*C65</f>
        <v>1636.914239</v>
      </c>
      <c r="D147" s="5">
        <f>(128*4+256*4+8+80+40+10)*D65</f>
        <v>1676.9847420000001</v>
      </c>
      <c r="E147" s="1" t="s">
        <v>5</v>
      </c>
      <c r="G147" s="1" t="s">
        <v>14</v>
      </c>
      <c r="H147" s="5">
        <f>(128*4+256*4+8+20+40+10)*H65</f>
        <v>1616.8788110999999</v>
      </c>
      <c r="I147" s="5">
        <f>(128*4+256*4+8+40+40+10)*I65</f>
        <v>1636.914239</v>
      </c>
      <c r="J147" s="5">
        <f>(128*4+256*4+8+80+40+10)*J65</f>
        <v>1676.9847420000001</v>
      </c>
      <c r="K147" s="1" t="s">
        <v>5</v>
      </c>
      <c r="M147" s="1" t="s">
        <v>14</v>
      </c>
      <c r="N147" s="5">
        <f>(128*4+256*4+8+20+40+10)*N65</f>
        <v>1616.8788110999999</v>
      </c>
      <c r="O147" s="5">
        <f>(128*4+256*4+8+40+40+10)*O65</f>
        <v>1636.914239</v>
      </c>
      <c r="P147" s="5">
        <f>(128*4+256*4+8+80+40+10)*P65</f>
        <v>1676.9847420000001</v>
      </c>
      <c r="Q147" s="1" t="s">
        <v>5</v>
      </c>
    </row>
    <row r="148" spans="1:17" x14ac:dyDescent="0.3">
      <c r="A148" s="10" t="s">
        <v>20</v>
      </c>
      <c r="B148" s="5">
        <f>(256*4+128*4+8+20+40+10)*B66</f>
        <v>1618.2942084000001</v>
      </c>
      <c r="C148" s="5">
        <f>(256*4+128*4+8+40+40+10)*C66</f>
        <v>1638.3471753000001</v>
      </c>
      <c r="D148" s="5">
        <f>(256*4+128*4+8+80+40+10)*D66</f>
        <v>1678.4535933</v>
      </c>
      <c r="E148" s="1" t="s">
        <v>5</v>
      </c>
      <c r="G148" s="10" t="s">
        <v>20</v>
      </c>
      <c r="H148" s="5">
        <f>(256*4+128*4+8+20+40+10)*H66</f>
        <v>1618.2942084000001</v>
      </c>
      <c r="I148" s="5">
        <f>(256*4+128*4+8+40+40+10)*I66</f>
        <v>1638.3471753000001</v>
      </c>
      <c r="J148" s="5">
        <f>(256*4+128*4+8+80+40+10)*J66</f>
        <v>1678.4535933</v>
      </c>
      <c r="K148" s="1" t="s">
        <v>5</v>
      </c>
      <c r="M148" s="10" t="s">
        <v>20</v>
      </c>
      <c r="N148" s="5">
        <f>(256*4+128*4+8+20+40+10)*N66</f>
        <v>1618.2942084000001</v>
      </c>
      <c r="O148" s="5">
        <f>(256*4+128*4+8+40+40+10)*O66</f>
        <v>1638.3471753000001</v>
      </c>
      <c r="P148" s="5">
        <f>(256*4+128*4+8+80+40+10)*P66</f>
        <v>1678.4535933</v>
      </c>
      <c r="Q148" s="1" t="s">
        <v>5</v>
      </c>
    </row>
    <row r="149" spans="1:17" ht="14.5" thickBot="1" x14ac:dyDescent="0.35">
      <c r="A149" s="4" t="s">
        <v>15</v>
      </c>
      <c r="B149" s="6">
        <f>(256*4+256*4+8+20+40+10)*B67</f>
        <v>2129.7908705999998</v>
      </c>
      <c r="C149" s="6">
        <f>(256*4+256*4+8+40+40+10)*C67</f>
        <v>2149.8262107</v>
      </c>
      <c r="D149" s="6">
        <f>(256*4+256*4+8+80+40+10)*D67</f>
        <v>2189.8975286999998</v>
      </c>
      <c r="E149" s="2" t="s">
        <v>5</v>
      </c>
      <c r="G149" s="4" t="s">
        <v>15</v>
      </c>
      <c r="H149" s="6">
        <f>(256*4+256*4+8+20+40+10)*H67</f>
        <v>2129.7908705999998</v>
      </c>
      <c r="I149" s="6">
        <f>(256*4+256*4+8+40+40+10)*I67</f>
        <v>2149.8262107</v>
      </c>
      <c r="J149" s="6">
        <f>(256*4+256*4+8+80+40+10)*J67</f>
        <v>2189.8975286999998</v>
      </c>
      <c r="K149" s="2" t="s">
        <v>5</v>
      </c>
      <c r="M149" s="4" t="s">
        <v>15</v>
      </c>
      <c r="N149" s="6">
        <f>(256*4+256*4+8+20+40+10)*N67</f>
        <v>2129.7908705999998</v>
      </c>
      <c r="O149" s="6">
        <f>(256*4+256*4+8+40+40+10)*O67</f>
        <v>2149.8262107</v>
      </c>
      <c r="P149" s="6">
        <f>(256*4+256*4+8+80+40+10)*P67</f>
        <v>2189.8975286999998</v>
      </c>
      <c r="Q149" s="2" t="s">
        <v>5</v>
      </c>
    </row>
    <row r="150" spans="1:17" x14ac:dyDescent="0.3">
      <c r="A150" s="1" t="s">
        <v>16</v>
      </c>
      <c r="B150" s="8">
        <f>(64*4+256*4+8+20+80+10)*B68</f>
        <v>1400.5635825000002</v>
      </c>
      <c r="C150" s="8">
        <f>(64*4+256*4+8+40+80+10)*C68</f>
        <v>1420.5269469000002</v>
      </c>
      <c r="D150" s="8">
        <f>(64*4+256*4+8+80+80+10)*D68</f>
        <v>1460.5977186</v>
      </c>
      <c r="E150" t="s">
        <v>6</v>
      </c>
      <c r="G150" s="1" t="s">
        <v>16</v>
      </c>
      <c r="H150" s="8">
        <f>(64*4+256*4+8+20+80+10)*H68</f>
        <v>1400.5635825000002</v>
      </c>
      <c r="I150" s="8">
        <f>(64*4+256*4+8+40+80+10)*I68</f>
        <v>1420.5269469000002</v>
      </c>
      <c r="J150" s="8">
        <f>(64*4+256*4+8+80+80+10)*J68</f>
        <v>1460.5977186</v>
      </c>
      <c r="K150" t="s">
        <v>6</v>
      </c>
      <c r="M150" s="1" t="s">
        <v>16</v>
      </c>
      <c r="N150" s="8">
        <f>(64*4+256*4+8+20+80+10)*N68</f>
        <v>1400.5635825000002</v>
      </c>
      <c r="O150" s="8">
        <f>(64*4+256*4+8+40+80+10)*O68</f>
        <v>1420.5269469000002</v>
      </c>
      <c r="P150" s="8">
        <f>(64*4+256*4+8+80+80+10)*P68</f>
        <v>1460.5977186</v>
      </c>
      <c r="Q150" t="s">
        <v>6</v>
      </c>
    </row>
    <row r="151" spans="1:17" x14ac:dyDescent="0.3">
      <c r="A151" s="1" t="s">
        <v>14</v>
      </c>
      <c r="B151" s="5">
        <f>(128*4+256*4+8+20+80+10)*B69</f>
        <v>1656.9446989</v>
      </c>
      <c r="C151" s="5">
        <f>(128*4+256*4+8+40+80+10)*C69</f>
        <v>1676.9800548000001</v>
      </c>
      <c r="D151" s="5">
        <f>(128*4+256*4+8+80+80+10)*D69</f>
        <v>1717.0504057999999</v>
      </c>
      <c r="E151" t="s">
        <v>6</v>
      </c>
      <c r="G151" s="1" t="s">
        <v>14</v>
      </c>
      <c r="H151" s="5">
        <f>(128*4+256*4+8+20+80+10)*H69</f>
        <v>1656.9446989</v>
      </c>
      <c r="I151" s="5">
        <f>(128*4+256*4+8+40+80+10)*I69</f>
        <v>1676.9800548000001</v>
      </c>
      <c r="J151" s="5">
        <f>(128*4+256*4+8+80+80+10)*J69</f>
        <v>1717.0504057999999</v>
      </c>
      <c r="K151" t="s">
        <v>6</v>
      </c>
      <c r="M151" s="1" t="s">
        <v>14</v>
      </c>
      <c r="N151" s="5">
        <f>(128*4+256*4+8+20+80+10)*N69</f>
        <v>1656.9446989</v>
      </c>
      <c r="O151" s="5">
        <f>(128*4+256*4+8+40+80+10)*O69</f>
        <v>1676.9800548000001</v>
      </c>
      <c r="P151" s="5">
        <f>(128*4+256*4+8+80+80+10)*P69</f>
        <v>1717.0504057999999</v>
      </c>
      <c r="Q151" t="s">
        <v>6</v>
      </c>
    </row>
    <row r="152" spans="1:17" x14ac:dyDescent="0.3">
      <c r="A152" s="10" t="s">
        <v>20</v>
      </c>
      <c r="B152" s="5">
        <f>(256*4+128*4+8+20+80+10)*B70</f>
        <v>1658.1842065000001</v>
      </c>
      <c r="C152" s="5">
        <f>(256*4+128*4+8+40+80+10)*C70</f>
        <v>1678.2345503999998</v>
      </c>
      <c r="D152" s="5">
        <f>(256*4+128*4+8+80+80+10)*D70</f>
        <v>1718.3357343999999</v>
      </c>
      <c r="E152" t="s">
        <v>6</v>
      </c>
      <c r="G152" s="10" t="s">
        <v>20</v>
      </c>
      <c r="H152" s="5">
        <f>(256*4+128*4+8+20+80+10)*H70</f>
        <v>1658.1842065000001</v>
      </c>
      <c r="I152" s="5">
        <f>(256*4+128*4+8+40+80+10)*I70</f>
        <v>1678.2345503999998</v>
      </c>
      <c r="J152" s="5">
        <f>(256*4+128*4+8+80+80+10)*J70</f>
        <v>1718.3357343999999</v>
      </c>
      <c r="K152" t="s">
        <v>6</v>
      </c>
      <c r="M152" s="10" t="s">
        <v>20</v>
      </c>
      <c r="N152" s="5">
        <f>(256*4+128*4+8+20+80+10)*N70</f>
        <v>1658.1842065000001</v>
      </c>
      <c r="O152" s="5">
        <f>(256*4+128*4+8+40+80+10)*O70</f>
        <v>1678.2345503999998</v>
      </c>
      <c r="P152" s="5">
        <f>(256*4+128*4+8+80+80+10)*P70</f>
        <v>1718.3357343999999</v>
      </c>
      <c r="Q152" t="s">
        <v>6</v>
      </c>
    </row>
    <row r="153" spans="1:17" ht="14.5" thickBot="1" x14ac:dyDescent="0.35">
      <c r="A153" s="4" t="s">
        <v>15</v>
      </c>
      <c r="B153" s="6">
        <f>(256*4+256*4+8+20+80+10)*B71</f>
        <v>2169.8550467999999</v>
      </c>
      <c r="C153" s="6">
        <f>(256*4+256*4+8+40+80+10)*C71</f>
        <v>2189.8903149000002</v>
      </c>
      <c r="D153" s="6">
        <f>(256*4+256*4+8+80+80+10)*D71</f>
        <v>2229.9615008999999</v>
      </c>
      <c r="E153" s="2" t="s">
        <v>6</v>
      </c>
      <c r="G153" s="4" t="s">
        <v>15</v>
      </c>
      <c r="H153" s="6">
        <f>(256*4+256*4+8+20+80+10)*H71</f>
        <v>2169.8550467999999</v>
      </c>
      <c r="I153" s="6">
        <f>(256*4+256*4+8+40+80+10)*I71</f>
        <v>2189.8903149000002</v>
      </c>
      <c r="J153" s="6">
        <f>(256*4+256*4+8+80+80+10)*J71</f>
        <v>2229.9615008999999</v>
      </c>
      <c r="K153" s="2" t="s">
        <v>6</v>
      </c>
      <c r="M153" s="4" t="s">
        <v>15</v>
      </c>
      <c r="N153" s="6">
        <f>(256*4+256*4+8+20+80+10)*N71</f>
        <v>2169.8550467999999</v>
      </c>
      <c r="O153" s="6">
        <f>(256*4+256*4+8+40+80+10)*O71</f>
        <v>2189.8903149000002</v>
      </c>
      <c r="P153" s="6">
        <f>(256*4+256*4+8+80+80+10)*P71</f>
        <v>2229.9615008999999</v>
      </c>
      <c r="Q153" s="2" t="s">
        <v>6</v>
      </c>
    </row>
  </sheetData>
  <mergeCells count="90">
    <mergeCell ref="S83:S84"/>
    <mergeCell ref="T83:T84"/>
    <mergeCell ref="U83:U84"/>
    <mergeCell ref="S93:S94"/>
    <mergeCell ref="T93:T94"/>
    <mergeCell ref="U93:U94"/>
    <mergeCell ref="I122:I123"/>
    <mergeCell ref="M122:M123"/>
    <mergeCell ref="N122:N123"/>
    <mergeCell ref="O122:O123"/>
    <mergeCell ref="A139:A140"/>
    <mergeCell ref="B139:B140"/>
    <mergeCell ref="C139:C140"/>
    <mergeCell ref="G139:G140"/>
    <mergeCell ref="H139:H140"/>
    <mergeCell ref="I139:I140"/>
    <mergeCell ref="M139:M140"/>
    <mergeCell ref="N139:N140"/>
    <mergeCell ref="O139:O140"/>
    <mergeCell ref="A122:A123"/>
    <mergeCell ref="B122:B123"/>
    <mergeCell ref="C122:C123"/>
    <mergeCell ref="G122:G123"/>
    <mergeCell ref="H122:H123"/>
    <mergeCell ref="I83:I84"/>
    <mergeCell ref="M83:M84"/>
    <mergeCell ref="N83:N84"/>
    <mergeCell ref="O83:O84"/>
    <mergeCell ref="A103:A104"/>
    <mergeCell ref="B103:B104"/>
    <mergeCell ref="C103:C104"/>
    <mergeCell ref="G103:G104"/>
    <mergeCell ref="H103:H104"/>
    <mergeCell ref="I103:I104"/>
    <mergeCell ref="M103:M104"/>
    <mergeCell ref="N103:N104"/>
    <mergeCell ref="O103:O104"/>
    <mergeCell ref="A83:A84"/>
    <mergeCell ref="B83:B84"/>
    <mergeCell ref="C83:C84"/>
    <mergeCell ref="G83:G84"/>
    <mergeCell ref="H83:H84"/>
    <mergeCell ref="B1:B2"/>
    <mergeCell ref="G1:G2"/>
    <mergeCell ref="H1:H2"/>
    <mergeCell ref="M1:M2"/>
    <mergeCell ref="B57:B58"/>
    <mergeCell ref="C57:C58"/>
    <mergeCell ref="H21:H22"/>
    <mergeCell ref="I21:I22"/>
    <mergeCell ref="M21:M22"/>
    <mergeCell ref="N21:N22"/>
    <mergeCell ref="O21:O22"/>
    <mergeCell ref="N1:N2"/>
    <mergeCell ref="A1:A2"/>
    <mergeCell ref="S40:S41"/>
    <mergeCell ref="A40:A41"/>
    <mergeCell ref="B40:B41"/>
    <mergeCell ref="C40:C41"/>
    <mergeCell ref="G40:G41"/>
    <mergeCell ref="H40:H41"/>
    <mergeCell ref="S21:S22"/>
    <mergeCell ref="I1:I2"/>
    <mergeCell ref="C1:C2"/>
    <mergeCell ref="C21:C22"/>
    <mergeCell ref="O1:O2"/>
    <mergeCell ref="A21:A22"/>
    <mergeCell ref="B21:B22"/>
    <mergeCell ref="G21:G22"/>
    <mergeCell ref="T40:T41"/>
    <mergeCell ref="U40:U41"/>
    <mergeCell ref="A57:A58"/>
    <mergeCell ref="G57:G58"/>
    <mergeCell ref="H57:H58"/>
    <mergeCell ref="I57:I58"/>
    <mergeCell ref="M57:M58"/>
    <mergeCell ref="N57:N58"/>
    <mergeCell ref="O57:O58"/>
    <mergeCell ref="S57:S58"/>
    <mergeCell ref="T57:T58"/>
    <mergeCell ref="U57:U58"/>
    <mergeCell ref="I40:I41"/>
    <mergeCell ref="M40:M41"/>
    <mergeCell ref="N40:N41"/>
    <mergeCell ref="O40:O41"/>
    <mergeCell ref="T21:T22"/>
    <mergeCell ref="U21:U22"/>
    <mergeCell ref="S1:S2"/>
    <mergeCell ref="T1:T2"/>
    <mergeCell ref="U1:U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08ADA-2D46-4C97-9D44-60B723302B11}">
  <sheetPr>
    <tabColor theme="6" tint="-0.249977111117893"/>
  </sheetPr>
  <dimension ref="A1:W146"/>
  <sheetViews>
    <sheetView topLeftCell="A66" workbookViewId="0">
      <selection activeCell="B77" sqref="B77"/>
    </sheetView>
  </sheetViews>
  <sheetFormatPr defaultRowHeight="14" x14ac:dyDescent="0.3"/>
  <cols>
    <col min="1" max="1" width="12" bestFit="1" customWidth="1"/>
    <col min="2" max="4" width="25.25" bestFit="1" customWidth="1"/>
    <col min="5" max="5" width="26.08203125" bestFit="1" customWidth="1"/>
    <col min="7" max="7" width="12" bestFit="1" customWidth="1"/>
    <col min="8" max="10" width="25.25" bestFit="1" customWidth="1"/>
    <col min="11" max="11" width="26.08203125" bestFit="1" customWidth="1"/>
    <col min="13" max="13" width="12" bestFit="1" customWidth="1"/>
    <col min="14" max="16" width="25.25" bestFit="1" customWidth="1"/>
    <col min="17" max="17" width="26.08203125" bestFit="1" customWidth="1"/>
    <col min="19" max="19" width="12" bestFit="1" customWidth="1"/>
    <col min="20" max="22" width="25.25" bestFit="1" customWidth="1"/>
    <col min="23" max="23" width="26.08203125" bestFit="1" customWidth="1"/>
  </cols>
  <sheetData>
    <row r="1" spans="1:23" x14ac:dyDescent="0.3">
      <c r="A1" s="21" t="s">
        <v>7</v>
      </c>
      <c r="B1" s="23" t="s">
        <v>9</v>
      </c>
      <c r="C1" s="23" t="s">
        <v>17</v>
      </c>
      <c r="G1" s="21" t="s">
        <v>7</v>
      </c>
      <c r="H1" s="23" t="s">
        <v>10</v>
      </c>
      <c r="I1" s="23" t="s">
        <v>17</v>
      </c>
      <c r="M1" s="21" t="s">
        <v>7</v>
      </c>
      <c r="N1" s="23" t="s">
        <v>11</v>
      </c>
      <c r="O1" s="23" t="s">
        <v>17</v>
      </c>
      <c r="S1" s="21" t="s">
        <v>7</v>
      </c>
      <c r="T1" s="23" t="s">
        <v>12</v>
      </c>
      <c r="U1" s="23" t="s">
        <v>17</v>
      </c>
    </row>
    <row r="2" spans="1:23" x14ac:dyDescent="0.3">
      <c r="A2" s="22"/>
      <c r="B2" s="23"/>
      <c r="C2" s="23"/>
      <c r="G2" s="22"/>
      <c r="H2" s="23"/>
      <c r="I2" s="23"/>
      <c r="M2" s="22"/>
      <c r="N2" s="23"/>
      <c r="O2" s="23"/>
      <c r="S2" s="22"/>
      <c r="T2" s="23"/>
      <c r="U2" s="23"/>
    </row>
    <row r="3" spans="1:23" ht="14.5" thickBot="1" x14ac:dyDescent="0.35">
      <c r="B3" t="s">
        <v>1</v>
      </c>
      <c r="C3" t="s">
        <v>2</v>
      </c>
      <c r="D3" t="s">
        <v>3</v>
      </c>
      <c r="H3" s="2" t="s">
        <v>1</v>
      </c>
      <c r="I3" s="2" t="s">
        <v>2</v>
      </c>
      <c r="J3" s="2" t="s">
        <v>3</v>
      </c>
      <c r="N3" s="2" t="s">
        <v>1</v>
      </c>
      <c r="O3" s="2" t="s">
        <v>2</v>
      </c>
      <c r="P3" s="2" t="s">
        <v>3</v>
      </c>
      <c r="T3" t="s">
        <v>1</v>
      </c>
      <c r="U3" t="s">
        <v>2</v>
      </c>
      <c r="V3" t="s">
        <v>3</v>
      </c>
    </row>
    <row r="4" spans="1:23" x14ac:dyDescent="0.3">
      <c r="A4" s="1" t="s">
        <v>16</v>
      </c>
      <c r="B4" s="7">
        <v>5.5652270499999998</v>
      </c>
      <c r="C4" s="7">
        <v>5.5638423499999998</v>
      </c>
      <c r="D4" s="7">
        <v>5.5634003999999999</v>
      </c>
      <c r="E4" s="1" t="s">
        <v>4</v>
      </c>
      <c r="G4" s="1" t="s">
        <v>16</v>
      </c>
      <c r="H4" s="5">
        <v>5.5651665499999998</v>
      </c>
      <c r="I4" s="5">
        <v>5.5637908500000002</v>
      </c>
      <c r="J4" s="5">
        <v>5.5633518999999998</v>
      </c>
      <c r="K4" s="1" t="s">
        <v>4</v>
      </c>
      <c r="M4" s="1" t="s">
        <v>16</v>
      </c>
      <c r="N4" s="5">
        <v>5.5651395499999996</v>
      </c>
      <c r="O4" s="5">
        <v>5.5637658500000002</v>
      </c>
      <c r="P4" s="5">
        <v>5.5633283999999996</v>
      </c>
      <c r="Q4" s="1" t="s">
        <v>4</v>
      </c>
      <c r="S4" s="1" t="s">
        <v>16</v>
      </c>
      <c r="T4" s="7">
        <v>5.5651300499999996</v>
      </c>
      <c r="U4" s="7">
        <v>5.5637558499999997</v>
      </c>
      <c r="V4" s="7">
        <v>5.5633179000000004</v>
      </c>
      <c r="W4" s="1" t="s">
        <v>4</v>
      </c>
    </row>
    <row r="5" spans="1:23" x14ac:dyDescent="0.3">
      <c r="A5" s="1" t="s">
        <v>14</v>
      </c>
      <c r="B5" s="5"/>
      <c r="C5" s="5"/>
      <c r="D5" s="5"/>
      <c r="E5" s="1" t="s">
        <v>4</v>
      </c>
      <c r="G5" s="1" t="s">
        <v>14</v>
      </c>
      <c r="H5" s="5">
        <v>5.5633338999999999</v>
      </c>
      <c r="I5" s="5">
        <v>5.5633052000000003</v>
      </c>
      <c r="J5" s="5">
        <v>5.5633002999999999</v>
      </c>
      <c r="K5" s="1" t="s">
        <v>4</v>
      </c>
      <c r="M5" s="1" t="s">
        <v>14</v>
      </c>
      <c r="N5" s="5">
        <v>5.5633128999999997</v>
      </c>
      <c r="O5" s="5">
        <v>5.5632846999999996</v>
      </c>
      <c r="P5" s="5">
        <v>5.5632798000000001</v>
      </c>
      <c r="Q5" s="1" t="s">
        <v>4</v>
      </c>
      <c r="S5" s="1" t="s">
        <v>14</v>
      </c>
      <c r="T5" s="5">
        <v>5.5633043999999998</v>
      </c>
      <c r="U5" s="5">
        <v>5.5632761999999998</v>
      </c>
      <c r="V5" s="5">
        <v>5.5632713000000003</v>
      </c>
      <c r="W5" s="1" t="s">
        <v>4</v>
      </c>
    </row>
    <row r="6" spans="1:23" x14ac:dyDescent="0.3">
      <c r="A6" s="1" t="s">
        <v>20</v>
      </c>
      <c r="B6" s="5"/>
      <c r="C6" s="5"/>
      <c r="D6" s="5"/>
      <c r="E6" s="1"/>
      <c r="G6" s="1" t="s">
        <v>20</v>
      </c>
      <c r="H6" s="5">
        <v>5.5634290499999999</v>
      </c>
      <c r="I6" s="5">
        <v>5.5634290499999999</v>
      </c>
      <c r="J6" s="5">
        <v>5.5634290499999999</v>
      </c>
      <c r="K6" s="1" t="s">
        <v>4</v>
      </c>
      <c r="M6" s="1" t="s">
        <v>20</v>
      </c>
      <c r="N6" s="5">
        <v>5.5633955500000001</v>
      </c>
      <c r="O6" s="5">
        <v>5.5633955500000001</v>
      </c>
      <c r="P6" s="5">
        <v>5.5633955500000001</v>
      </c>
      <c r="Q6" s="1" t="s">
        <v>4</v>
      </c>
      <c r="S6" s="1" t="s">
        <v>20</v>
      </c>
      <c r="T6" s="5">
        <v>5.5633900499999998</v>
      </c>
      <c r="U6" s="5">
        <v>5.5633900499999998</v>
      </c>
      <c r="V6" s="5">
        <v>5.5633900499999998</v>
      </c>
      <c r="W6" s="1" t="s">
        <v>4</v>
      </c>
    </row>
    <row r="7" spans="1:23" ht="14.5" thickBot="1" x14ac:dyDescent="0.35">
      <c r="A7" s="4" t="s">
        <v>15</v>
      </c>
      <c r="B7" s="6"/>
      <c r="C7" s="6"/>
      <c r="D7" s="6"/>
      <c r="E7" s="2" t="s">
        <v>4</v>
      </c>
      <c r="G7" s="4" t="s">
        <v>15</v>
      </c>
      <c r="H7" s="6">
        <v>5.5633002999999999</v>
      </c>
      <c r="I7" s="6">
        <v>5.5633002999999999</v>
      </c>
      <c r="J7" s="6">
        <v>5.5633002999999999</v>
      </c>
      <c r="K7" s="2" t="s">
        <v>4</v>
      </c>
      <c r="M7" s="4" t="s">
        <v>15</v>
      </c>
      <c r="N7" s="6">
        <v>5.5632792999999996</v>
      </c>
      <c r="O7" s="6">
        <v>5.5632792999999996</v>
      </c>
      <c r="P7" s="6">
        <v>5.5632792999999996</v>
      </c>
      <c r="Q7" s="2" t="s">
        <v>4</v>
      </c>
      <c r="S7" s="4" t="s">
        <v>15</v>
      </c>
      <c r="T7" s="6">
        <v>5.5632707999999997</v>
      </c>
      <c r="U7" s="6">
        <v>5.5632707999999997</v>
      </c>
      <c r="V7" s="6">
        <v>5.5632707999999997</v>
      </c>
      <c r="W7" s="2" t="s">
        <v>4</v>
      </c>
    </row>
    <row r="8" spans="1:23" x14ac:dyDescent="0.3">
      <c r="A8" s="1" t="s">
        <v>16</v>
      </c>
      <c r="B8" s="7">
        <v>5.5651731499999997</v>
      </c>
      <c r="C8" s="7">
        <v>5.56378795</v>
      </c>
      <c r="D8" s="7">
        <v>5.5633435000000002</v>
      </c>
      <c r="E8" s="1" t="s">
        <v>5</v>
      </c>
      <c r="G8" s="1" t="s">
        <v>16</v>
      </c>
      <c r="H8" s="5">
        <v>5.5651206499999999</v>
      </c>
      <c r="I8" s="5">
        <v>5.5637449500000002</v>
      </c>
      <c r="J8" s="5">
        <v>5.5633074999999996</v>
      </c>
      <c r="K8" s="1" t="s">
        <v>5</v>
      </c>
      <c r="M8" s="1" t="s">
        <v>16</v>
      </c>
      <c r="N8" s="7">
        <v>5.5651126499999997</v>
      </c>
      <c r="O8" s="7">
        <v>5.5637384499999998</v>
      </c>
      <c r="P8" s="7">
        <v>5.5633005000000004</v>
      </c>
      <c r="Q8" s="1" t="s">
        <v>5</v>
      </c>
      <c r="S8" s="1" t="s">
        <v>16</v>
      </c>
      <c r="T8" s="7">
        <v>5.5651051499999999</v>
      </c>
      <c r="U8" s="7">
        <v>5.5637309500000001</v>
      </c>
      <c r="V8" s="7">
        <v>5.5632935000000003</v>
      </c>
      <c r="W8" s="1" t="s">
        <v>5</v>
      </c>
    </row>
    <row r="9" spans="1:23" x14ac:dyDescent="0.3">
      <c r="A9" s="1" t="s">
        <v>14</v>
      </c>
      <c r="B9" s="5"/>
      <c r="C9" s="5"/>
      <c r="D9" s="5"/>
      <c r="E9" s="1" t="s">
        <v>5</v>
      </c>
      <c r="G9" s="1" t="s">
        <v>14</v>
      </c>
      <c r="H9" s="5">
        <v>5.5632910000000004</v>
      </c>
      <c r="I9" s="5">
        <v>5.5632628000000004</v>
      </c>
      <c r="J9" s="5">
        <v>5.5632579</v>
      </c>
      <c r="K9" s="1" t="s">
        <v>5</v>
      </c>
      <c r="M9" s="1" t="s">
        <v>14</v>
      </c>
      <c r="N9" s="5">
        <v>5.5632859999999997</v>
      </c>
      <c r="O9" s="5">
        <v>5.5632577999999997</v>
      </c>
      <c r="P9" s="5">
        <v>5.5632529000000002</v>
      </c>
      <c r="Q9" s="1" t="s">
        <v>5</v>
      </c>
      <c r="S9" s="1" t="s">
        <v>14</v>
      </c>
      <c r="T9" s="5">
        <v>5.5632795000000002</v>
      </c>
      <c r="U9" s="5">
        <v>5.5632513000000001</v>
      </c>
      <c r="V9" s="5">
        <v>5.5632463999999997</v>
      </c>
      <c r="W9" s="1" t="s">
        <v>5</v>
      </c>
    </row>
    <row r="10" spans="1:23" x14ac:dyDescent="0.3">
      <c r="A10" s="1" t="s">
        <v>20</v>
      </c>
      <c r="B10" s="5"/>
      <c r="C10" s="5"/>
      <c r="D10" s="5"/>
      <c r="E10" s="1"/>
      <c r="G10" s="1" t="s">
        <v>20</v>
      </c>
      <c r="H10" s="5">
        <v>5.5633531500000002</v>
      </c>
      <c r="I10" s="5">
        <v>5.5633531500000002</v>
      </c>
      <c r="J10" s="5">
        <v>5.5633531500000002</v>
      </c>
      <c r="K10" s="1" t="s">
        <v>5</v>
      </c>
      <c r="M10" s="1" t="s">
        <v>20</v>
      </c>
      <c r="N10" s="5">
        <v>5.5633251499999998</v>
      </c>
      <c r="O10" s="5">
        <v>5.5633251499999998</v>
      </c>
      <c r="P10" s="5">
        <v>5.5633251499999998</v>
      </c>
      <c r="Q10" s="1" t="s">
        <v>5</v>
      </c>
      <c r="S10" s="1" t="s">
        <v>20</v>
      </c>
      <c r="T10" s="5">
        <v>5.5633196500000004</v>
      </c>
      <c r="U10" s="5">
        <v>5.5633196500000004</v>
      </c>
      <c r="V10" s="5">
        <v>5.5633196500000004</v>
      </c>
      <c r="W10" s="1" t="s">
        <v>5</v>
      </c>
    </row>
    <row r="11" spans="1:23" ht="14.5" thickBot="1" x14ac:dyDescent="0.35">
      <c r="A11" s="4" t="s">
        <v>15</v>
      </c>
      <c r="B11" s="6"/>
      <c r="C11" s="6"/>
      <c r="D11" s="6"/>
      <c r="E11" s="2" t="s">
        <v>5</v>
      </c>
      <c r="G11" s="4" t="s">
        <v>15</v>
      </c>
      <c r="H11" s="6">
        <v>5.5632579</v>
      </c>
      <c r="I11" s="6">
        <v>5.5632579</v>
      </c>
      <c r="J11" s="6">
        <v>5.5632579</v>
      </c>
      <c r="K11" s="2" t="s">
        <v>5</v>
      </c>
      <c r="M11" s="4" t="s">
        <v>15</v>
      </c>
      <c r="N11" s="6">
        <v>5.5632529000000002</v>
      </c>
      <c r="O11" s="6">
        <v>5.5632529000000002</v>
      </c>
      <c r="P11" s="6">
        <v>5.5632529000000002</v>
      </c>
      <c r="Q11" s="2" t="s">
        <v>5</v>
      </c>
      <c r="S11" s="4" t="s">
        <v>15</v>
      </c>
      <c r="T11" s="6">
        <v>5.5632463999999997</v>
      </c>
      <c r="U11" s="6">
        <v>5.5632463999999997</v>
      </c>
      <c r="V11" s="6">
        <v>5.5632463999999997</v>
      </c>
      <c r="W11" s="2" t="s">
        <v>5</v>
      </c>
    </row>
    <row r="12" spans="1:23" x14ac:dyDescent="0.3">
      <c r="A12" s="1" t="s">
        <v>16</v>
      </c>
      <c r="B12" s="8">
        <v>5.5651486500000003</v>
      </c>
      <c r="C12" s="8">
        <v>5.56376545</v>
      </c>
      <c r="D12" s="8">
        <v>5.5633224999999999</v>
      </c>
      <c r="E12" t="s">
        <v>6</v>
      </c>
      <c r="G12" s="1" t="s">
        <v>16</v>
      </c>
      <c r="H12" s="8">
        <v>5.5651101499999998</v>
      </c>
      <c r="I12" s="8">
        <v>5.5637349499999997</v>
      </c>
      <c r="J12" s="8">
        <v>5.5632979999999996</v>
      </c>
      <c r="K12" t="s">
        <v>6</v>
      </c>
      <c r="M12" s="1" t="s">
        <v>16</v>
      </c>
      <c r="N12" s="8">
        <v>5.5651016499999999</v>
      </c>
      <c r="O12" s="8">
        <v>5.56372745</v>
      </c>
      <c r="P12" s="8">
        <v>5.5632904999999999</v>
      </c>
      <c r="Q12" t="s">
        <v>6</v>
      </c>
      <c r="S12" s="1" t="s">
        <v>16</v>
      </c>
      <c r="T12" s="8">
        <v>5.5650961499999996</v>
      </c>
      <c r="U12" s="8">
        <v>5.5637219499999997</v>
      </c>
      <c r="V12" s="8">
        <v>5.5632849999999996</v>
      </c>
      <c r="W12" t="s">
        <v>6</v>
      </c>
    </row>
    <row r="13" spans="1:23" x14ac:dyDescent="0.3">
      <c r="A13" s="1" t="s">
        <v>14</v>
      </c>
      <c r="B13" s="8"/>
      <c r="C13" s="8"/>
      <c r="D13" s="8"/>
      <c r="E13" t="s">
        <v>6</v>
      </c>
      <c r="G13" s="1" t="s">
        <v>14</v>
      </c>
      <c r="H13" s="8">
        <v>5.5632815000000004</v>
      </c>
      <c r="I13" s="8">
        <v>5.5632533000000004</v>
      </c>
      <c r="J13" s="8">
        <v>5.5632484</v>
      </c>
      <c r="K13" t="s">
        <v>6</v>
      </c>
      <c r="M13" s="1" t="s">
        <v>14</v>
      </c>
      <c r="N13" s="8">
        <v>5.5632764999999997</v>
      </c>
      <c r="O13" s="8">
        <v>5.5632482999999997</v>
      </c>
      <c r="P13" s="8">
        <v>5.5632434000000002</v>
      </c>
      <c r="Q13" t="s">
        <v>6</v>
      </c>
      <c r="S13" s="1" t="s">
        <v>14</v>
      </c>
      <c r="T13" s="8">
        <v>5.5632710000000003</v>
      </c>
      <c r="U13" s="8">
        <v>5.5632428000000003</v>
      </c>
      <c r="V13" s="8">
        <v>5.5632378999999998</v>
      </c>
      <c r="W13" t="s">
        <v>6</v>
      </c>
    </row>
    <row r="14" spans="1:23" x14ac:dyDescent="0.3">
      <c r="A14" s="1" t="s">
        <v>20</v>
      </c>
      <c r="B14" s="8"/>
      <c r="C14" s="8"/>
      <c r="D14" s="8"/>
      <c r="G14" s="1" t="s">
        <v>20</v>
      </c>
      <c r="H14" s="8">
        <v>5.5633309000000004</v>
      </c>
      <c r="I14" s="8">
        <v>5.5633309000000004</v>
      </c>
      <c r="J14" s="8">
        <v>5.5633309000000004</v>
      </c>
      <c r="K14" t="s">
        <v>6</v>
      </c>
      <c r="M14" s="1" t="s">
        <v>20</v>
      </c>
      <c r="N14" s="8">
        <v>5.5633039000000002</v>
      </c>
      <c r="O14" s="8">
        <v>5.5633039000000002</v>
      </c>
      <c r="P14" s="8">
        <v>5.5633039000000002</v>
      </c>
      <c r="Q14" t="s">
        <v>6</v>
      </c>
      <c r="S14" s="1" t="s">
        <v>20</v>
      </c>
      <c r="T14" s="8">
        <v>5.5633008999999998</v>
      </c>
      <c r="U14" s="8">
        <v>5.5633008999999998</v>
      </c>
      <c r="V14" s="8">
        <v>5.5633008999999998</v>
      </c>
      <c r="W14" t="s">
        <v>6</v>
      </c>
    </row>
    <row r="15" spans="1:23" ht="14.5" thickBot="1" x14ac:dyDescent="0.35">
      <c r="A15" s="4" t="s">
        <v>15</v>
      </c>
      <c r="B15" s="6"/>
      <c r="C15" s="6"/>
      <c r="D15" s="6"/>
      <c r="E15" s="2" t="s">
        <v>6</v>
      </c>
      <c r="G15" s="4" t="s">
        <v>15</v>
      </c>
      <c r="H15" s="6">
        <v>5.5632484</v>
      </c>
      <c r="I15" s="6">
        <v>5.5632484</v>
      </c>
      <c r="J15" s="6">
        <v>5.5632484</v>
      </c>
      <c r="K15" s="2" t="s">
        <v>6</v>
      </c>
      <c r="M15" s="4" t="s">
        <v>15</v>
      </c>
      <c r="N15" s="6">
        <v>5.5632434000000002</v>
      </c>
      <c r="O15" s="6">
        <v>5.5632434000000002</v>
      </c>
      <c r="P15" s="6">
        <v>5.5632434000000002</v>
      </c>
      <c r="Q15" s="2" t="s">
        <v>6</v>
      </c>
      <c r="S15" s="4" t="s">
        <v>15</v>
      </c>
      <c r="T15" s="6">
        <v>5.5632378999999998</v>
      </c>
      <c r="U15" s="6">
        <v>5.5632378999999998</v>
      </c>
      <c r="V15" s="6">
        <v>5.5632378999999998</v>
      </c>
      <c r="W15" s="2" t="s">
        <v>6</v>
      </c>
    </row>
    <row r="18" spans="1:23" x14ac:dyDescent="0.3">
      <c r="A18" s="21" t="s">
        <v>8</v>
      </c>
      <c r="B18" s="23" t="s">
        <v>9</v>
      </c>
      <c r="C18" s="23" t="s">
        <v>17</v>
      </c>
      <c r="G18" s="21" t="s">
        <v>8</v>
      </c>
      <c r="H18" s="23" t="s">
        <v>10</v>
      </c>
      <c r="I18" s="23" t="s">
        <v>17</v>
      </c>
      <c r="M18" s="21" t="s">
        <v>8</v>
      </c>
      <c r="N18" s="23" t="s">
        <v>11</v>
      </c>
      <c r="O18" s="23" t="s">
        <v>17</v>
      </c>
      <c r="S18" s="21" t="s">
        <v>8</v>
      </c>
      <c r="T18" s="23" t="s">
        <v>12</v>
      </c>
      <c r="U18" s="23" t="s">
        <v>17</v>
      </c>
    </row>
    <row r="19" spans="1:23" x14ac:dyDescent="0.3">
      <c r="A19" s="22"/>
      <c r="B19" s="23"/>
      <c r="C19" s="23"/>
      <c r="G19" s="22"/>
      <c r="H19" s="23"/>
      <c r="I19" s="23"/>
      <c r="M19" s="22"/>
      <c r="N19" s="23"/>
      <c r="O19" s="23"/>
      <c r="S19" s="22"/>
      <c r="T19" s="23"/>
      <c r="U19" s="23"/>
    </row>
    <row r="20" spans="1:23" ht="14.5" thickBot="1" x14ac:dyDescent="0.35">
      <c r="B20" t="s">
        <v>1</v>
      </c>
      <c r="C20" t="s">
        <v>2</v>
      </c>
      <c r="D20" t="s">
        <v>3</v>
      </c>
      <c r="H20" t="s">
        <v>1</v>
      </c>
      <c r="I20" t="s">
        <v>2</v>
      </c>
      <c r="J20" t="s">
        <v>3</v>
      </c>
      <c r="N20" t="s">
        <v>1</v>
      </c>
      <c r="O20" t="s">
        <v>2</v>
      </c>
      <c r="P20" t="s">
        <v>3</v>
      </c>
      <c r="T20" t="s">
        <v>1</v>
      </c>
      <c r="U20" t="s">
        <v>2</v>
      </c>
      <c r="V20" t="s">
        <v>3</v>
      </c>
    </row>
    <row r="21" spans="1:23" x14ac:dyDescent="0.3">
      <c r="A21" s="1" t="s">
        <v>16</v>
      </c>
      <c r="B21" s="3"/>
      <c r="C21" s="3"/>
      <c r="D21" s="3"/>
      <c r="E21" s="1" t="s">
        <v>4</v>
      </c>
      <c r="G21" s="1" t="s">
        <v>16</v>
      </c>
      <c r="H21" s="7">
        <v>3.2848443500000002</v>
      </c>
      <c r="I21" s="7">
        <v>3.2838414500000002</v>
      </c>
      <c r="J21" s="7">
        <v>3.2833681499999998</v>
      </c>
      <c r="K21" s="1" t="s">
        <v>4</v>
      </c>
      <c r="M21" s="1" t="s">
        <v>16</v>
      </c>
      <c r="N21" s="7">
        <v>3.2847808500000002</v>
      </c>
      <c r="O21" s="7">
        <v>3.2837739500000001</v>
      </c>
      <c r="P21" s="7">
        <v>3.2833021499999999</v>
      </c>
      <c r="Q21" s="1" t="s">
        <v>4</v>
      </c>
      <c r="S21" s="1" t="s">
        <v>16</v>
      </c>
      <c r="T21" s="7">
        <v>3.2847583500000002</v>
      </c>
      <c r="U21" s="7">
        <v>3.2837549500000001</v>
      </c>
      <c r="V21" s="7">
        <v>3.28328365</v>
      </c>
      <c r="W21" s="1" t="s">
        <v>4</v>
      </c>
    </row>
    <row r="22" spans="1:23" x14ac:dyDescent="0.3">
      <c r="A22" s="1" t="s">
        <v>14</v>
      </c>
      <c r="B22" s="1"/>
      <c r="C22" s="1"/>
      <c r="D22" s="1"/>
      <c r="E22" s="1" t="s">
        <v>4</v>
      </c>
      <c r="G22" s="1" t="s">
        <v>14</v>
      </c>
      <c r="H22" s="5">
        <v>3.2833040499999999</v>
      </c>
      <c r="I22" s="5">
        <v>3.2832772000000001</v>
      </c>
      <c r="J22" s="5">
        <v>3.2832729999999999</v>
      </c>
      <c r="K22" s="1" t="s">
        <v>4</v>
      </c>
      <c r="M22" s="1" t="s">
        <v>14</v>
      </c>
      <c r="N22" s="5">
        <v>3.28324755</v>
      </c>
      <c r="O22" s="5">
        <v>3.2832211999999998</v>
      </c>
      <c r="P22" s="5">
        <v>3.2832165</v>
      </c>
      <c r="Q22" s="1" t="s">
        <v>4</v>
      </c>
      <c r="S22" s="1" t="s">
        <v>14</v>
      </c>
      <c r="T22" s="5">
        <v>3.28323155</v>
      </c>
      <c r="U22" s="5">
        <v>3.2832047000000002</v>
      </c>
      <c r="V22" s="5">
        <v>3.2831999999999999</v>
      </c>
      <c r="W22" s="1" t="s">
        <v>4</v>
      </c>
    </row>
    <row r="23" spans="1:23" x14ac:dyDescent="0.3">
      <c r="A23" s="1" t="s">
        <v>20</v>
      </c>
      <c r="B23" s="1"/>
      <c r="C23" s="1"/>
      <c r="D23" s="1"/>
      <c r="E23" s="1"/>
      <c r="G23" s="1" t="s">
        <v>20</v>
      </c>
      <c r="H23" s="5">
        <v>3.2834975000000002</v>
      </c>
      <c r="I23" s="5">
        <v>3.28349695</v>
      </c>
      <c r="J23" s="5">
        <v>3.28349695</v>
      </c>
      <c r="K23" s="1" t="s">
        <v>4</v>
      </c>
      <c r="M23" s="1" t="s">
        <v>20</v>
      </c>
      <c r="N23" s="5">
        <v>3.2834240000000001</v>
      </c>
      <c r="O23" s="5">
        <v>3.2834234499999999</v>
      </c>
      <c r="P23" s="5">
        <v>3.2834234499999999</v>
      </c>
      <c r="Q23" s="1" t="s">
        <v>4</v>
      </c>
      <c r="S23" s="1" t="s">
        <v>20</v>
      </c>
      <c r="T23" s="5">
        <v>3.2834099999999999</v>
      </c>
      <c r="U23" s="5">
        <v>3.2834094500000002</v>
      </c>
      <c r="V23" s="5">
        <v>3.2834094500000002</v>
      </c>
      <c r="W23" s="1" t="s">
        <v>4</v>
      </c>
    </row>
    <row r="24" spans="1:23" ht="14.5" thickBot="1" x14ac:dyDescent="0.35">
      <c r="A24" s="4" t="s">
        <v>15</v>
      </c>
      <c r="B24" s="2"/>
      <c r="C24" s="2"/>
      <c r="D24" s="2"/>
      <c r="E24" s="2" t="s">
        <v>4</v>
      </c>
      <c r="G24" s="4" t="s">
        <v>15</v>
      </c>
      <c r="H24" s="6">
        <v>3.28327305</v>
      </c>
      <c r="I24" s="6">
        <v>3.2832724999999998</v>
      </c>
      <c r="J24" s="6">
        <v>3.2832724999999998</v>
      </c>
      <c r="K24" s="2" t="s">
        <v>4</v>
      </c>
      <c r="M24" s="4" t="s">
        <v>15</v>
      </c>
      <c r="N24" s="6">
        <v>3.2832170500000002</v>
      </c>
      <c r="O24" s="6">
        <v>3.2832165</v>
      </c>
      <c r="P24" s="6">
        <v>3.2832165</v>
      </c>
      <c r="Q24" s="2" t="s">
        <v>4</v>
      </c>
      <c r="S24" s="4" t="s">
        <v>15</v>
      </c>
      <c r="T24" s="6">
        <v>3.2832005500000001</v>
      </c>
      <c r="U24" s="6">
        <v>3.2831999999999999</v>
      </c>
      <c r="V24" s="6">
        <v>3.2831999999999999</v>
      </c>
      <c r="W24" s="2" t="s">
        <v>4</v>
      </c>
    </row>
    <row r="25" spans="1:23" x14ac:dyDescent="0.3">
      <c r="A25" s="1" t="s">
        <v>16</v>
      </c>
      <c r="B25" s="3"/>
      <c r="C25" s="3"/>
      <c r="D25" s="3"/>
      <c r="E25" s="1" t="s">
        <v>5</v>
      </c>
      <c r="G25" s="1" t="s">
        <v>16</v>
      </c>
      <c r="H25" s="7">
        <v>3.2847903999999999</v>
      </c>
      <c r="I25" s="7">
        <v>3.2837865000000002</v>
      </c>
      <c r="J25" s="7">
        <v>3.2833131999999998</v>
      </c>
      <c r="K25" s="1" t="s">
        <v>5</v>
      </c>
      <c r="M25" s="1" t="s">
        <v>16</v>
      </c>
      <c r="N25" s="7">
        <v>3.2847458999999999</v>
      </c>
      <c r="O25" s="7">
        <v>3.2837415000000001</v>
      </c>
      <c r="P25" s="7">
        <v>3.2832712000000002</v>
      </c>
      <c r="Q25" s="1" t="s">
        <v>5</v>
      </c>
      <c r="S25" s="1" t="s">
        <v>16</v>
      </c>
      <c r="T25" s="7">
        <v>3.2847309</v>
      </c>
      <c r="U25" s="7">
        <v>3.2837274999999999</v>
      </c>
      <c r="V25" s="7">
        <v>3.2832557000000002</v>
      </c>
      <c r="W25" s="1" t="s">
        <v>5</v>
      </c>
    </row>
    <row r="26" spans="1:23" x14ac:dyDescent="0.3">
      <c r="A26" s="1" t="s">
        <v>14</v>
      </c>
      <c r="B26" s="1"/>
      <c r="C26" s="1"/>
      <c r="D26" s="1"/>
      <c r="E26" s="1" t="s">
        <v>5</v>
      </c>
      <c r="G26" s="1" t="s">
        <v>14</v>
      </c>
      <c r="H26" s="5">
        <v>3.2832520999999999</v>
      </c>
      <c r="I26" s="5">
        <v>3.2832252500000001</v>
      </c>
      <c r="J26" s="5">
        <v>3.2832205499999998</v>
      </c>
      <c r="K26" s="1" t="s">
        <v>5</v>
      </c>
      <c r="M26" s="1" t="s">
        <v>14</v>
      </c>
      <c r="N26" s="5">
        <v>3.2832146</v>
      </c>
      <c r="O26" s="5">
        <v>3.2831887499999999</v>
      </c>
      <c r="P26" s="5">
        <v>3.28318405</v>
      </c>
      <c r="Q26" s="1" t="s">
        <v>5</v>
      </c>
      <c r="S26" s="1" t="s">
        <v>14</v>
      </c>
      <c r="T26" s="5">
        <v>3.2832031000000002</v>
      </c>
      <c r="U26" s="5">
        <v>3.2831757499999998</v>
      </c>
      <c r="V26" s="5">
        <v>3.28317105</v>
      </c>
      <c r="W26" s="1" t="s">
        <v>5</v>
      </c>
    </row>
    <row r="27" spans="1:23" x14ac:dyDescent="0.3">
      <c r="A27" s="1" t="s">
        <v>20</v>
      </c>
      <c r="B27" s="1"/>
      <c r="C27" s="1"/>
      <c r="D27" s="1"/>
      <c r="E27" s="1"/>
      <c r="G27" s="1" t="s">
        <v>20</v>
      </c>
      <c r="H27" s="5">
        <v>3.2833391500000002</v>
      </c>
      <c r="I27" s="5">
        <v>3.2833386</v>
      </c>
      <c r="J27" s="5">
        <v>3.2833386</v>
      </c>
      <c r="K27" s="1" t="s">
        <v>5</v>
      </c>
      <c r="M27" s="1" t="s">
        <v>20</v>
      </c>
      <c r="N27" s="5">
        <v>3.2832751500000001</v>
      </c>
      <c r="O27" s="5">
        <v>3.2832745999999999</v>
      </c>
      <c r="P27" s="5">
        <v>3.2832745999999999</v>
      </c>
      <c r="Q27" s="1" t="s">
        <v>5</v>
      </c>
      <c r="S27" s="1" t="s">
        <v>20</v>
      </c>
      <c r="T27" s="5">
        <v>3.2832596500000002</v>
      </c>
      <c r="U27" s="5">
        <v>3.2832591</v>
      </c>
      <c r="V27" s="5">
        <v>3.2832591</v>
      </c>
      <c r="W27" s="1" t="s">
        <v>5</v>
      </c>
    </row>
    <row r="28" spans="1:23" ht="14.5" thickBot="1" x14ac:dyDescent="0.35">
      <c r="A28" s="4" t="s">
        <v>15</v>
      </c>
      <c r="B28" s="2"/>
      <c r="C28" s="2"/>
      <c r="D28" s="2"/>
      <c r="E28" s="2" t="s">
        <v>5</v>
      </c>
      <c r="G28" s="4" t="s">
        <v>15</v>
      </c>
      <c r="H28" s="6">
        <v>3.2832211</v>
      </c>
      <c r="I28" s="6">
        <v>3.2832205499999998</v>
      </c>
      <c r="J28" s="6">
        <v>3.2832205499999998</v>
      </c>
      <c r="K28" s="2" t="s">
        <v>5</v>
      </c>
      <c r="M28" s="4" t="s">
        <v>15</v>
      </c>
      <c r="N28" s="6">
        <v>3.2831845999999998</v>
      </c>
      <c r="O28" s="6">
        <v>3.28318405</v>
      </c>
      <c r="P28" s="6">
        <v>3.28318405</v>
      </c>
      <c r="Q28" s="2" t="s">
        <v>5</v>
      </c>
      <c r="S28" s="4" t="s">
        <v>15</v>
      </c>
      <c r="T28" s="6">
        <v>3.2831716000000002</v>
      </c>
      <c r="U28" s="6">
        <v>3.28317105</v>
      </c>
      <c r="V28" s="6">
        <v>3.28317105</v>
      </c>
      <c r="W28" s="2" t="s">
        <v>5</v>
      </c>
    </row>
    <row r="29" spans="1:23" x14ac:dyDescent="0.3">
      <c r="A29" s="1" t="s">
        <v>16</v>
      </c>
      <c r="E29" t="s">
        <v>6</v>
      </c>
      <c r="G29" s="1" t="s">
        <v>16</v>
      </c>
      <c r="H29" s="8">
        <v>3.2847697999999999</v>
      </c>
      <c r="I29" s="8">
        <v>3.2837673999999999</v>
      </c>
      <c r="J29" s="8">
        <v>3.2832941</v>
      </c>
      <c r="K29" t="s">
        <v>6</v>
      </c>
      <c r="M29" s="1" t="s">
        <v>16</v>
      </c>
      <c r="N29" s="8">
        <v>3.2847368000000001</v>
      </c>
      <c r="O29" s="8">
        <v>3.2837329</v>
      </c>
      <c r="P29" s="8">
        <v>3.2832606000000002</v>
      </c>
      <c r="Q29" t="s">
        <v>6</v>
      </c>
      <c r="S29" s="1" t="s">
        <v>16</v>
      </c>
      <c r="T29" s="8">
        <v>3.2847227999999999</v>
      </c>
      <c r="U29" s="8">
        <v>3.2837198999999999</v>
      </c>
      <c r="V29" s="8">
        <v>3.2832480999999998</v>
      </c>
      <c r="W29" t="s">
        <v>6</v>
      </c>
    </row>
    <row r="30" spans="1:23" x14ac:dyDescent="0.3">
      <c r="A30" s="1" t="s">
        <v>14</v>
      </c>
      <c r="E30" t="s">
        <v>6</v>
      </c>
      <c r="G30" s="1" t="s">
        <v>14</v>
      </c>
      <c r="H30" s="8">
        <v>3.2832325</v>
      </c>
      <c r="I30" s="8">
        <v>3.2832061499999998</v>
      </c>
      <c r="J30" s="8">
        <v>3.28320145</v>
      </c>
      <c r="K30" t="s">
        <v>6</v>
      </c>
      <c r="M30" s="1" t="s">
        <v>14</v>
      </c>
      <c r="N30" s="8">
        <v>3.2832045000000001</v>
      </c>
      <c r="O30" s="8">
        <v>3.28317865</v>
      </c>
      <c r="P30" s="8">
        <v>3.2831739500000001</v>
      </c>
      <c r="Q30" t="s">
        <v>6</v>
      </c>
      <c r="S30" s="1" t="s">
        <v>14</v>
      </c>
      <c r="T30" s="8">
        <v>3.2831955000000002</v>
      </c>
      <c r="U30" s="8">
        <v>3.28316915</v>
      </c>
      <c r="V30" s="8">
        <v>3.2831644500000001</v>
      </c>
      <c r="W30" t="s">
        <v>6</v>
      </c>
    </row>
    <row r="31" spans="1:23" x14ac:dyDescent="0.3">
      <c r="A31" s="1" t="s">
        <v>20</v>
      </c>
      <c r="G31" s="1" t="s">
        <v>20</v>
      </c>
      <c r="H31" s="8">
        <v>3.2833017</v>
      </c>
      <c r="I31" s="8">
        <v>3.2833011499999998</v>
      </c>
      <c r="J31" s="8">
        <v>3.2833011499999998</v>
      </c>
      <c r="K31" t="s">
        <v>6</v>
      </c>
      <c r="M31" s="1" t="s">
        <v>20</v>
      </c>
      <c r="N31" s="8">
        <v>3.2832436999999999</v>
      </c>
      <c r="O31" s="8">
        <v>3.2832431500000001</v>
      </c>
      <c r="P31" s="8">
        <v>3.2832431500000001</v>
      </c>
      <c r="Q31" t="s">
        <v>6</v>
      </c>
      <c r="S31" s="1" t="s">
        <v>20</v>
      </c>
      <c r="T31" s="8">
        <v>3.2832347</v>
      </c>
      <c r="U31" s="8">
        <v>3.2832341500000002</v>
      </c>
      <c r="V31" s="8">
        <v>3.2832341500000002</v>
      </c>
      <c r="W31" t="s">
        <v>6</v>
      </c>
    </row>
    <row r="32" spans="1:23" ht="14.5" thickBot="1" x14ac:dyDescent="0.35">
      <c r="A32" s="4" t="s">
        <v>15</v>
      </c>
      <c r="B32" s="2"/>
      <c r="C32" s="2"/>
      <c r="D32" s="2"/>
      <c r="E32" s="2" t="s">
        <v>6</v>
      </c>
      <c r="G32" s="4" t="s">
        <v>15</v>
      </c>
      <c r="H32" s="6">
        <v>3.2832020000000002</v>
      </c>
      <c r="I32" s="6">
        <v>3.28320145</v>
      </c>
      <c r="J32" s="6">
        <v>3.28320145</v>
      </c>
      <c r="K32" s="2" t="s">
        <v>6</v>
      </c>
      <c r="M32" s="4" t="s">
        <v>15</v>
      </c>
      <c r="N32" s="6">
        <v>3.2831744999999999</v>
      </c>
      <c r="O32" s="6">
        <v>3.2831739500000001</v>
      </c>
      <c r="P32" s="6">
        <v>3.2831739500000001</v>
      </c>
      <c r="Q32" s="2" t="s">
        <v>6</v>
      </c>
      <c r="S32" s="4" t="s">
        <v>15</v>
      </c>
      <c r="T32" s="6">
        <v>3.2831649999999999</v>
      </c>
      <c r="U32" s="6">
        <v>3.2831644500000001</v>
      </c>
      <c r="V32" s="6">
        <v>3.2831644500000001</v>
      </c>
      <c r="W32" s="2" t="s">
        <v>6</v>
      </c>
    </row>
    <row r="37" spans="1:23" ht="14" customHeight="1" x14ac:dyDescent="0.3">
      <c r="A37" s="21" t="s">
        <v>7</v>
      </c>
      <c r="B37" s="23" t="s">
        <v>9</v>
      </c>
      <c r="C37" s="23" t="s">
        <v>18</v>
      </c>
      <c r="G37" s="21" t="s">
        <v>7</v>
      </c>
      <c r="H37" s="23" t="s">
        <v>10</v>
      </c>
      <c r="I37" s="23" t="s">
        <v>18</v>
      </c>
      <c r="M37" s="21" t="s">
        <v>7</v>
      </c>
      <c r="N37" s="23" t="s">
        <v>11</v>
      </c>
      <c r="O37" s="23" t="s">
        <v>18</v>
      </c>
      <c r="S37" s="21" t="s">
        <v>7</v>
      </c>
      <c r="T37" s="23" t="s">
        <v>12</v>
      </c>
      <c r="U37" s="23" t="s">
        <v>18</v>
      </c>
    </row>
    <row r="38" spans="1:23" x14ac:dyDescent="0.3">
      <c r="A38" s="22"/>
      <c r="B38" s="23"/>
      <c r="C38" s="23"/>
      <c r="G38" s="22"/>
      <c r="H38" s="23"/>
      <c r="I38" s="23"/>
      <c r="M38" s="22"/>
      <c r="N38" s="23"/>
      <c r="O38" s="23"/>
      <c r="S38" s="22"/>
      <c r="T38" s="23"/>
      <c r="U38" s="23"/>
    </row>
    <row r="39" spans="1:23" ht="14.5" thickBot="1" x14ac:dyDescent="0.35">
      <c r="B39" t="s">
        <v>1</v>
      </c>
      <c r="C39" t="s">
        <v>2</v>
      </c>
      <c r="D39" t="s">
        <v>3</v>
      </c>
      <c r="H39" t="s">
        <v>1</v>
      </c>
      <c r="I39" t="s">
        <v>2</v>
      </c>
      <c r="J39" t="s">
        <v>3</v>
      </c>
      <c r="N39" t="s">
        <v>1</v>
      </c>
      <c r="O39" t="s">
        <v>2</v>
      </c>
      <c r="P39" t="s">
        <v>3</v>
      </c>
      <c r="T39" t="s">
        <v>1</v>
      </c>
      <c r="U39" t="s">
        <v>2</v>
      </c>
      <c r="V39" t="s">
        <v>3</v>
      </c>
    </row>
    <row r="40" spans="1:23" x14ac:dyDescent="0.3">
      <c r="A40" s="1" t="s">
        <v>16</v>
      </c>
      <c r="B40" s="7"/>
      <c r="C40" s="7"/>
      <c r="D40" s="7"/>
      <c r="E40" s="1" t="s">
        <v>4</v>
      </c>
      <c r="G40" s="1" t="s">
        <v>16</v>
      </c>
      <c r="H40" s="7">
        <v>5.5650280499999996</v>
      </c>
      <c r="I40" s="7">
        <v>5.5636543500000002</v>
      </c>
      <c r="J40" s="7">
        <v>5.5632153999999998</v>
      </c>
      <c r="K40" s="1" t="s">
        <v>4</v>
      </c>
      <c r="M40" s="1" t="s">
        <v>16</v>
      </c>
      <c r="N40" s="7">
        <v>5.5650235500000003</v>
      </c>
      <c r="O40" s="7">
        <v>5.5636493500000004</v>
      </c>
      <c r="P40" s="7">
        <v>5.5632118999999998</v>
      </c>
      <c r="Q40" s="1" t="s">
        <v>4</v>
      </c>
      <c r="S40" s="1" t="s">
        <v>16</v>
      </c>
      <c r="T40" s="7">
        <v>5.5650285500000001</v>
      </c>
      <c r="U40" s="7">
        <v>5.5636543500000002</v>
      </c>
      <c r="V40" s="7">
        <v>5.5632174000000001</v>
      </c>
      <c r="W40" s="1" t="s">
        <v>4</v>
      </c>
    </row>
    <row r="41" spans="1:23" x14ac:dyDescent="0.3">
      <c r="A41" s="1" t="s">
        <v>14</v>
      </c>
      <c r="B41" s="5"/>
      <c r="C41" s="5"/>
      <c r="D41" s="5"/>
      <c r="E41" s="1" t="s">
        <v>4</v>
      </c>
      <c r="G41" s="1" t="s">
        <v>14</v>
      </c>
      <c r="H41" s="5">
        <v>5.5632019000000001</v>
      </c>
      <c r="I41" s="5">
        <v>5.5631727</v>
      </c>
      <c r="J41" s="5">
        <v>5.5631678000000004</v>
      </c>
      <c r="K41" s="1" t="s">
        <v>4</v>
      </c>
      <c r="M41" s="1" t="s">
        <v>14</v>
      </c>
      <c r="N41" s="5">
        <v>5.5631974</v>
      </c>
      <c r="O41" s="5">
        <v>5.5631687000000003</v>
      </c>
      <c r="P41" s="5">
        <v>5.5631633000000003</v>
      </c>
      <c r="Q41" s="1" t="s">
        <v>4</v>
      </c>
      <c r="S41" s="1" t="s">
        <v>14</v>
      </c>
      <c r="T41" s="5">
        <v>5.5632029000000003</v>
      </c>
      <c r="U41" s="5">
        <v>5.5631747000000003</v>
      </c>
      <c r="V41" s="5">
        <v>5.5631683000000001</v>
      </c>
      <c r="W41" s="1" t="s">
        <v>4</v>
      </c>
    </row>
    <row r="42" spans="1:23" x14ac:dyDescent="0.3">
      <c r="A42" s="1" t="s">
        <v>20</v>
      </c>
      <c r="B42" s="5"/>
      <c r="C42" s="5"/>
      <c r="D42" s="5"/>
      <c r="E42" s="1"/>
      <c r="G42" s="1" t="s">
        <v>20</v>
      </c>
      <c r="H42" s="5">
        <v>5.5632865499999999</v>
      </c>
      <c r="I42" s="5">
        <v>5.5632865499999999</v>
      </c>
      <c r="J42" s="5">
        <v>5.5632865499999999</v>
      </c>
      <c r="K42" s="1" t="s">
        <v>4</v>
      </c>
      <c r="M42" s="1" t="s">
        <v>20</v>
      </c>
      <c r="N42" s="5">
        <v>5.5632825500000003</v>
      </c>
      <c r="O42" s="5">
        <v>5.5632825500000003</v>
      </c>
      <c r="P42" s="5">
        <v>5.5632825500000003</v>
      </c>
      <c r="Q42" s="1" t="s">
        <v>4</v>
      </c>
      <c r="S42" s="1" t="s">
        <v>20</v>
      </c>
      <c r="T42" s="5">
        <v>5.5632880499999997</v>
      </c>
      <c r="U42" s="5">
        <v>5.5632880499999997</v>
      </c>
      <c r="V42" s="5">
        <v>5.5632880499999997</v>
      </c>
      <c r="W42" s="1" t="s">
        <v>4</v>
      </c>
    </row>
    <row r="43" spans="1:23" ht="14.5" thickBot="1" x14ac:dyDescent="0.35">
      <c r="A43" s="4" t="s">
        <v>15</v>
      </c>
      <c r="B43" s="6"/>
      <c r="C43" s="6"/>
      <c r="D43" s="6"/>
      <c r="E43" s="2" t="s">
        <v>4</v>
      </c>
      <c r="G43" s="4" t="s">
        <v>15</v>
      </c>
      <c r="H43" s="6">
        <v>5.5631678000000004</v>
      </c>
      <c r="I43" s="6">
        <v>5.5631678000000004</v>
      </c>
      <c r="J43" s="6">
        <v>5.5631383999999997</v>
      </c>
      <c r="K43" s="2" t="s">
        <v>4</v>
      </c>
      <c r="M43" s="4" t="s">
        <v>15</v>
      </c>
      <c r="N43" s="6">
        <v>5.5631633000000003</v>
      </c>
      <c r="O43" s="6">
        <v>5.5631633000000003</v>
      </c>
      <c r="P43" s="6">
        <v>5.5631633000000003</v>
      </c>
      <c r="Q43" s="2" t="s">
        <v>4</v>
      </c>
      <c r="S43" s="4" t="s">
        <v>15</v>
      </c>
      <c r="T43" s="6">
        <v>5.5631687999999997</v>
      </c>
      <c r="U43" s="6">
        <v>5.5631683000000001</v>
      </c>
      <c r="V43" s="6">
        <v>5.5631683000000001</v>
      </c>
      <c r="W43" s="2" t="s">
        <v>4</v>
      </c>
    </row>
    <row r="44" spans="1:23" x14ac:dyDescent="0.3">
      <c r="A44" s="1" t="s">
        <v>16</v>
      </c>
      <c r="B44" s="7"/>
      <c r="C44" s="7"/>
      <c r="D44" s="7"/>
      <c r="E44" s="1" t="s">
        <v>5</v>
      </c>
      <c r="G44" s="1" t="s">
        <v>16</v>
      </c>
      <c r="H44" s="7">
        <v>5.5649986499999997</v>
      </c>
      <c r="I44" s="7">
        <v>5.5636244499999998</v>
      </c>
      <c r="J44" s="7">
        <v>5.563186</v>
      </c>
      <c r="K44" s="1" t="s">
        <v>5</v>
      </c>
      <c r="M44" s="1" t="s">
        <v>16</v>
      </c>
      <c r="N44" s="7">
        <v>5.5649996499999999</v>
      </c>
      <c r="O44" s="7">
        <v>5.56362545</v>
      </c>
      <c r="P44" s="7">
        <v>5.5631880000000002</v>
      </c>
      <c r="Q44" s="1" t="s">
        <v>5</v>
      </c>
      <c r="S44" s="1" t="s">
        <v>16</v>
      </c>
      <c r="T44" s="7">
        <v>5.5650046499999997</v>
      </c>
      <c r="U44" s="7">
        <v>5.5636304499999998</v>
      </c>
      <c r="V44" s="7">
        <v>5.5631934999999997</v>
      </c>
      <c r="W44" s="1" t="s">
        <v>5</v>
      </c>
    </row>
    <row r="45" spans="1:23" x14ac:dyDescent="0.3">
      <c r="A45" s="1" t="s">
        <v>14</v>
      </c>
      <c r="B45" s="5"/>
      <c r="C45" s="5"/>
      <c r="D45" s="5"/>
      <c r="E45" s="1" t="s">
        <v>5</v>
      </c>
      <c r="G45" s="1" t="s">
        <v>14</v>
      </c>
      <c r="H45" s="5">
        <v>5.5631725000000003</v>
      </c>
      <c r="I45" s="5">
        <v>5.5631433000000001</v>
      </c>
      <c r="J45" s="5">
        <v>5.5631383999999997</v>
      </c>
      <c r="K45" s="1" t="s">
        <v>5</v>
      </c>
      <c r="M45" s="1" t="s">
        <v>14</v>
      </c>
      <c r="N45" s="5">
        <v>5.5631735000000004</v>
      </c>
      <c r="O45" s="5">
        <v>5.5631447999999999</v>
      </c>
      <c r="P45" s="5">
        <v>5.5631393999999998</v>
      </c>
      <c r="Q45" s="1" t="s">
        <v>5</v>
      </c>
      <c r="S45" s="1" t="s">
        <v>14</v>
      </c>
      <c r="T45" s="5">
        <v>5.5631789999999999</v>
      </c>
      <c r="U45" s="5">
        <v>5.5631507999999998</v>
      </c>
      <c r="V45" s="5">
        <v>5.5631443999999997</v>
      </c>
      <c r="W45" s="1" t="s">
        <v>5</v>
      </c>
    </row>
    <row r="46" spans="1:23" x14ac:dyDescent="0.3">
      <c r="A46" s="1" t="s">
        <v>20</v>
      </c>
      <c r="B46" s="5"/>
      <c r="C46" s="5"/>
      <c r="D46" s="5"/>
      <c r="E46" s="1"/>
      <c r="G46" s="1" t="s">
        <v>20</v>
      </c>
      <c r="H46" s="5">
        <v>5.5632136499999998</v>
      </c>
      <c r="I46" s="5">
        <v>5.5632136499999998</v>
      </c>
      <c r="J46" s="5">
        <v>5.5632136499999998</v>
      </c>
      <c r="K46" s="1" t="s">
        <v>5</v>
      </c>
      <c r="M46" s="1" t="s">
        <v>20</v>
      </c>
      <c r="N46" s="5">
        <v>5.5632126499999996</v>
      </c>
      <c r="O46" s="5">
        <v>5.5632126499999996</v>
      </c>
      <c r="P46" s="5">
        <v>5.5632126499999996</v>
      </c>
      <c r="Q46" s="1" t="s">
        <v>5</v>
      </c>
      <c r="S46" s="1" t="s">
        <v>20</v>
      </c>
      <c r="T46" s="5">
        <v>5.56321815</v>
      </c>
      <c r="U46" s="5">
        <v>5.56321815</v>
      </c>
      <c r="V46" s="5">
        <v>5.56321815</v>
      </c>
      <c r="W46" s="1" t="s">
        <v>5</v>
      </c>
    </row>
    <row r="47" spans="1:23" ht="14.5" thickBot="1" x14ac:dyDescent="0.35">
      <c r="A47" s="4" t="s">
        <v>15</v>
      </c>
      <c r="B47" s="6"/>
      <c r="C47" s="6"/>
      <c r="D47" s="6"/>
      <c r="E47" s="2" t="s">
        <v>5</v>
      </c>
      <c r="G47" s="4" t="s">
        <v>15</v>
      </c>
      <c r="H47" s="6">
        <v>5.5631383999999997</v>
      </c>
      <c r="I47" s="6">
        <v>5.5631383999999997</v>
      </c>
      <c r="J47" s="6">
        <v>5.5631298999999999</v>
      </c>
      <c r="K47" s="2" t="s">
        <v>5</v>
      </c>
      <c r="M47" s="4" t="s">
        <v>15</v>
      </c>
      <c r="N47" s="6">
        <v>5.5631393999999998</v>
      </c>
      <c r="O47" s="6">
        <v>5.5631393999999998</v>
      </c>
      <c r="P47" s="6">
        <v>5.5631393999999998</v>
      </c>
      <c r="Q47" s="2" t="s">
        <v>5</v>
      </c>
      <c r="S47" s="4" t="s">
        <v>15</v>
      </c>
      <c r="T47" s="6">
        <v>5.5631449000000002</v>
      </c>
      <c r="U47" s="6">
        <v>5.5631443999999997</v>
      </c>
      <c r="V47" s="6">
        <v>5.5631368999999999</v>
      </c>
      <c r="W47" s="2" t="s">
        <v>5</v>
      </c>
    </row>
    <row r="48" spans="1:23" x14ac:dyDescent="0.3">
      <c r="A48" s="1" t="s">
        <v>16</v>
      </c>
      <c r="B48" s="8"/>
      <c r="C48" s="8"/>
      <c r="D48" s="8"/>
      <c r="E48" t="s">
        <v>6</v>
      </c>
      <c r="G48" s="1" t="s">
        <v>16</v>
      </c>
      <c r="H48" s="8">
        <v>5.5649901499999999</v>
      </c>
      <c r="I48" s="8">
        <v>5.56361595</v>
      </c>
      <c r="J48" s="8">
        <v>5.5631775000000001</v>
      </c>
      <c r="K48" t="s">
        <v>6</v>
      </c>
      <c r="M48" s="1" t="s">
        <v>16</v>
      </c>
      <c r="N48" s="8">
        <v>5.5649916499999996</v>
      </c>
      <c r="O48" s="8">
        <v>5.5636174499999997</v>
      </c>
      <c r="P48" s="8">
        <v>5.56318</v>
      </c>
      <c r="Q48" t="s">
        <v>6</v>
      </c>
      <c r="S48" s="1" t="s">
        <v>16</v>
      </c>
      <c r="T48" s="8">
        <v>5.5649966500000003</v>
      </c>
      <c r="U48" s="8">
        <v>5.5636224500000004</v>
      </c>
      <c r="V48" s="8">
        <v>5.5631855000000003</v>
      </c>
      <c r="W48" t="s">
        <v>6</v>
      </c>
    </row>
    <row r="49" spans="1:23" x14ac:dyDescent="0.3">
      <c r="A49" s="1" t="s">
        <v>14</v>
      </c>
      <c r="B49" s="8"/>
      <c r="C49" s="8"/>
      <c r="D49" s="8"/>
      <c r="E49" t="s">
        <v>6</v>
      </c>
      <c r="G49" s="1" t="s">
        <v>14</v>
      </c>
      <c r="H49" s="8">
        <v>5.5631640000000004</v>
      </c>
      <c r="I49" s="8">
        <v>5.5631348000000003</v>
      </c>
      <c r="J49" s="8">
        <v>5.5631298999999999</v>
      </c>
      <c r="K49" t="s">
        <v>6</v>
      </c>
      <c r="M49" s="1" t="s">
        <v>14</v>
      </c>
      <c r="N49" s="8">
        <v>5.5631655000000002</v>
      </c>
      <c r="O49" s="8">
        <v>5.5631367999999997</v>
      </c>
      <c r="P49" s="8">
        <v>5.5631313999999996</v>
      </c>
      <c r="Q49" t="s">
        <v>6</v>
      </c>
      <c r="S49" s="1" t="s">
        <v>14</v>
      </c>
      <c r="T49" s="8">
        <v>5.5631709999999996</v>
      </c>
      <c r="U49" s="8">
        <v>5.5631427999999996</v>
      </c>
      <c r="V49" s="8">
        <v>5.5631364000000003</v>
      </c>
      <c r="W49" t="s">
        <v>6</v>
      </c>
    </row>
    <row r="50" spans="1:23" x14ac:dyDescent="0.3">
      <c r="A50" s="1" t="s">
        <v>20</v>
      </c>
      <c r="B50" s="8"/>
      <c r="C50" s="8"/>
      <c r="D50" s="8"/>
      <c r="G50" s="1" t="s">
        <v>20</v>
      </c>
      <c r="H50" s="8">
        <v>5.5631934000000003</v>
      </c>
      <c r="I50" s="8">
        <v>5.5631934000000003</v>
      </c>
      <c r="J50" s="8">
        <v>5.5631934000000003</v>
      </c>
      <c r="K50" t="s">
        <v>6</v>
      </c>
      <c r="M50" s="1" t="s">
        <v>20</v>
      </c>
      <c r="N50" s="8">
        <v>5.5631938999999999</v>
      </c>
      <c r="O50" s="8">
        <v>5.5631938999999999</v>
      </c>
      <c r="P50" s="8">
        <v>5.5631938999999999</v>
      </c>
      <c r="Q50" t="s">
        <v>6</v>
      </c>
      <c r="S50" s="1" t="s">
        <v>20</v>
      </c>
      <c r="T50" s="8">
        <v>5.5631994000000002</v>
      </c>
      <c r="U50" s="8">
        <v>5.5631994000000002</v>
      </c>
      <c r="V50" s="8">
        <v>5.5631994000000002</v>
      </c>
      <c r="W50" t="s">
        <v>6</v>
      </c>
    </row>
    <row r="51" spans="1:23" ht="14.5" thickBot="1" x14ac:dyDescent="0.35">
      <c r="A51" s="4" t="s">
        <v>15</v>
      </c>
      <c r="B51" s="6"/>
      <c r="C51" s="6"/>
      <c r="D51" s="6"/>
      <c r="E51" s="2" t="s">
        <v>6</v>
      </c>
      <c r="G51" s="4" t="s">
        <v>15</v>
      </c>
      <c r="H51" s="6">
        <v>5.5631298999999999</v>
      </c>
      <c r="I51" s="6">
        <v>5.5631298999999999</v>
      </c>
      <c r="J51" s="6">
        <v>5.5631298999999999</v>
      </c>
      <c r="K51" s="2" t="s">
        <v>6</v>
      </c>
      <c r="M51" s="4" t="s">
        <v>15</v>
      </c>
      <c r="N51" s="6">
        <v>5.5631313999999996</v>
      </c>
      <c r="O51" s="6">
        <v>5.5631313999999996</v>
      </c>
      <c r="P51" s="6">
        <v>5.5631313999999996</v>
      </c>
      <c r="Q51" s="2" t="s">
        <v>6</v>
      </c>
      <c r="S51" s="4" t="s">
        <v>15</v>
      </c>
      <c r="T51" s="6">
        <v>5.5631364000000003</v>
      </c>
      <c r="U51" s="6">
        <v>5.5631364000000003</v>
      </c>
      <c r="V51" s="6">
        <v>5.5631364000000003</v>
      </c>
      <c r="W51" s="2" t="s">
        <v>6</v>
      </c>
    </row>
    <row r="54" spans="1:23" x14ac:dyDescent="0.3">
      <c r="A54" s="21" t="s">
        <v>8</v>
      </c>
      <c r="G54" s="21" t="s">
        <v>8</v>
      </c>
      <c r="H54" s="23" t="s">
        <v>10</v>
      </c>
      <c r="I54" s="23" t="s">
        <v>18</v>
      </c>
      <c r="M54" s="21" t="s">
        <v>8</v>
      </c>
      <c r="N54" s="23" t="s">
        <v>11</v>
      </c>
      <c r="O54" s="23" t="s">
        <v>18</v>
      </c>
      <c r="S54" s="21" t="s">
        <v>8</v>
      </c>
      <c r="T54" s="23" t="s">
        <v>12</v>
      </c>
      <c r="U54" s="23" t="s">
        <v>18</v>
      </c>
    </row>
    <row r="55" spans="1:23" x14ac:dyDescent="0.3">
      <c r="A55" s="22"/>
      <c r="G55" s="22"/>
      <c r="H55" s="23"/>
      <c r="I55" s="23"/>
      <c r="M55" s="22"/>
      <c r="N55" s="23"/>
      <c r="O55" s="23"/>
      <c r="S55" s="22"/>
      <c r="T55" s="23"/>
      <c r="U55" s="23"/>
    </row>
    <row r="56" spans="1:23" ht="14.5" thickBot="1" x14ac:dyDescent="0.35">
      <c r="B56" t="s">
        <v>1</v>
      </c>
      <c r="C56" t="s">
        <v>2</v>
      </c>
      <c r="D56" t="s">
        <v>3</v>
      </c>
      <c r="H56" t="s">
        <v>1</v>
      </c>
      <c r="I56" t="s">
        <v>2</v>
      </c>
      <c r="J56" t="s">
        <v>3</v>
      </c>
      <c r="N56" t="s">
        <v>1</v>
      </c>
      <c r="O56" t="s">
        <v>2</v>
      </c>
      <c r="P56" t="s">
        <v>3</v>
      </c>
      <c r="T56" t="s">
        <v>1</v>
      </c>
      <c r="U56" t="s">
        <v>2</v>
      </c>
      <c r="V56" t="s">
        <v>3</v>
      </c>
    </row>
    <row r="57" spans="1:23" x14ac:dyDescent="0.3">
      <c r="A57" s="1" t="s">
        <v>16</v>
      </c>
      <c r="B57" s="3"/>
      <c r="C57" s="3"/>
      <c r="D57" s="3"/>
      <c r="E57" s="1" t="s">
        <v>4</v>
      </c>
      <c r="G57" s="1" t="s">
        <v>16</v>
      </c>
      <c r="H57" s="7">
        <v>3.28466835</v>
      </c>
      <c r="I57" s="7">
        <v>3.2836664500000001</v>
      </c>
      <c r="J57" s="7">
        <v>3.2831936499999999</v>
      </c>
      <c r="K57" s="1" t="s">
        <v>4</v>
      </c>
      <c r="M57" s="1" t="s">
        <v>16</v>
      </c>
      <c r="N57" s="7">
        <v>3.2846603499999998</v>
      </c>
      <c r="O57" s="7">
        <v>3.2836579499999998</v>
      </c>
      <c r="P57" s="7">
        <v>3.2831861500000001</v>
      </c>
      <c r="Q57" s="1" t="s">
        <v>4</v>
      </c>
      <c r="S57" s="1" t="s">
        <v>16</v>
      </c>
      <c r="T57" s="7">
        <v>3.2846633500000002</v>
      </c>
      <c r="U57" s="7">
        <v>3.2836609499999998</v>
      </c>
      <c r="V57" s="7">
        <v>3.2831891500000001</v>
      </c>
      <c r="W57" s="1" t="s">
        <v>4</v>
      </c>
    </row>
    <row r="58" spans="1:23" x14ac:dyDescent="0.3">
      <c r="A58" s="1" t="s">
        <v>14</v>
      </c>
      <c r="B58" s="1"/>
      <c r="C58" s="1"/>
      <c r="D58" s="1"/>
      <c r="E58" s="1" t="s">
        <v>4</v>
      </c>
      <c r="G58" s="1" t="s">
        <v>14</v>
      </c>
      <c r="H58" s="5">
        <v>3.2831410499999998</v>
      </c>
      <c r="I58" s="5">
        <v>3.2831152000000001</v>
      </c>
      <c r="J58" s="5">
        <v>3.2831100000000002</v>
      </c>
      <c r="K58" s="1" t="s">
        <v>4</v>
      </c>
      <c r="M58" s="1" t="s">
        <v>14</v>
      </c>
      <c r="N58" s="5">
        <v>3.2831335500000001</v>
      </c>
      <c r="O58" s="5">
        <v>3.2831071999999999</v>
      </c>
      <c r="P58" s="5">
        <v>3.283102</v>
      </c>
      <c r="Q58" s="1" t="s">
        <v>4</v>
      </c>
      <c r="S58" s="1" t="s">
        <v>14</v>
      </c>
      <c r="T58" s="5">
        <v>3.2831375500000002</v>
      </c>
      <c r="U58" s="5">
        <v>3.2831117000000001</v>
      </c>
      <c r="V58" s="5">
        <v>3.2831055</v>
      </c>
      <c r="W58" s="1" t="s">
        <v>4</v>
      </c>
    </row>
    <row r="59" spans="1:23" x14ac:dyDescent="0.3">
      <c r="A59" s="1" t="s">
        <v>20</v>
      </c>
      <c r="B59" s="1"/>
      <c r="C59" s="1"/>
      <c r="D59" s="1"/>
      <c r="E59" s="1"/>
      <c r="G59" s="1" t="s">
        <v>20</v>
      </c>
      <c r="H59" s="5">
        <v>3.2833239999999999</v>
      </c>
      <c r="I59" s="5">
        <v>3.2833229500000001</v>
      </c>
      <c r="J59" s="5">
        <v>3.2833229500000001</v>
      </c>
      <c r="K59" s="1" t="s">
        <v>4</v>
      </c>
      <c r="M59" s="1" t="s">
        <v>20</v>
      </c>
      <c r="N59" s="5">
        <v>3.2833130000000001</v>
      </c>
      <c r="O59" s="5">
        <v>3.2833124499999999</v>
      </c>
      <c r="P59" s="5">
        <v>3.2833124499999999</v>
      </c>
      <c r="Q59" s="1" t="s">
        <v>4</v>
      </c>
      <c r="S59" s="1" t="s">
        <v>20</v>
      </c>
      <c r="T59" s="5">
        <v>3.2833169999999998</v>
      </c>
      <c r="U59" s="5">
        <v>3.28331595</v>
      </c>
      <c r="V59" s="5">
        <v>3.28331595</v>
      </c>
      <c r="W59" s="1" t="s">
        <v>4</v>
      </c>
    </row>
    <row r="60" spans="1:23" ht="14.5" thickBot="1" x14ac:dyDescent="0.35">
      <c r="A60" s="4" t="s">
        <v>15</v>
      </c>
      <c r="B60" s="2"/>
      <c r="C60" s="2"/>
      <c r="D60" s="2"/>
      <c r="E60" s="2" t="s">
        <v>4</v>
      </c>
      <c r="G60" s="4" t="s">
        <v>15</v>
      </c>
      <c r="H60" s="6">
        <v>3.28311055</v>
      </c>
      <c r="I60" s="6">
        <v>3.2831095000000001</v>
      </c>
      <c r="J60" s="6">
        <v>3.2831095000000001</v>
      </c>
      <c r="K60" s="2" t="s">
        <v>4</v>
      </c>
      <c r="M60" s="4" t="s">
        <v>15</v>
      </c>
      <c r="N60" s="6">
        <v>3.2831020500000001</v>
      </c>
      <c r="O60" s="6">
        <v>3.2831014999999999</v>
      </c>
      <c r="P60" s="6">
        <v>3.2831014999999999</v>
      </c>
      <c r="Q60" s="2" t="s">
        <v>4</v>
      </c>
      <c r="S60" s="4" t="s">
        <v>15</v>
      </c>
      <c r="T60" s="6">
        <v>3.2831060500000002</v>
      </c>
      <c r="U60" s="6">
        <v>3.2831049999999999</v>
      </c>
      <c r="V60" s="6">
        <v>3.2831049999999999</v>
      </c>
      <c r="W60" s="2" t="s">
        <v>4</v>
      </c>
    </row>
    <row r="61" spans="1:23" x14ac:dyDescent="0.3">
      <c r="A61" s="1" t="s">
        <v>16</v>
      </c>
      <c r="B61" s="3"/>
      <c r="C61" s="3"/>
      <c r="D61" s="3"/>
      <c r="E61" s="1" t="s">
        <v>5</v>
      </c>
      <c r="G61" s="1" t="s">
        <v>16</v>
      </c>
      <c r="H61" s="7">
        <v>3.2846329000000001</v>
      </c>
      <c r="I61" s="7">
        <v>3.2836314999999998</v>
      </c>
      <c r="J61" s="7">
        <v>3.2831587</v>
      </c>
      <c r="K61" s="1" t="s">
        <v>5</v>
      </c>
      <c r="M61" s="1" t="s">
        <v>16</v>
      </c>
      <c r="N61" s="7">
        <v>3.2846334000000001</v>
      </c>
      <c r="O61" s="7">
        <v>3.2836310000000002</v>
      </c>
      <c r="P61" s="7">
        <v>3.2831592000000001</v>
      </c>
      <c r="Q61" s="1" t="s">
        <v>5</v>
      </c>
      <c r="S61" s="1" t="s">
        <v>16</v>
      </c>
      <c r="T61" s="7">
        <v>3.2846364000000001</v>
      </c>
      <c r="U61" s="7">
        <v>3.2836340000000002</v>
      </c>
      <c r="V61" s="7">
        <v>3.2831622</v>
      </c>
      <c r="W61" s="1" t="s">
        <v>5</v>
      </c>
    </row>
    <row r="62" spans="1:23" x14ac:dyDescent="0.3">
      <c r="A62" s="1" t="s">
        <v>14</v>
      </c>
      <c r="B62" s="1"/>
      <c r="C62" s="1"/>
      <c r="D62" s="1"/>
      <c r="E62" s="1" t="s">
        <v>5</v>
      </c>
      <c r="G62" s="1" t="s">
        <v>14</v>
      </c>
      <c r="H62" s="5">
        <v>3.2831060999999999</v>
      </c>
      <c r="I62" s="5">
        <v>3.2830802499999998</v>
      </c>
      <c r="J62" s="5">
        <v>3.2830750499999999</v>
      </c>
      <c r="K62" s="1" t="s">
        <v>5</v>
      </c>
      <c r="M62" s="1" t="s">
        <v>14</v>
      </c>
      <c r="N62" s="5">
        <v>3.2831066</v>
      </c>
      <c r="O62" s="5">
        <v>3.2830802499999998</v>
      </c>
      <c r="P62" s="5">
        <v>3.2830750499999999</v>
      </c>
      <c r="Q62" s="1" t="s">
        <v>5</v>
      </c>
      <c r="S62" s="1" t="s">
        <v>14</v>
      </c>
      <c r="T62" s="5">
        <v>3.2831106000000001</v>
      </c>
      <c r="U62" s="5">
        <v>3.28308475</v>
      </c>
      <c r="V62" s="5">
        <v>3.2830785499999999</v>
      </c>
      <c r="W62" s="1" t="s">
        <v>5</v>
      </c>
    </row>
    <row r="63" spans="1:23" x14ac:dyDescent="0.3">
      <c r="A63" s="1" t="s">
        <v>20</v>
      </c>
      <c r="B63" s="1"/>
      <c r="C63" s="1"/>
      <c r="D63" s="1"/>
      <c r="E63" s="1"/>
      <c r="G63" s="1" t="s">
        <v>20</v>
      </c>
      <c r="H63" s="5">
        <v>3.2831701500000001</v>
      </c>
      <c r="I63" s="5">
        <v>3.2831690999999998</v>
      </c>
      <c r="J63" s="5">
        <v>3.2831690999999998</v>
      </c>
      <c r="K63" s="1" t="s">
        <v>5</v>
      </c>
      <c r="M63" s="1" t="s">
        <v>20</v>
      </c>
      <c r="N63" s="5">
        <v>3.28316315</v>
      </c>
      <c r="O63" s="5">
        <v>3.2831625999999998</v>
      </c>
      <c r="P63" s="5">
        <v>3.2831625999999998</v>
      </c>
      <c r="Q63" s="1" t="s">
        <v>5</v>
      </c>
      <c r="S63" s="1" t="s">
        <v>20</v>
      </c>
      <c r="T63" s="5">
        <v>3.2831671500000001</v>
      </c>
      <c r="U63" s="5">
        <v>3.2831660999999999</v>
      </c>
      <c r="V63" s="5">
        <v>3.2831660999999999</v>
      </c>
      <c r="W63" s="1" t="s">
        <v>5</v>
      </c>
    </row>
    <row r="64" spans="1:23" ht="14.5" thickBot="1" x14ac:dyDescent="0.35">
      <c r="A64" s="4" t="s">
        <v>15</v>
      </c>
      <c r="B64" s="2"/>
      <c r="C64" s="2"/>
      <c r="D64" s="2"/>
      <c r="E64" s="2" t="s">
        <v>5</v>
      </c>
      <c r="G64" s="4" t="s">
        <v>15</v>
      </c>
      <c r="H64" s="6">
        <v>3.2830756000000001</v>
      </c>
      <c r="I64" s="6">
        <v>3.2830745499999998</v>
      </c>
      <c r="J64" s="6">
        <v>3.2830745499999998</v>
      </c>
      <c r="K64" s="2" t="s">
        <v>5</v>
      </c>
      <c r="M64" s="4" t="s">
        <v>15</v>
      </c>
      <c r="N64" s="6">
        <v>3.2830751</v>
      </c>
      <c r="O64" s="6">
        <v>3.2830745499999998</v>
      </c>
      <c r="P64" s="6">
        <v>3.2830745499999998</v>
      </c>
      <c r="Q64" s="2" t="s">
        <v>5</v>
      </c>
      <c r="S64" s="4" t="s">
        <v>15</v>
      </c>
      <c r="T64" s="6">
        <v>3.2830791000000001</v>
      </c>
      <c r="U64" s="6">
        <v>3.2830780499999999</v>
      </c>
      <c r="V64" s="6">
        <v>3.2830780499999999</v>
      </c>
      <c r="W64" s="2" t="s">
        <v>5</v>
      </c>
    </row>
    <row r="65" spans="1:23" x14ac:dyDescent="0.3">
      <c r="A65" s="1" t="s">
        <v>16</v>
      </c>
      <c r="E65" t="s">
        <v>6</v>
      </c>
      <c r="G65" s="1" t="s">
        <v>16</v>
      </c>
      <c r="H65" s="8">
        <v>3.2846253000000001</v>
      </c>
      <c r="I65" s="8">
        <v>3.2836243999999999</v>
      </c>
      <c r="J65" s="8">
        <v>3.2831516000000001</v>
      </c>
      <c r="K65" t="s">
        <v>6</v>
      </c>
      <c r="M65" s="1" t="s">
        <v>16</v>
      </c>
      <c r="N65" s="8">
        <v>3.2846267999999998</v>
      </c>
      <c r="O65" s="8">
        <v>3.2836243999999999</v>
      </c>
      <c r="P65" s="8">
        <v>3.2831526000000002</v>
      </c>
      <c r="Q65" t="s">
        <v>6</v>
      </c>
      <c r="S65" s="1" t="s">
        <v>16</v>
      </c>
      <c r="T65" s="8">
        <v>3.2846297999999998</v>
      </c>
      <c r="U65" s="8">
        <v>3.2836273999999999</v>
      </c>
      <c r="V65" s="8">
        <v>3.2831556000000002</v>
      </c>
      <c r="W65" t="s">
        <v>6</v>
      </c>
    </row>
    <row r="66" spans="1:23" x14ac:dyDescent="0.3">
      <c r="A66" s="1" t="s">
        <v>14</v>
      </c>
      <c r="E66" t="s">
        <v>6</v>
      </c>
      <c r="G66" s="1" t="s">
        <v>14</v>
      </c>
      <c r="H66" s="8">
        <v>3.283099</v>
      </c>
      <c r="I66" s="8">
        <v>3.2830731499999999</v>
      </c>
      <c r="J66" s="8">
        <v>3.28306795</v>
      </c>
      <c r="K66" t="s">
        <v>6</v>
      </c>
      <c r="M66" s="1" t="s">
        <v>14</v>
      </c>
      <c r="N66" s="8">
        <v>3.2831000000000001</v>
      </c>
      <c r="O66" s="8">
        <v>3.28307365</v>
      </c>
      <c r="P66" s="8">
        <v>3.28306845</v>
      </c>
      <c r="Q66" t="s">
        <v>6</v>
      </c>
      <c r="S66" s="1" t="s">
        <v>14</v>
      </c>
      <c r="T66" s="8">
        <v>3.2831039999999998</v>
      </c>
      <c r="U66" s="8">
        <v>3.2830781500000001</v>
      </c>
      <c r="V66" s="8">
        <v>3.2830719500000001</v>
      </c>
      <c r="W66" t="s">
        <v>6</v>
      </c>
    </row>
    <row r="67" spans="1:23" x14ac:dyDescent="0.3">
      <c r="A67" s="1" t="s">
        <v>20</v>
      </c>
      <c r="G67" s="1" t="s">
        <v>20</v>
      </c>
      <c r="H67" s="8">
        <v>3.2831397</v>
      </c>
      <c r="I67" s="8">
        <v>3.2831386500000002</v>
      </c>
      <c r="J67" s="8">
        <v>3.2831386500000002</v>
      </c>
      <c r="K67" t="s">
        <v>6</v>
      </c>
      <c r="M67" s="1" t="s">
        <v>20</v>
      </c>
      <c r="N67" s="8">
        <v>3.2831377000000002</v>
      </c>
      <c r="O67" s="8">
        <v>3.2831371499999999</v>
      </c>
      <c r="P67" s="8">
        <v>3.2831371499999999</v>
      </c>
      <c r="Q67" t="s">
        <v>6</v>
      </c>
      <c r="S67" s="1" t="s">
        <v>20</v>
      </c>
      <c r="T67" s="8">
        <v>3.2831416999999998</v>
      </c>
      <c r="U67" s="8">
        <v>3.28314065</v>
      </c>
      <c r="V67" s="8">
        <v>3.28314065</v>
      </c>
      <c r="W67" t="s">
        <v>6</v>
      </c>
    </row>
    <row r="68" spans="1:23" ht="14.5" thickBot="1" x14ac:dyDescent="0.35">
      <c r="A68" s="4" t="s">
        <v>15</v>
      </c>
      <c r="B68" s="2"/>
      <c r="C68" s="2"/>
      <c r="D68" s="2"/>
      <c r="E68" s="2" t="s">
        <v>6</v>
      </c>
      <c r="G68" s="4" t="s">
        <v>15</v>
      </c>
      <c r="H68" s="6">
        <v>3.2830685000000002</v>
      </c>
      <c r="I68" s="6">
        <v>3.2830674499999999</v>
      </c>
      <c r="J68" s="6">
        <v>3.2830674499999999</v>
      </c>
      <c r="K68" s="2" t="s">
        <v>6</v>
      </c>
      <c r="M68" s="4" t="s">
        <v>15</v>
      </c>
      <c r="N68" s="6">
        <v>3.2830685000000002</v>
      </c>
      <c r="O68" s="6">
        <v>3.28306795</v>
      </c>
      <c r="P68" s="6">
        <v>3.28306795</v>
      </c>
      <c r="Q68" s="2" t="s">
        <v>6</v>
      </c>
      <c r="S68" s="4" t="s">
        <v>15</v>
      </c>
      <c r="T68" s="6">
        <v>3.2830724999999998</v>
      </c>
      <c r="U68" s="6">
        <v>3.28307145</v>
      </c>
      <c r="V68" s="6">
        <v>3.28307145</v>
      </c>
      <c r="W68" s="2" t="s">
        <v>6</v>
      </c>
    </row>
    <row r="72" spans="1:23" x14ac:dyDescent="0.3">
      <c r="A72" t="s">
        <v>42</v>
      </c>
      <c r="B72">
        <f>MIN(A1:W68)</f>
        <v>3.2830674499999999</v>
      </c>
    </row>
    <row r="77" spans="1:23" x14ac:dyDescent="0.3">
      <c r="A77" t="s">
        <v>44</v>
      </c>
      <c r="B77">
        <f>MIN(G79:W146)</f>
        <v>4408.2611176999999</v>
      </c>
    </row>
    <row r="79" spans="1:23" ht="14" customHeight="1" x14ac:dyDescent="0.3">
      <c r="A79" s="21" t="s">
        <v>7</v>
      </c>
      <c r="B79" s="23" t="s">
        <v>9</v>
      </c>
      <c r="C79" s="23" t="s">
        <v>17</v>
      </c>
      <c r="G79" s="21" t="s">
        <v>7</v>
      </c>
      <c r="H79" s="23" t="s">
        <v>10</v>
      </c>
      <c r="I79" s="23" t="s">
        <v>17</v>
      </c>
      <c r="M79" s="21" t="s">
        <v>7</v>
      </c>
      <c r="N79" s="23" t="s">
        <v>11</v>
      </c>
      <c r="O79" s="23" t="s">
        <v>17</v>
      </c>
      <c r="S79" s="21" t="s">
        <v>7</v>
      </c>
      <c r="T79" s="23" t="s">
        <v>12</v>
      </c>
      <c r="U79" s="23" t="s">
        <v>17</v>
      </c>
    </row>
    <row r="80" spans="1:23" x14ac:dyDescent="0.3">
      <c r="A80" s="22"/>
      <c r="B80" s="23"/>
      <c r="C80" s="23"/>
      <c r="G80" s="22"/>
      <c r="H80" s="23"/>
      <c r="I80" s="23"/>
      <c r="M80" s="22"/>
      <c r="N80" s="23"/>
      <c r="O80" s="23"/>
      <c r="S80" s="22"/>
      <c r="T80" s="23"/>
      <c r="U80" s="23"/>
    </row>
    <row r="81" spans="1:23" ht="14.5" thickBot="1" x14ac:dyDescent="0.35">
      <c r="B81" s="2" t="s">
        <v>1</v>
      </c>
      <c r="C81" s="2" t="s">
        <v>2</v>
      </c>
      <c r="D81" s="2" t="s">
        <v>3</v>
      </c>
      <c r="H81" s="2" t="s">
        <v>1</v>
      </c>
      <c r="I81" s="2" t="s">
        <v>2</v>
      </c>
      <c r="J81" s="2" t="s">
        <v>3</v>
      </c>
      <c r="N81" s="2" t="s">
        <v>1</v>
      </c>
      <c r="O81" s="2" t="s">
        <v>2</v>
      </c>
      <c r="P81" s="2" t="s">
        <v>3</v>
      </c>
      <c r="T81" s="2" t="s">
        <v>1</v>
      </c>
      <c r="U81" s="2" t="s">
        <v>2</v>
      </c>
      <c r="V81" s="2" t="s">
        <v>3</v>
      </c>
    </row>
    <row r="82" spans="1:23" x14ac:dyDescent="0.3">
      <c r="A82" s="1" t="s">
        <v>16</v>
      </c>
      <c r="E82" s="1" t="s">
        <v>4</v>
      </c>
      <c r="G82" s="1" t="s">
        <v>16</v>
      </c>
      <c r="H82" s="8">
        <f>(64*4+256*4+1*2+20+20+20)*H4</f>
        <v>7468.4535101000001</v>
      </c>
      <c r="I82" s="8">
        <f>(64*4+256*4+1*2+40+20+20)*I4</f>
        <v>7577.8831377000006</v>
      </c>
      <c r="J82" s="8">
        <f>(64*4+256*4+1*2+80+20+20)*J4</f>
        <v>7799.8193637999993</v>
      </c>
      <c r="K82" s="1" t="s">
        <v>4</v>
      </c>
      <c r="M82" s="1" t="s">
        <v>16</v>
      </c>
      <c r="N82" s="8">
        <f>(64*4+256*4+1*2+20+20+40)*N4</f>
        <v>7579.7200670999991</v>
      </c>
      <c r="O82" s="8">
        <f>(64*4+256*4+1*2+40+20+40)*O4</f>
        <v>7689.1244047</v>
      </c>
      <c r="P82" s="8">
        <f>(64*4+256*4+1*2+80+20+40)*P4</f>
        <v>7911.0529847999996</v>
      </c>
      <c r="Q82" s="1" t="s">
        <v>4</v>
      </c>
      <c r="S82" s="1" t="s">
        <v>16</v>
      </c>
      <c r="T82" s="8">
        <f>(64*4+256*4+1*2+20+20+80)*T4</f>
        <v>7802.3123300999996</v>
      </c>
      <c r="U82" s="8">
        <f>(64*4+256*4+1*2+40+20+80)*U4</f>
        <v>7911.6608186999993</v>
      </c>
      <c r="V82" s="8">
        <f>(64*4+256*4+1*2+80+20+80)*V4</f>
        <v>8133.5707698000006</v>
      </c>
      <c r="W82" s="1" t="s">
        <v>4</v>
      </c>
    </row>
    <row r="83" spans="1:23" x14ac:dyDescent="0.3">
      <c r="A83" s="1" t="s">
        <v>14</v>
      </c>
      <c r="E83" s="1" t="s">
        <v>4</v>
      </c>
      <c r="G83" s="1" t="s">
        <v>14</v>
      </c>
      <c r="H83" s="8">
        <f>(128*4+256*4+1*2+20+20+20)*H5</f>
        <v>8890.207572199999</v>
      </c>
      <c r="I83" s="8">
        <f>(128*4+256*4+1*2+40+20+20)*I5</f>
        <v>9001.4278136000012</v>
      </c>
      <c r="J83" s="8">
        <f>(128*4+256*4+1*2+80+20+20)*J5</f>
        <v>9223.9518974000002</v>
      </c>
      <c r="K83" s="1" t="s">
        <v>4</v>
      </c>
      <c r="M83" s="1" t="s">
        <v>14</v>
      </c>
      <c r="N83" s="8">
        <f>(128*4+256*4+1*2+20+20+40)*N5</f>
        <v>9001.4402721999995</v>
      </c>
      <c r="O83" s="8">
        <f>(128*4+256*4+1*2+40+20+40)*O5</f>
        <v>9112.6603385999988</v>
      </c>
      <c r="P83" s="8">
        <f>(128*4+256*4+1*2+80+20+40)*P5</f>
        <v>9335.1835043999999</v>
      </c>
      <c r="Q83" s="1" t="s">
        <v>4</v>
      </c>
      <c r="S83" s="1" t="s">
        <v>14</v>
      </c>
      <c r="T83" s="8">
        <f>(128*4+256*4+1*2+20+20+80)*T5</f>
        <v>9223.9586951999991</v>
      </c>
      <c r="U83" s="8">
        <f>(128*4+256*4+1*2+40+20+80)*U5</f>
        <v>9335.1774635999991</v>
      </c>
      <c r="V83" s="8">
        <f>(128*4+256*4+1*2+80+20+80)*V5</f>
        <v>9557.7000934000007</v>
      </c>
      <c r="W83" s="1" t="s">
        <v>4</v>
      </c>
    </row>
    <row r="84" spans="1:23" x14ac:dyDescent="0.3">
      <c r="A84" s="1" t="s">
        <v>20</v>
      </c>
      <c r="E84" s="1" t="s">
        <v>4</v>
      </c>
      <c r="G84" s="1" t="s">
        <v>20</v>
      </c>
      <c r="H84" s="8">
        <f>(256*4+128*4+2+20+20+20)*H6</f>
        <v>8890.3596218999992</v>
      </c>
      <c r="I84" s="8">
        <f>(256*4+128*4+2+40+20+20)*I6</f>
        <v>9001.6282028999995</v>
      </c>
      <c r="J84" s="8">
        <f>(256*4+128*4+2+80+20+20)*J6</f>
        <v>9224.1653649</v>
      </c>
      <c r="K84" s="1" t="s">
        <v>4</v>
      </c>
      <c r="M84" s="1" t="s">
        <v>20</v>
      </c>
      <c r="N84" s="8">
        <f>(256*4+128*4+2+20+20+40)*N6</f>
        <v>9001.5739998999998</v>
      </c>
      <c r="O84" s="8">
        <f>(256*4+128*4+2+40+20+40)*O6</f>
        <v>9112.8419109000006</v>
      </c>
      <c r="P84" s="8">
        <f>(256*4+128*4+2+80+20+40)*P6</f>
        <v>9335.3777329000004</v>
      </c>
      <c r="Q84" s="1" t="s">
        <v>4</v>
      </c>
      <c r="S84" s="1" t="s">
        <v>20</v>
      </c>
      <c r="T84" s="8">
        <f>(256*4+128*4+2+20+20+80)*T6</f>
        <v>9224.1007028999993</v>
      </c>
      <c r="U84" s="8">
        <f>(256*4+128*4+2+40+20+80)*U6</f>
        <v>9335.3685038999993</v>
      </c>
      <c r="V84" s="8">
        <f>(256*4+128*4+2+80+20+80)*V6</f>
        <v>9557.9041058999992</v>
      </c>
      <c r="W84" s="1" t="s">
        <v>4</v>
      </c>
    </row>
    <row r="85" spans="1:23" ht="14.5" thickBot="1" x14ac:dyDescent="0.35">
      <c r="A85" s="4" t="s">
        <v>15</v>
      </c>
      <c r="B85" s="2"/>
      <c r="C85" s="2"/>
      <c r="D85" s="2"/>
      <c r="E85" s="2" t="s">
        <v>4</v>
      </c>
      <c r="G85" s="4" t="s">
        <v>15</v>
      </c>
      <c r="H85" s="6">
        <f>(256*4+256*4+2+20+20+20)*H7</f>
        <v>11738.563633</v>
      </c>
      <c r="I85" s="6">
        <f>(256*4+256*4+2+40+20+20)*I7</f>
        <v>11849.829639</v>
      </c>
      <c r="J85" s="6">
        <f>(256*4+256*4+2+80+20+20)*J7</f>
        <v>12072.361650999999</v>
      </c>
      <c r="K85" s="2" t="s">
        <v>4</v>
      </c>
      <c r="M85" s="4" t="s">
        <v>15</v>
      </c>
      <c r="N85" s="6">
        <f>(256*4+256*4+2+20+20+40)*N7</f>
        <v>11849.784909</v>
      </c>
      <c r="O85" s="6">
        <f>(256*4+256*4+2+40+20+40)*O7</f>
        <v>11961.050495</v>
      </c>
      <c r="P85" s="6">
        <f>(256*4+256*4+2+80+20+40)*P7</f>
        <v>12183.581666999999</v>
      </c>
      <c r="Q85" s="2" t="s">
        <v>4</v>
      </c>
      <c r="S85" s="4" t="s">
        <v>15</v>
      </c>
      <c r="T85" s="6">
        <f>(256*4+256*4+2+20+20+80)*T7</f>
        <v>12072.297635999999</v>
      </c>
      <c r="U85" s="6">
        <f>(256*4+256*4+2+40+20+80)*U7</f>
        <v>12183.563052</v>
      </c>
      <c r="V85" s="6">
        <f>(256*4+256*4+2+80+20+80)*V7</f>
        <v>12406.093884</v>
      </c>
      <c r="W85" s="2" t="s">
        <v>4</v>
      </c>
    </row>
    <row r="86" spans="1:23" x14ac:dyDescent="0.3">
      <c r="A86" s="1" t="s">
        <v>16</v>
      </c>
      <c r="E86" s="1" t="s">
        <v>5</v>
      </c>
      <c r="G86" s="1" t="s">
        <v>16</v>
      </c>
      <c r="H86" s="8">
        <f>(64*4+256*4+1*2+20+40+20)*H8</f>
        <v>7579.6943252999999</v>
      </c>
      <c r="I86" s="8">
        <f>(64*4+256*4+1*2+40+40+20)*I8</f>
        <v>7689.0955209000003</v>
      </c>
      <c r="J86" s="8">
        <f>(64*4+256*4+1*2+80+40+20)*J8</f>
        <v>7911.0232649999998</v>
      </c>
      <c r="K86" s="1" t="s">
        <v>5</v>
      </c>
      <c r="M86" s="1" t="s">
        <v>16</v>
      </c>
      <c r="N86" s="8">
        <f>(64*4+256*4+1*2+20+40+40)*N8</f>
        <v>7690.9856822999991</v>
      </c>
      <c r="O86" s="8">
        <f>(64*4+256*4+1*2+40+40+40)*O8</f>
        <v>7800.3613068999994</v>
      </c>
      <c r="P86" s="8">
        <f>(64*4+256*4+1*2+80+40+40)*P8</f>
        <v>8022.2793210000009</v>
      </c>
      <c r="Q86" s="1" t="s">
        <v>5</v>
      </c>
      <c r="S86" s="1" t="s">
        <v>16</v>
      </c>
      <c r="T86" s="8">
        <f>(64*4+256*4+1*2+20+40+80)*T8</f>
        <v>7913.5795232999999</v>
      </c>
      <c r="U86" s="8">
        <f>(64*4+256*4+1*2+40+40+80)*U8</f>
        <v>8022.9000298999999</v>
      </c>
      <c r="V86" s="8">
        <f>(64*4+256*4+1*2+80+40+80)*V8</f>
        <v>8244.800967000001</v>
      </c>
      <c r="W86" s="1" t="s">
        <v>5</v>
      </c>
    </row>
    <row r="87" spans="1:23" x14ac:dyDescent="0.3">
      <c r="A87" s="1" t="s">
        <v>14</v>
      </c>
      <c r="E87" s="1" t="s">
        <v>5</v>
      </c>
      <c r="G87" s="1" t="s">
        <v>14</v>
      </c>
      <c r="H87" s="8">
        <f>(128*4+256*4+1*2+20+40+20)*H9</f>
        <v>9001.4048380000004</v>
      </c>
      <c r="I87" s="8">
        <f>(128*4+256*4+1*2+40+40+20)*I9</f>
        <v>9112.6244664000005</v>
      </c>
      <c r="J87" s="8">
        <f>(128*4+256*4+1*2+80+40+20)*J9</f>
        <v>9335.1467561999998</v>
      </c>
      <c r="K87" s="1" t="s">
        <v>5</v>
      </c>
      <c r="M87" s="1" t="s">
        <v>14</v>
      </c>
      <c r="N87" s="8">
        <f>(128*4+256*4+1*2+20+40+40)*N9</f>
        <v>9112.6624680000004</v>
      </c>
      <c r="O87" s="8">
        <f>(128*4+256*4+1*2+40+40+40)*O9</f>
        <v>9223.8814323999995</v>
      </c>
      <c r="P87" s="8">
        <f>(128*4+256*4+1*2+80+40+40)*P9</f>
        <v>9446.4034241999998</v>
      </c>
      <c r="Q87" s="1" t="s">
        <v>5</v>
      </c>
      <c r="S87" s="1" t="s">
        <v>14</v>
      </c>
      <c r="T87" s="8">
        <f>(128*4+256*4+1*2+20+40+80)*T9</f>
        <v>9335.1830009999994</v>
      </c>
      <c r="U87" s="8">
        <f>(128*4+256*4+1*2+40+40+80)*U9</f>
        <v>9446.4007074000001</v>
      </c>
      <c r="V87" s="8">
        <f>(128*4+256*4+1*2+80+40+80)*V9</f>
        <v>9668.9222431999988</v>
      </c>
      <c r="W87" s="1" t="s">
        <v>5</v>
      </c>
    </row>
    <row r="88" spans="1:23" x14ac:dyDescent="0.3">
      <c r="A88" s="1" t="s">
        <v>20</v>
      </c>
      <c r="E88" s="1" t="s">
        <v>5</v>
      </c>
      <c r="G88" s="1" t="s">
        <v>20</v>
      </c>
      <c r="H88" s="8">
        <f>(256*4+128*4+2+20+40+20)*H10</f>
        <v>9001.5053967000003</v>
      </c>
      <c r="I88" s="8">
        <f>(256*4+128*4+2+40+40+20)*I10</f>
        <v>9112.7724596999997</v>
      </c>
      <c r="J88" s="8">
        <f>(256*4+128*4+2+80+40+20)*J10</f>
        <v>9335.3065857000001</v>
      </c>
      <c r="K88" s="1" t="s">
        <v>5</v>
      </c>
      <c r="M88" s="1" t="s">
        <v>20</v>
      </c>
      <c r="N88" s="8">
        <f>(256*4+128*4+2+20+40+40)*N10</f>
        <v>9112.7265957</v>
      </c>
      <c r="O88" s="8">
        <f>(256*4+128*4+2+40+40+40)*O10</f>
        <v>9223.9930986999989</v>
      </c>
      <c r="P88" s="8">
        <f>(256*4+128*4+2+80+40+40)*P10</f>
        <v>9446.5261047000004</v>
      </c>
      <c r="Q88" s="1" t="s">
        <v>5</v>
      </c>
      <c r="S88" s="1" t="s">
        <v>20</v>
      </c>
      <c r="T88" s="8">
        <f>(256*4+128*4+2+20+40+80)*T10</f>
        <v>9335.2503727000003</v>
      </c>
      <c r="U88" s="8">
        <f>(256*4+128*4+2+40+40+80)*U10</f>
        <v>9446.5167657000002</v>
      </c>
      <c r="V88" s="8">
        <f>(256*4+128*4+2+80+40+80)*V10</f>
        <v>9669.0495516999999</v>
      </c>
      <c r="W88" s="1" t="s">
        <v>5</v>
      </c>
    </row>
    <row r="89" spans="1:23" ht="14.5" thickBot="1" x14ac:dyDescent="0.35">
      <c r="A89" s="4" t="s">
        <v>15</v>
      </c>
      <c r="B89" s="2"/>
      <c r="C89" s="2"/>
      <c r="D89" s="2"/>
      <c r="E89" s="2" t="s">
        <v>5</v>
      </c>
      <c r="G89" s="4" t="s">
        <v>15</v>
      </c>
      <c r="H89" s="6">
        <f>(256*4+256*4+2+20+40+20)*H11</f>
        <v>11849.739326999999</v>
      </c>
      <c r="I89" s="6">
        <f>(256*4+256*4+2+40+40+20)*I11</f>
        <v>11961.004484999999</v>
      </c>
      <c r="J89" s="6">
        <f>(256*4+256*4+2+80+40+20)*J11</f>
        <v>12183.534801</v>
      </c>
      <c r="K89" s="2" t="s">
        <v>5</v>
      </c>
      <c r="M89" s="4" t="s">
        <v>15</v>
      </c>
      <c r="N89" s="6">
        <f>(256*4+256*4+2+20+40+40)*N11</f>
        <v>11960.993735</v>
      </c>
      <c r="O89" s="6">
        <f>(256*4+256*4+2+40+40+40)*O11</f>
        <v>12072.258793000001</v>
      </c>
      <c r="P89" s="6">
        <f>(256*4+256*4+2+80+40+40)*P11</f>
        <v>12294.788909000001</v>
      </c>
      <c r="Q89" s="2" t="s">
        <v>5</v>
      </c>
      <c r="S89" s="4" t="s">
        <v>15</v>
      </c>
      <c r="T89" s="6">
        <f>(256*4+256*4+2+20+40+80)*T11</f>
        <v>12183.509615999999</v>
      </c>
      <c r="U89" s="6">
        <f>(256*4+256*4+2+40+40+80)*U11</f>
        <v>12294.774544</v>
      </c>
      <c r="V89" s="6">
        <f>(256*4+256*4+2+80+40+80)*V11</f>
        <v>12517.304399999999</v>
      </c>
      <c r="W89" s="2" t="s">
        <v>5</v>
      </c>
    </row>
    <row r="90" spans="1:23" x14ac:dyDescent="0.3">
      <c r="A90" s="1" t="s">
        <v>16</v>
      </c>
      <c r="E90" t="s">
        <v>6</v>
      </c>
      <c r="G90" s="1" t="s">
        <v>16</v>
      </c>
      <c r="H90" s="8">
        <f>(64*4+256*4+1*2+20+80+20)*H12</f>
        <v>7802.2844302999993</v>
      </c>
      <c r="I90" s="8">
        <f>(64*4+256*4+1*2+40+80+20)*I12</f>
        <v>7911.6310988999994</v>
      </c>
      <c r="J90" s="8">
        <f>(64*4+256*4+1*2+80+80+20)*J12</f>
        <v>8133.5416759999998</v>
      </c>
      <c r="K90" t="s">
        <v>6</v>
      </c>
      <c r="M90" s="1" t="s">
        <v>16</v>
      </c>
      <c r="N90" s="8">
        <f>(64*4+256*4+1*2+20+80+40)*N12</f>
        <v>7913.5745463000003</v>
      </c>
      <c r="O90" s="8">
        <f>(64*4+256*4+1*2+40+80+40)*O12</f>
        <v>8022.8949829000003</v>
      </c>
      <c r="P90" s="8">
        <f>(64*4+256*4+1*2+80+80+40)*P12</f>
        <v>8244.7965210000002</v>
      </c>
      <c r="Q90" t="s">
        <v>6</v>
      </c>
      <c r="S90" s="1" t="s">
        <v>16</v>
      </c>
      <c r="T90" s="8">
        <f>(64*4+256*4+1*2+20+80+80)*T12</f>
        <v>8136.1705712999992</v>
      </c>
      <c r="U90" s="8">
        <f>(64*4+256*4+1*2+40+80+80)*U12</f>
        <v>8245.4359298999989</v>
      </c>
      <c r="V90" s="8">
        <f>(64*4+256*4+1*2+80+80+80)*V12</f>
        <v>8467.3197700000001</v>
      </c>
      <c r="W90" t="s">
        <v>6</v>
      </c>
    </row>
    <row r="91" spans="1:23" x14ac:dyDescent="0.3">
      <c r="A91" s="1" t="s">
        <v>14</v>
      </c>
      <c r="E91" t="s">
        <v>6</v>
      </c>
      <c r="G91" s="1" t="s">
        <v>14</v>
      </c>
      <c r="H91" s="8">
        <f>(128*4+256*4+1*2+20+80+20)*H13</f>
        <v>9223.9207270000006</v>
      </c>
      <c r="I91" s="8">
        <f>(128*4+256*4+1*2+40+80+20)*I13</f>
        <v>9335.1390374000002</v>
      </c>
      <c r="J91" s="8">
        <f>(128*4+256*4+1*2+80+80+20)*J13</f>
        <v>9557.6607511999991</v>
      </c>
      <c r="K91" t="s">
        <v>6</v>
      </c>
      <c r="M91" s="1" t="s">
        <v>14</v>
      </c>
      <c r="N91" s="8">
        <f>(128*4+256*4+1*2+20+80+40)*N13</f>
        <v>9335.1779669999996</v>
      </c>
      <c r="O91" s="8">
        <f>(128*4+256*4+1*2+40+80+40)*O13</f>
        <v>9446.3956134</v>
      </c>
      <c r="P91" s="8">
        <f>(128*4+256*4+1*2+80+80+40)*P13</f>
        <v>9668.9170291999999</v>
      </c>
      <c r="Q91" t="s">
        <v>6</v>
      </c>
      <c r="S91" s="1" t="s">
        <v>14</v>
      </c>
      <c r="T91" s="8">
        <f>(128*4+256*4+1*2+20+80+80)*T13</f>
        <v>9557.6995779999997</v>
      </c>
      <c r="U91" s="8">
        <f>(128*4+256*4+1*2+40+80+80)*U13</f>
        <v>9668.9159864000012</v>
      </c>
      <c r="V91" s="8">
        <f>(128*4+256*4+1*2+80+80+80)*V13</f>
        <v>9891.4369862000003</v>
      </c>
      <c r="W91" t="s">
        <v>6</v>
      </c>
    </row>
    <row r="92" spans="1:23" x14ac:dyDescent="0.3">
      <c r="A92" s="1" t="s">
        <v>20</v>
      </c>
      <c r="E92" t="s">
        <v>6</v>
      </c>
      <c r="G92" s="1" t="s">
        <v>20</v>
      </c>
      <c r="H92" s="8">
        <f>(256*4+128*4+2+20+80+20)*H14</f>
        <v>9224.0026322000012</v>
      </c>
      <c r="I92" s="8">
        <f>(256*4+128*4+2+40+80+20)*I14</f>
        <v>9335.2692502000009</v>
      </c>
      <c r="J92" s="8">
        <f>(256*4+128*4+2+80+80+20)*J14</f>
        <v>9557.8024862000002</v>
      </c>
      <c r="K92" t="s">
        <v>6</v>
      </c>
      <c r="M92" s="1" t="s">
        <v>20</v>
      </c>
      <c r="N92" s="8">
        <f>(256*4+128*4+2+20+80+40)*N14</f>
        <v>9335.2239442000009</v>
      </c>
      <c r="O92" s="8">
        <f>(256*4+128*4+2+40+80+40)*O14</f>
        <v>9446.4900221999997</v>
      </c>
      <c r="P92" s="8">
        <f>(256*4+128*4+2+80+80+40)*P14</f>
        <v>9669.0221782000008</v>
      </c>
      <c r="Q92" t="s">
        <v>6</v>
      </c>
      <c r="S92" s="1" t="s">
        <v>20</v>
      </c>
      <c r="T92" s="8">
        <f>(256*4+128*4+2+20+80+80)*T14</f>
        <v>9557.7509461999998</v>
      </c>
      <c r="U92" s="8">
        <f>(256*4+128*4+2+40+80+80)*U14</f>
        <v>9669.0169642000001</v>
      </c>
      <c r="V92" s="8">
        <f>(256*4+128*4+2+80+80+80)*V14</f>
        <v>9891.5490001999988</v>
      </c>
      <c r="W92" t="s">
        <v>6</v>
      </c>
    </row>
    <row r="93" spans="1:23" ht="14.5" thickBot="1" x14ac:dyDescent="0.35">
      <c r="A93" s="4" t="s">
        <v>15</v>
      </c>
      <c r="B93" s="2"/>
      <c r="C93" s="2"/>
      <c r="D93" s="2"/>
      <c r="E93" s="2" t="s">
        <v>6</v>
      </c>
      <c r="G93" s="4" t="s">
        <v>15</v>
      </c>
      <c r="H93" s="6">
        <f>(256*4+256*4+2+20+80+20)*H15</f>
        <v>12072.249028</v>
      </c>
      <c r="I93" s="6">
        <f>(256*4+256*4+2+40+80+20)*I15</f>
        <v>12183.513996</v>
      </c>
      <c r="J93" s="6">
        <f>(256*4+256*4+2+80+80+20)*J15</f>
        <v>12406.043932</v>
      </c>
      <c r="K93" s="2" t="s">
        <v>6</v>
      </c>
      <c r="M93" s="4" t="s">
        <v>15</v>
      </c>
      <c r="N93" s="6">
        <f>(256*4+256*4+2+20+80+40)*N15</f>
        <v>12183.503046</v>
      </c>
      <c r="O93" s="6">
        <f>(256*4+256*4+2+40+80+40)*O15</f>
        <v>12294.767914</v>
      </c>
      <c r="P93" s="6">
        <f>(256*4+256*4+2+80+80+40)*P15</f>
        <v>12517.29765</v>
      </c>
      <c r="Q93" s="2" t="s">
        <v>6</v>
      </c>
      <c r="S93" s="4" t="s">
        <v>15</v>
      </c>
      <c r="T93" s="6">
        <f>(256*4+256*4+2+20+80+80)*T15</f>
        <v>12406.020516999999</v>
      </c>
      <c r="U93" s="6">
        <f>(256*4+256*4+2+40+80+80)*U15</f>
        <v>12517.285275</v>
      </c>
      <c r="V93" s="6">
        <f>(256*4+256*4+2+80+80+80)*V15</f>
        <v>12739.814790999999</v>
      </c>
      <c r="W93" s="2" t="s">
        <v>6</v>
      </c>
    </row>
    <row r="96" spans="1:23" ht="14" customHeight="1" x14ac:dyDescent="0.3">
      <c r="A96" s="21" t="s">
        <v>8</v>
      </c>
      <c r="B96" s="23" t="s">
        <v>9</v>
      </c>
      <c r="C96" s="23" t="s">
        <v>17</v>
      </c>
      <c r="G96" s="21" t="s">
        <v>8</v>
      </c>
      <c r="H96" s="23" t="s">
        <v>10</v>
      </c>
      <c r="I96" s="23" t="s">
        <v>17</v>
      </c>
      <c r="M96" s="21" t="s">
        <v>8</v>
      </c>
      <c r="N96" s="23" t="s">
        <v>11</v>
      </c>
      <c r="O96" s="23" t="s">
        <v>17</v>
      </c>
      <c r="S96" s="21" t="s">
        <v>8</v>
      </c>
      <c r="T96" s="23" t="s">
        <v>12</v>
      </c>
      <c r="U96" s="23" t="s">
        <v>17</v>
      </c>
    </row>
    <row r="97" spans="1:23" x14ac:dyDescent="0.3">
      <c r="A97" s="22"/>
      <c r="B97" s="23"/>
      <c r="C97" s="23"/>
      <c r="G97" s="22"/>
      <c r="H97" s="23"/>
      <c r="I97" s="23"/>
      <c r="M97" s="22"/>
      <c r="N97" s="23"/>
      <c r="O97" s="23"/>
      <c r="S97" s="22"/>
      <c r="T97" s="23"/>
      <c r="U97" s="23"/>
    </row>
    <row r="98" spans="1:23" ht="14.5" thickBot="1" x14ac:dyDescent="0.35">
      <c r="B98" s="2" t="s">
        <v>1</v>
      </c>
      <c r="C98" s="2" t="s">
        <v>2</v>
      </c>
      <c r="D98" s="2" t="s">
        <v>3</v>
      </c>
      <c r="H98" s="2" t="s">
        <v>1</v>
      </c>
      <c r="I98" s="2" t="s">
        <v>2</v>
      </c>
      <c r="J98" s="2" t="s">
        <v>3</v>
      </c>
      <c r="N98" s="2" t="s">
        <v>1</v>
      </c>
      <c r="O98" s="2" t="s">
        <v>2</v>
      </c>
      <c r="P98" s="2" t="s">
        <v>3</v>
      </c>
      <c r="T98" s="2" t="s">
        <v>1</v>
      </c>
      <c r="U98" s="2" t="s">
        <v>2</v>
      </c>
      <c r="V98" s="2" t="s">
        <v>3</v>
      </c>
    </row>
    <row r="99" spans="1:23" x14ac:dyDescent="0.3">
      <c r="A99" s="1" t="s">
        <v>16</v>
      </c>
      <c r="E99" s="1" t="s">
        <v>4</v>
      </c>
      <c r="G99" s="1" t="s">
        <v>16</v>
      </c>
      <c r="H99" s="8">
        <f>(64*4+256*4+1*2+20+20+20)*H21</f>
        <v>4408.2611176999999</v>
      </c>
      <c r="I99" s="8">
        <f>(64*4+256*4+1*2+40+20+20)*I21</f>
        <v>4472.5920549000002</v>
      </c>
      <c r="J99" s="8">
        <f>(64*4+256*4+1*2+80+20+20)*J21</f>
        <v>4603.2821463</v>
      </c>
      <c r="K99" s="1" t="s">
        <v>4</v>
      </c>
      <c r="M99" s="1" t="s">
        <v>16</v>
      </c>
      <c r="N99" s="8">
        <f>(64*4+256*4+1*2+20+20+40)*N21</f>
        <v>4473.8715177000004</v>
      </c>
      <c r="O99" s="8">
        <f>(64*4+256*4+1*2+40+20+40)*O21</f>
        <v>4538.1755989000003</v>
      </c>
      <c r="P99" s="8">
        <f>(64*4+256*4+1*2+80+20+40)*P21</f>
        <v>4668.8556572999996</v>
      </c>
      <c r="Q99" s="1" t="s">
        <v>4</v>
      </c>
      <c r="S99" s="1" t="s">
        <v>16</v>
      </c>
      <c r="T99" s="8">
        <f>(64*4+256*4+1*2+20+20+80)*T21</f>
        <v>4605.2312067000003</v>
      </c>
      <c r="U99" s="8">
        <f>(64*4+256*4+1*2+40+20+80)*U21</f>
        <v>4669.4995389000005</v>
      </c>
      <c r="V99" s="8">
        <f>(64*4+256*4+1*2+80+20+80)*V21</f>
        <v>4800.1606963000004</v>
      </c>
      <c r="W99" s="1" t="s">
        <v>4</v>
      </c>
    </row>
    <row r="100" spans="1:23" x14ac:dyDescent="0.3">
      <c r="A100" s="1" t="s">
        <v>14</v>
      </c>
      <c r="E100" s="1" t="s">
        <v>4</v>
      </c>
      <c r="G100" s="1" t="s">
        <v>14</v>
      </c>
      <c r="H100" s="8">
        <f>(128*4+256*4+1*2+20+20+20)*H22</f>
        <v>5246.7198718999998</v>
      </c>
      <c r="I100" s="8">
        <f>(128*4+256*4+1*2+40+20+20)*I22</f>
        <v>5312.3425096000001</v>
      </c>
      <c r="J100" s="8">
        <f>(128*4+256*4+1*2+80+20+20)*J22</f>
        <v>5443.6666340000002</v>
      </c>
      <c r="K100" s="1" t="s">
        <v>4</v>
      </c>
      <c r="M100" s="1" t="s">
        <v>14</v>
      </c>
      <c r="N100" s="8">
        <f>(128*4+256*4+1*2+20+20+40)*N22</f>
        <v>5312.2945358999996</v>
      </c>
      <c r="O100" s="8">
        <f>(128*4+256*4+1*2+40+20+40)*O22</f>
        <v>5377.9163256000002</v>
      </c>
      <c r="P100" s="8">
        <f>(128*4+256*4+1*2+80+20+40)*P22</f>
        <v>5509.2372869999999</v>
      </c>
      <c r="Q100" s="1" t="s">
        <v>4</v>
      </c>
      <c r="S100" s="1" t="s">
        <v>14</v>
      </c>
      <c r="T100" s="8">
        <f>(128*4+256*4+1*2+20+20+80)*T22</f>
        <v>5443.5979098999996</v>
      </c>
      <c r="U100" s="8">
        <f>(128*4+256*4+1*2+40+20+80)*U22</f>
        <v>5509.2174866000005</v>
      </c>
      <c r="V100" s="8">
        <f>(128*4+256*4+1*2+80+20+80)*V22</f>
        <v>5640.5375999999997</v>
      </c>
      <c r="W100" s="1" t="s">
        <v>4</v>
      </c>
    </row>
    <row r="101" spans="1:23" x14ac:dyDescent="0.3">
      <c r="A101" s="1" t="s">
        <v>20</v>
      </c>
      <c r="E101" s="1" t="s">
        <v>4</v>
      </c>
      <c r="G101" s="1" t="s">
        <v>20</v>
      </c>
      <c r="H101" s="8">
        <f>(256*4+128*4+2+20+20+20)*H23</f>
        <v>5247.0290050000003</v>
      </c>
      <c r="I101" s="8">
        <f>(256*4+128*4+2+40+20+20)*I23</f>
        <v>5312.6980651000003</v>
      </c>
      <c r="J101" s="8">
        <f>(256*4+128*4+2+80+20+20)*J23</f>
        <v>5444.0379431000001</v>
      </c>
      <c r="K101" s="1" t="s">
        <v>4</v>
      </c>
      <c r="M101" s="1" t="s">
        <v>20</v>
      </c>
      <c r="N101" s="8">
        <f>(256*4+128*4+2+20+20+40)*N23</f>
        <v>5312.5800319999998</v>
      </c>
      <c r="O101" s="8">
        <f>(256*4+128*4+2+40+20+40)*O23</f>
        <v>5378.2476110999996</v>
      </c>
      <c r="P101" s="8">
        <f>(256*4+128*4+2+80+20+40)*P23</f>
        <v>5509.5845491</v>
      </c>
      <c r="Q101" s="1" t="s">
        <v>4</v>
      </c>
      <c r="S101" s="1" t="s">
        <v>20</v>
      </c>
      <c r="T101" s="8">
        <f>(256*4+128*4+2+20+20+80)*T23</f>
        <v>5443.8937800000003</v>
      </c>
      <c r="U101" s="8">
        <f>(256*4+128*4+2+40+20+80)*U23</f>
        <v>5509.5610571000007</v>
      </c>
      <c r="V101" s="8">
        <f>(256*4+128*4+2+80+20+80)*V23</f>
        <v>5640.8974351000006</v>
      </c>
      <c r="W101" s="1" t="s">
        <v>4</v>
      </c>
    </row>
    <row r="102" spans="1:23" ht="14.5" thickBot="1" x14ac:dyDescent="0.35">
      <c r="A102" s="4" t="s">
        <v>15</v>
      </c>
      <c r="B102" s="2"/>
      <c r="C102" s="2"/>
      <c r="D102" s="2"/>
      <c r="E102" s="2" t="s">
        <v>4</v>
      </c>
      <c r="G102" s="4" t="s">
        <v>15</v>
      </c>
      <c r="H102" s="6">
        <f>(256*4+256*4+2+20+20+20)*H24</f>
        <v>6927.7061354999996</v>
      </c>
      <c r="I102" s="6">
        <f>(256*4+256*4+2+40+20+20)*I24</f>
        <v>6993.3704249999992</v>
      </c>
      <c r="J102" s="6">
        <f>(256*4+256*4+2+80+20+20)*J24</f>
        <v>7124.701325</v>
      </c>
      <c r="K102" s="2" t="s">
        <v>4</v>
      </c>
      <c r="M102" s="4" t="s">
        <v>15</v>
      </c>
      <c r="N102" s="6">
        <f>(256*4+256*4+2+20+20+40)*N24</f>
        <v>6993.2523165000002</v>
      </c>
      <c r="O102" s="6">
        <f>(256*4+256*4+2+40+20+40)*O24</f>
        <v>7058.9154749999998</v>
      </c>
      <c r="P102" s="6">
        <f>(256*4+256*4+2+80+20+40)*P24</f>
        <v>7190.2441349999999</v>
      </c>
      <c r="Q102" s="2" t="s">
        <v>4</v>
      </c>
      <c r="S102" s="4" t="s">
        <v>15</v>
      </c>
      <c r="T102" s="6">
        <f>(256*4+256*4+2+20+20+80)*T24</f>
        <v>7124.5451935000001</v>
      </c>
      <c r="U102" s="6">
        <f>(256*4+256*4+2+40+20+80)*U24</f>
        <v>7190.2079999999996</v>
      </c>
      <c r="V102" s="6">
        <f>(256*4+256*4+2+80+20+80)*V24</f>
        <v>7321.5360000000001</v>
      </c>
      <c r="W102" s="2" t="s">
        <v>4</v>
      </c>
    </row>
    <row r="103" spans="1:23" x14ac:dyDescent="0.3">
      <c r="A103" s="1" t="s">
        <v>16</v>
      </c>
      <c r="E103" s="1" t="s">
        <v>5</v>
      </c>
      <c r="G103" s="1" t="s">
        <v>16</v>
      </c>
      <c r="H103" s="8">
        <f>(64*4+256*4+1*2+20+40+20)*H25</f>
        <v>4473.8845247999998</v>
      </c>
      <c r="I103" s="8">
        <f>(64*4+256*4+1*2+40+40+20)*I25</f>
        <v>4538.192943</v>
      </c>
      <c r="J103" s="8">
        <f>(64*4+256*4+1*2+80+40+20)*J25</f>
        <v>4668.8713704000002</v>
      </c>
      <c r="K103" s="1" t="s">
        <v>5</v>
      </c>
      <c r="M103" s="1" t="s">
        <v>16</v>
      </c>
      <c r="N103" s="8">
        <f>(64*4+256*4+1*2+20+40+40)*N25</f>
        <v>4539.5188337999998</v>
      </c>
      <c r="O103" s="8">
        <f>(64*4+256*4+1*2+40+40+40)*O25</f>
        <v>4603.8055830000003</v>
      </c>
      <c r="P103" s="8">
        <f>(64*4+256*4+1*2+80+40+40)*P25</f>
        <v>4734.4770704000002</v>
      </c>
      <c r="Q103" s="1" t="s">
        <v>5</v>
      </c>
      <c r="S103" s="1" t="s">
        <v>16</v>
      </c>
      <c r="T103" s="8">
        <f>(64*4+256*4+1*2+20+40+80)*T25</f>
        <v>4670.8873397999996</v>
      </c>
      <c r="U103" s="8">
        <f>(64*4+256*4+1*2+40+40+80)*U25</f>
        <v>4735.1350549999997</v>
      </c>
      <c r="V103" s="8">
        <f>(64*4+256*4+1*2+80+40+80)*V25</f>
        <v>4865.7849474000004</v>
      </c>
      <c r="W103" s="1" t="s">
        <v>5</v>
      </c>
    </row>
    <row r="104" spans="1:23" x14ac:dyDescent="0.3">
      <c r="A104" s="1" t="s">
        <v>14</v>
      </c>
      <c r="E104" s="1" t="s">
        <v>5</v>
      </c>
      <c r="G104" s="1" t="s">
        <v>14</v>
      </c>
      <c r="H104" s="8">
        <f>(128*4+256*4+1*2+20+40+20)*H26</f>
        <v>5312.3018978</v>
      </c>
      <c r="I104" s="8">
        <f>(128*4+256*4+1*2+40+40+20)*I26</f>
        <v>5377.9229594999997</v>
      </c>
      <c r="J104" s="8">
        <f>(128*4+256*4+1*2+80+40+20)*J26</f>
        <v>5509.2440828999997</v>
      </c>
      <c r="K104" s="1" t="s">
        <v>5</v>
      </c>
      <c r="M104" s="1" t="s">
        <v>14</v>
      </c>
      <c r="N104" s="8">
        <f>(128*4+256*4+1*2+20+40+40)*N26</f>
        <v>5377.9055147999998</v>
      </c>
      <c r="O104" s="8">
        <f>(128*4+256*4+1*2+40+40+40)*O26</f>
        <v>5443.5269474999996</v>
      </c>
      <c r="P104" s="8">
        <f>(128*4+256*4+1*2+80+40+40)*P26</f>
        <v>5574.8465169000001</v>
      </c>
      <c r="Q104" s="1" t="s">
        <v>5</v>
      </c>
      <c r="S104" s="1" t="s">
        <v>14</v>
      </c>
      <c r="T104" s="8">
        <f>(128*4+256*4+1*2+20+40+80)*T26</f>
        <v>5509.2148017999998</v>
      </c>
      <c r="U104" s="8">
        <f>(128*4+256*4+1*2+40+40+80)*U26</f>
        <v>5574.8324235</v>
      </c>
      <c r="V104" s="8">
        <f>(128*4+256*4+1*2+80+40+80)*V26</f>
        <v>5706.1512849000001</v>
      </c>
      <c r="W104" s="1" t="s">
        <v>5</v>
      </c>
    </row>
    <row r="105" spans="1:23" x14ac:dyDescent="0.3">
      <c r="A105" s="1" t="s">
        <v>20</v>
      </c>
      <c r="E105" s="1" t="s">
        <v>5</v>
      </c>
      <c r="G105" s="1" t="s">
        <v>20</v>
      </c>
      <c r="H105" s="8">
        <f>(256*4+128*4+2+20+40+20)*H27</f>
        <v>5312.4427447000007</v>
      </c>
      <c r="I105" s="8">
        <f>(256*4+128*4+2+40+40+20)*I27</f>
        <v>5378.1086267999999</v>
      </c>
      <c r="J105" s="8">
        <f>(256*4+128*4+2+80+40+20)*J27</f>
        <v>5509.4421708</v>
      </c>
      <c r="K105" s="1" t="s">
        <v>5</v>
      </c>
      <c r="M105" s="1" t="s">
        <v>20</v>
      </c>
      <c r="N105" s="8">
        <f>(256*4+128*4+2+20+40+40)*N27</f>
        <v>5378.0046957000004</v>
      </c>
      <c r="O105" s="8">
        <f>(256*4+128*4+2+40+40+40)*O27</f>
        <v>5443.6692868</v>
      </c>
      <c r="P105" s="8">
        <f>(256*4+128*4+2+80+40+40)*P27</f>
        <v>5575.0002708000002</v>
      </c>
      <c r="Q105" s="1" t="s">
        <v>5</v>
      </c>
      <c r="S105" s="1" t="s">
        <v>20</v>
      </c>
      <c r="T105" s="8">
        <f>(256*4+128*4+2+20+40+80)*T27</f>
        <v>5509.3096927000006</v>
      </c>
      <c r="U105" s="8">
        <f>(256*4+128*4+2+40+40+80)*U27</f>
        <v>5574.9739517999997</v>
      </c>
      <c r="V105" s="8">
        <f>(256*4+128*4+2+80+40+80)*V27</f>
        <v>5706.3043158</v>
      </c>
      <c r="W105" s="1" t="s">
        <v>5</v>
      </c>
    </row>
    <row r="106" spans="1:23" ht="14.5" thickBot="1" x14ac:dyDescent="0.35">
      <c r="A106" s="4" t="s">
        <v>15</v>
      </c>
      <c r="B106" s="2"/>
      <c r="C106" s="2"/>
      <c r="D106" s="2"/>
      <c r="E106" s="2" t="s">
        <v>5</v>
      </c>
      <c r="G106" s="4" t="s">
        <v>15</v>
      </c>
      <c r="H106" s="6">
        <f>(256*4+256*4+2+20+40+20)*H28</f>
        <v>6993.2609430000002</v>
      </c>
      <c r="I106" s="6">
        <f>(256*4+256*4+2+40+40+20)*I28</f>
        <v>7058.9241824999999</v>
      </c>
      <c r="J106" s="6">
        <f>(256*4+256*4+2+80+40+20)*J28</f>
        <v>7190.2530044999994</v>
      </c>
      <c r="K106" s="2" t="s">
        <v>5</v>
      </c>
      <c r="M106" s="4" t="s">
        <v>15</v>
      </c>
      <c r="N106" s="6">
        <f>(256*4+256*4+2+20+40+40)*N28</f>
        <v>7058.8468899999998</v>
      </c>
      <c r="O106" s="6">
        <f>(256*4+256*4+2+40+40+40)*O28</f>
        <v>7124.5093884999997</v>
      </c>
      <c r="P106" s="6">
        <f>(256*4+256*4+2+80+40+40)*P28</f>
        <v>7255.8367504999997</v>
      </c>
      <c r="Q106" s="2" t="s">
        <v>5</v>
      </c>
      <c r="S106" s="4" t="s">
        <v>15</v>
      </c>
      <c r="T106" s="6">
        <f>(256*4+256*4+2+20+40+80)*T28</f>
        <v>7190.1458040000007</v>
      </c>
      <c r="U106" s="6">
        <f>(256*4+256*4+2+40+40+80)*U28</f>
        <v>7255.8080204999997</v>
      </c>
      <c r="V106" s="6">
        <f>(256*4+256*4+2+80+40+80)*V28</f>
        <v>7387.1348625000001</v>
      </c>
      <c r="W106" s="2" t="s">
        <v>5</v>
      </c>
    </row>
    <row r="107" spans="1:23" x14ac:dyDescent="0.3">
      <c r="A107" s="1" t="s">
        <v>16</v>
      </c>
      <c r="E107" t="s">
        <v>6</v>
      </c>
      <c r="G107" s="1" t="s">
        <v>16</v>
      </c>
      <c r="H107" s="8">
        <f>(64*4+256*4+1*2+20+80+20)*H29</f>
        <v>4605.2472595999998</v>
      </c>
      <c r="I107" s="8">
        <f>(64*4+256*4+1*2+40+80+20)*I29</f>
        <v>4669.5172427999996</v>
      </c>
      <c r="J107" s="8">
        <f>(64*4+256*4+1*2+80+80+20)*J29</f>
        <v>4800.1759742000004</v>
      </c>
      <c r="K107" t="s">
        <v>6</v>
      </c>
      <c r="M107" s="1" t="s">
        <v>16</v>
      </c>
      <c r="N107" s="8">
        <f>(64*4+256*4+1*2+20+80+40)*N29</f>
        <v>4670.8957295999999</v>
      </c>
      <c r="O107" s="8">
        <f>(64*4+256*4+1*2+40+80+40)*O29</f>
        <v>4735.1428417999996</v>
      </c>
      <c r="P107" s="8">
        <f>(64*4+256*4+1*2+80+80+40)*P29</f>
        <v>4865.7922091999999</v>
      </c>
      <c r="Q107" t="s">
        <v>6</v>
      </c>
      <c r="S107" s="1" t="s">
        <v>16</v>
      </c>
      <c r="T107" s="8">
        <f>(64*4+256*4+1*2+20+80+80)*T29</f>
        <v>4802.2647336</v>
      </c>
      <c r="U107" s="8">
        <f>(64*4+256*4+1*2+40+80+80)*U29</f>
        <v>4866.4728918000001</v>
      </c>
      <c r="V107" s="8">
        <f>(64*4+256*4+1*2+80+80+80)*V29</f>
        <v>4997.1036082000001</v>
      </c>
      <c r="W107" t="s">
        <v>6</v>
      </c>
    </row>
    <row r="108" spans="1:23" x14ac:dyDescent="0.3">
      <c r="A108" s="1" t="s">
        <v>14</v>
      </c>
      <c r="E108" t="s">
        <v>6</v>
      </c>
      <c r="G108" s="1" t="s">
        <v>14</v>
      </c>
      <c r="H108" s="8">
        <f>(128*4+256*4+1*2+20+80+20)*H30</f>
        <v>5443.5994849999997</v>
      </c>
      <c r="I108" s="8">
        <f>(128*4+256*4+1*2+40+80+20)*I30</f>
        <v>5509.2199197</v>
      </c>
      <c r="J108" s="8">
        <f>(128*4+256*4+1*2+80+80+20)*J30</f>
        <v>5640.5400910999997</v>
      </c>
      <c r="K108" t="s">
        <v>6</v>
      </c>
      <c r="M108" s="1" t="s">
        <v>14</v>
      </c>
      <c r="N108" s="8">
        <f>(128*4+256*4+1*2+20+80+40)*N30</f>
        <v>5509.2171509999998</v>
      </c>
      <c r="O108" s="8">
        <f>(128*4+256*4+1*2+40+80+40)*O30</f>
        <v>5574.8373476999996</v>
      </c>
      <c r="P108" s="8">
        <f>(128*4+256*4+1*2+80+80+40)*P30</f>
        <v>5706.1563250999998</v>
      </c>
      <c r="Q108" t="s">
        <v>6</v>
      </c>
      <c r="S108" s="1" t="s">
        <v>14</v>
      </c>
      <c r="T108" s="8">
        <f>(128*4+256*4+1*2+20+80+80)*T30</f>
        <v>5640.529869</v>
      </c>
      <c r="U108" s="8">
        <f>(128*4+256*4+1*2+40+80+80)*U30</f>
        <v>5706.1479827000003</v>
      </c>
      <c r="V108" s="8">
        <f>(128*4+256*4+1*2+80+80+80)*V30</f>
        <v>5837.4663921000001</v>
      </c>
      <c r="W108" t="s">
        <v>6</v>
      </c>
    </row>
    <row r="109" spans="1:23" x14ac:dyDescent="0.3">
      <c r="A109" s="1" t="s">
        <v>20</v>
      </c>
      <c r="E109" t="s">
        <v>6</v>
      </c>
      <c r="G109" s="1" t="s">
        <v>20</v>
      </c>
      <c r="H109" s="8">
        <f>(256*4+128*4+2+20+80+20)*H31</f>
        <v>5443.7142186000001</v>
      </c>
      <c r="I109" s="8">
        <f>(256*4+128*4+2+40+80+20)*I31</f>
        <v>5509.3793296999993</v>
      </c>
      <c r="J109" s="8">
        <f>(256*4+128*4+2+80+80+20)*J31</f>
        <v>5640.7113756999997</v>
      </c>
      <c r="K109" t="s">
        <v>6</v>
      </c>
      <c r="M109" s="1" t="s">
        <v>20</v>
      </c>
      <c r="N109" s="8">
        <f>(256*4+128*4+2+20+80+40)*N31</f>
        <v>5509.2829285999997</v>
      </c>
      <c r="O109" s="8">
        <f>(256*4+128*4+2+40+80+40)*O31</f>
        <v>5574.9468686999999</v>
      </c>
      <c r="P109" s="8">
        <f>(256*4+128*4+2+80+80+40)*P31</f>
        <v>5706.2765946999998</v>
      </c>
      <c r="Q109" t="s">
        <v>6</v>
      </c>
      <c r="S109" s="1" t="s">
        <v>20</v>
      </c>
      <c r="T109" s="8">
        <f>(256*4+128*4+2+20+80+80)*T31</f>
        <v>5640.5972145999995</v>
      </c>
      <c r="U109" s="8">
        <f>(256*4+128*4+2+40+80+80)*U31</f>
        <v>5706.2609527000004</v>
      </c>
      <c r="V109" s="8">
        <f>(256*4+128*4+2+80+80+80)*V31</f>
        <v>5837.5903187000004</v>
      </c>
      <c r="W109" t="s">
        <v>6</v>
      </c>
    </row>
    <row r="110" spans="1:23" ht="14.5" thickBot="1" x14ac:dyDescent="0.35">
      <c r="A110" s="4" t="s">
        <v>15</v>
      </c>
      <c r="B110" s="2"/>
      <c r="C110" s="2"/>
      <c r="D110" s="2"/>
      <c r="E110" s="2" t="s">
        <v>6</v>
      </c>
      <c r="G110" s="4" t="s">
        <v>15</v>
      </c>
      <c r="H110" s="6">
        <f>(256*4+256*4+2+20+80+20)*H32</f>
        <v>7124.5483400000003</v>
      </c>
      <c r="I110" s="6">
        <f>(256*4+256*4+2+40+80+20)*I32</f>
        <v>7190.2111754999996</v>
      </c>
      <c r="J110" s="6">
        <f>(256*4+256*4+2+80+80+20)*J32</f>
        <v>7321.5392334999997</v>
      </c>
      <c r="K110" s="2" t="s">
        <v>6</v>
      </c>
      <c r="M110" s="4" t="s">
        <v>15</v>
      </c>
      <c r="N110" s="6">
        <f>(256*4+256*4+2+20+80+40)*N32</f>
        <v>7190.1521549999998</v>
      </c>
      <c r="O110" s="6">
        <f>(256*4+256*4+2+40+80+40)*O32</f>
        <v>7255.8144295000002</v>
      </c>
      <c r="P110" s="6">
        <f>(256*4+256*4+2+80+80+40)*P32</f>
        <v>7387.1413874999998</v>
      </c>
      <c r="Q110" s="2" t="s">
        <v>6</v>
      </c>
      <c r="S110" s="4" t="s">
        <v>15</v>
      </c>
      <c r="T110" s="6">
        <f>(256*4+256*4+2+20+80+80)*T32</f>
        <v>7321.45795</v>
      </c>
      <c r="U110" s="6">
        <f>(256*4+256*4+2+40+80+80)*U32</f>
        <v>7387.1200125000005</v>
      </c>
      <c r="V110" s="6">
        <f>(256*4+256*4+2+80+80+80)*V32</f>
        <v>7518.4465905000006</v>
      </c>
      <c r="W110" s="2" t="s">
        <v>6</v>
      </c>
    </row>
    <row r="115" spans="7:23" x14ac:dyDescent="0.3">
      <c r="G115" s="21" t="s">
        <v>7</v>
      </c>
      <c r="H115" s="23" t="s">
        <v>10</v>
      </c>
      <c r="I115" s="23" t="s">
        <v>18</v>
      </c>
      <c r="M115" s="21" t="s">
        <v>7</v>
      </c>
      <c r="N115" s="23" t="s">
        <v>11</v>
      </c>
      <c r="O115" s="23" t="s">
        <v>18</v>
      </c>
      <c r="S115" s="21" t="s">
        <v>7</v>
      </c>
      <c r="T115" s="23" t="s">
        <v>12</v>
      </c>
      <c r="U115" s="23" t="s">
        <v>18</v>
      </c>
    </row>
    <row r="116" spans="7:23" x14ac:dyDescent="0.3">
      <c r="G116" s="22"/>
      <c r="H116" s="23"/>
      <c r="I116" s="23"/>
      <c r="M116" s="22"/>
      <c r="N116" s="23"/>
      <c r="O116" s="23"/>
      <c r="S116" s="22"/>
      <c r="T116" s="23"/>
      <c r="U116" s="23"/>
    </row>
    <row r="117" spans="7:23" ht="14.5" thickBot="1" x14ac:dyDescent="0.35">
      <c r="H117" s="2" t="s">
        <v>1</v>
      </c>
      <c r="I117" s="2" t="s">
        <v>2</v>
      </c>
      <c r="J117" s="2" t="s">
        <v>3</v>
      </c>
      <c r="N117" s="2" t="s">
        <v>1</v>
      </c>
      <c r="O117" s="2" t="s">
        <v>2</v>
      </c>
      <c r="P117" s="2" t="s">
        <v>3</v>
      </c>
      <c r="T117" s="2" t="s">
        <v>1</v>
      </c>
      <c r="U117" s="2" t="s">
        <v>2</v>
      </c>
      <c r="V117" s="2" t="s">
        <v>3</v>
      </c>
    </row>
    <row r="118" spans="7:23" x14ac:dyDescent="0.3">
      <c r="G118" s="1" t="s">
        <v>16</v>
      </c>
      <c r="H118" s="8">
        <f>(64*4+256*4+8+20+20+20)*H40</f>
        <v>7501.6578113999994</v>
      </c>
      <c r="I118" s="8">
        <f>(64*4+256*4+8+40+20+20)*I40</f>
        <v>7611.0791508000002</v>
      </c>
      <c r="J118" s="8">
        <f>(64*4+256*4+8+80+20+20)*J40</f>
        <v>7833.0072831999996</v>
      </c>
      <c r="K118" s="1" t="s">
        <v>4</v>
      </c>
      <c r="M118" s="1" t="s">
        <v>16</v>
      </c>
      <c r="N118" s="8">
        <f>(64*4+256*4+8+20+20+40)*N40</f>
        <v>7612.9522164</v>
      </c>
      <c r="O118" s="8">
        <f>(64*4+256*4+8+40+20+40)*O40</f>
        <v>7722.3452978000005</v>
      </c>
      <c r="P118" s="8">
        <f>(64*4+256*4+8+80+20+40)*P40</f>
        <v>7944.2665932</v>
      </c>
      <c r="Q118" s="1" t="s">
        <v>4</v>
      </c>
      <c r="S118" s="1" t="s">
        <v>16</v>
      </c>
      <c r="T118" s="8">
        <f>(64*4+256*4+8+20+20+80)*T40</f>
        <v>7835.5601984000004</v>
      </c>
      <c r="U118" s="8">
        <f>(64*4+256*4+8+40+20+80)*U40</f>
        <v>7944.8984117999998</v>
      </c>
      <c r="V118" s="8">
        <f>(64*4+256*4+8+80+20+80)*V40</f>
        <v>8166.8031431999998</v>
      </c>
      <c r="W118" s="1" t="s">
        <v>4</v>
      </c>
    </row>
    <row r="119" spans="7:23" x14ac:dyDescent="0.3">
      <c r="G119" s="1" t="s">
        <v>14</v>
      </c>
      <c r="H119" s="8">
        <f>(128*4+256*4+8+20+20+20)*H41</f>
        <v>8923.3758476000003</v>
      </c>
      <c r="I119" s="8">
        <f>(128*4+256*4+8+40+20+20)*I41</f>
        <v>9034.5924648</v>
      </c>
      <c r="J119" s="8">
        <f>(128*4+256*4+8+80+20+20)*J41</f>
        <v>9257.1112192000001</v>
      </c>
      <c r="K119" s="1" t="s">
        <v>4</v>
      </c>
      <c r="M119" s="1" t="s">
        <v>14</v>
      </c>
      <c r="N119" s="8">
        <f>(128*4+256*4+8+20+20+40)*N41</f>
        <v>9034.6325775999994</v>
      </c>
      <c r="O119" s="8">
        <f>(128*4+256*4+8+40+20+40)*O41</f>
        <v>9145.8493428000002</v>
      </c>
      <c r="P119" s="8">
        <f>(128*4+256*4+8+80+20+40)*P41</f>
        <v>9368.3669972000007</v>
      </c>
      <c r="Q119" s="1" t="s">
        <v>4</v>
      </c>
      <c r="S119" s="1" t="s">
        <v>14</v>
      </c>
      <c r="T119" s="8">
        <f>(128*4+256*4+8+20+20+80)*T41</f>
        <v>9257.1696255999996</v>
      </c>
      <c r="U119" s="8">
        <f>(128*4+256*4+8+40+20+80)*U41</f>
        <v>9368.3861948000012</v>
      </c>
      <c r="V119" s="8">
        <f>(128*4+256*4+8+80+20+80)*V41</f>
        <v>9590.9021491999993</v>
      </c>
      <c r="W119" s="1" t="s">
        <v>4</v>
      </c>
    </row>
    <row r="120" spans="7:23" x14ac:dyDescent="0.3">
      <c r="G120" s="1" t="s">
        <v>20</v>
      </c>
      <c r="H120" s="8">
        <f>(256*4+128*4+8+20+20+20)*H42</f>
        <v>8923.5116261999992</v>
      </c>
      <c r="I120" s="8">
        <f>(256*4+128*4+8+40+20+20)*I42</f>
        <v>9034.7773572000006</v>
      </c>
      <c r="J120" s="8">
        <f>(256*4+128*4+8+80+20+20)*J42</f>
        <v>9257.3088191999996</v>
      </c>
      <c r="K120" s="1" t="s">
        <v>4</v>
      </c>
      <c r="M120" s="1" t="s">
        <v>20</v>
      </c>
      <c r="N120" s="8">
        <f>(256*4+128*4+8+20+20+40)*N42</f>
        <v>9034.7708612000006</v>
      </c>
      <c r="O120" s="8">
        <f>(256*4+128*4+8+40+20+40)*O42</f>
        <v>9146.0365122000003</v>
      </c>
      <c r="P120" s="8">
        <f>(256*4+128*4+8+80+20+40)*P42</f>
        <v>9368.5678141999997</v>
      </c>
      <c r="Q120" s="1" t="s">
        <v>4</v>
      </c>
      <c r="S120" s="1" t="s">
        <v>20</v>
      </c>
      <c r="T120" s="8">
        <f>(256*4+128*4+8+20+20+80)*T42</f>
        <v>9257.3113151999987</v>
      </c>
      <c r="U120" s="8">
        <f>(256*4+128*4+8+40+20+80)*U42</f>
        <v>9368.5770761999993</v>
      </c>
      <c r="V120" s="8">
        <f>(256*4+128*4+8+80+20+80)*V42</f>
        <v>9591.1085981999986</v>
      </c>
      <c r="W120" s="1" t="s">
        <v>4</v>
      </c>
    </row>
    <row r="121" spans="7:23" ht="14.5" thickBot="1" x14ac:dyDescent="0.35">
      <c r="G121" s="4" t="s">
        <v>15</v>
      </c>
      <c r="H121" s="6">
        <f>(256*4+256*4+8+20+20+20)*H43</f>
        <v>11771.663064800001</v>
      </c>
      <c r="I121" s="6">
        <f>(256*4+256*4+8+40+20+20)*I43</f>
        <v>11882.9264208</v>
      </c>
      <c r="J121" s="6">
        <f>(256*4+256*4+8+80+20+20)*J43</f>
        <v>12105.389158399999</v>
      </c>
      <c r="K121" s="2" t="s">
        <v>4</v>
      </c>
      <c r="M121" s="4" t="s">
        <v>15</v>
      </c>
      <c r="N121" s="6">
        <f>(256*4+256*4+8+20+20+40)*N43</f>
        <v>11882.916808800001</v>
      </c>
      <c r="O121" s="6">
        <f>(256*4+256*4+8+40+20+40)*O43</f>
        <v>11994.180074800001</v>
      </c>
      <c r="P121" s="6">
        <f>(256*4+256*4+8+80+20+40)*P43</f>
        <v>12216.7066068</v>
      </c>
      <c r="Q121" s="2" t="s">
        <v>4</v>
      </c>
      <c r="S121" s="4" t="s">
        <v>15</v>
      </c>
      <c r="T121" s="6">
        <f>(256*4+256*4+8+20+20+80)*T43</f>
        <v>12105.455308799999</v>
      </c>
      <c r="U121" s="6">
        <f>(256*4+256*4+8+40+20+80)*U43</f>
        <v>12216.717586799999</v>
      </c>
      <c r="V121" s="6">
        <f>(256*4+256*4+8+80+20+80)*V43</f>
        <v>12439.2443188</v>
      </c>
      <c r="W121" s="2" t="s">
        <v>4</v>
      </c>
    </row>
    <row r="122" spans="7:23" x14ac:dyDescent="0.3">
      <c r="G122" s="1" t="s">
        <v>16</v>
      </c>
      <c r="H122" s="8">
        <f>(64*4+256*4+8+20+40+20)*H44</f>
        <v>7612.9181531999993</v>
      </c>
      <c r="I122" s="8">
        <f>(64*4+256*4+8+40+40+20)*I44</f>
        <v>7722.3107365999995</v>
      </c>
      <c r="J122" s="8">
        <f>(64*4+256*4+8+80+40+20)*J44</f>
        <v>7944.2296079999996</v>
      </c>
      <c r="K122" s="1" t="s">
        <v>5</v>
      </c>
      <c r="M122" s="1" t="s">
        <v>16</v>
      </c>
      <c r="N122" s="8">
        <f>(64*4+256*4+8+20+40+40)*N44</f>
        <v>7724.2195142</v>
      </c>
      <c r="O122" s="8">
        <f>(64*4+256*4+8+40+40+40)*O44</f>
        <v>7833.5846335999995</v>
      </c>
      <c r="P122" s="8">
        <f>(64*4+256*4+8+80+40+40)*P44</f>
        <v>8055.4962240000004</v>
      </c>
      <c r="Q122" s="1" t="s">
        <v>5</v>
      </c>
      <c r="S122" s="1" t="s">
        <v>16</v>
      </c>
      <c r="T122" s="8">
        <f>(64*4+256*4+8+20+40+80)*T44</f>
        <v>7946.8266401999999</v>
      </c>
      <c r="U122" s="8">
        <f>(64*4+256*4+8+40+40+80)*U44</f>
        <v>8056.1368916000001</v>
      </c>
      <c r="V122" s="8">
        <f>(64*4+256*4+8+80+40+80)*V44</f>
        <v>8278.0319280000003</v>
      </c>
      <c r="W122" s="1" t="s">
        <v>5</v>
      </c>
    </row>
    <row r="123" spans="7:23" x14ac:dyDescent="0.3">
      <c r="G123" s="1" t="s">
        <v>14</v>
      </c>
      <c r="H123" s="8">
        <f>(128*4+256*4+1*8+20+40+20)*H45</f>
        <v>9034.5921400000007</v>
      </c>
      <c r="I123" s="8">
        <f>(128*4+256*4+8+40+40+20)*I45</f>
        <v>9145.8075852000002</v>
      </c>
      <c r="J123" s="8">
        <f>(128*4+256*4+8+80+40+20)*J45</f>
        <v>9368.3250656</v>
      </c>
      <c r="K123" s="1" t="s">
        <v>5</v>
      </c>
      <c r="M123" s="1" t="s">
        <v>14</v>
      </c>
      <c r="N123" s="8">
        <f>(128*4+256*4+8+20+40+40)*N45</f>
        <v>9145.857234000001</v>
      </c>
      <c r="O123" s="8">
        <f>(128*4+256*4+8+40+40+40)*O45</f>
        <v>9257.0729472000003</v>
      </c>
      <c r="P123" s="8">
        <f>(128*4+256*4+8+80+40+40)*P45</f>
        <v>9479.5895375999989</v>
      </c>
      <c r="Q123" s="1" t="s">
        <v>5</v>
      </c>
      <c r="S123" s="1" t="s">
        <v>14</v>
      </c>
      <c r="T123" s="8">
        <f>(128*4+256*4+8+20+40+80)*T45</f>
        <v>9368.3934360000003</v>
      </c>
      <c r="U123" s="8">
        <f>(128*4+256*4+8+40+40+80)*U45</f>
        <v>9479.6089632000003</v>
      </c>
      <c r="V123" s="8">
        <f>(128*4+256*4+8+80+40+80)*V45</f>
        <v>9702.1238335999988</v>
      </c>
      <c r="W123" s="1" t="s">
        <v>5</v>
      </c>
    </row>
    <row r="124" spans="7:23" x14ac:dyDescent="0.3">
      <c r="G124" s="1" t="s">
        <v>20</v>
      </c>
      <c r="H124" s="8">
        <f>(256*4+128*4+8+20+40+20)*H46</f>
        <v>9034.6589676000003</v>
      </c>
      <c r="I124" s="8">
        <f>(256*4+128*4+8+40+40+20)*I46</f>
        <v>9145.9232405999992</v>
      </c>
      <c r="J124" s="8">
        <f>(256*4+128*4+8+80+40+20)*J46</f>
        <v>9368.4517865999987</v>
      </c>
      <c r="K124" s="1" t="s">
        <v>5</v>
      </c>
      <c r="M124" s="1" t="s">
        <v>20</v>
      </c>
      <c r="N124" s="8">
        <f>(256*4+128*4+8+20+40+40)*N46</f>
        <v>9145.9215965999992</v>
      </c>
      <c r="O124" s="8">
        <f>(256*4+128*4+8+40+40+40)*O46</f>
        <v>9257.1858495999986</v>
      </c>
      <c r="P124" s="8">
        <f>(256*4+128*4+8+80+40+40)*P46</f>
        <v>9479.7143555999992</v>
      </c>
      <c r="Q124" s="1" t="s">
        <v>5</v>
      </c>
      <c r="S124" s="1" t="s">
        <v>20</v>
      </c>
      <c r="T124" s="8">
        <f>(256*4+128*4+8+20+40+80)*T46</f>
        <v>9368.4593645999994</v>
      </c>
      <c r="U124" s="8">
        <f>(256*4+128*4+8+40+40+80)*U46</f>
        <v>9479.7237275999996</v>
      </c>
      <c r="V124" s="8">
        <f>(256*4+128*4+8+80+40+80)*V46</f>
        <v>9702.2524536000001</v>
      </c>
      <c r="W124" s="1" t="s">
        <v>5</v>
      </c>
    </row>
    <row r="125" spans="7:23" ht="14.5" thickBot="1" x14ac:dyDescent="0.35">
      <c r="G125" s="4" t="s">
        <v>15</v>
      </c>
      <c r="H125" s="6">
        <f>(256*4+256*4+8+20+40+20)*H47</f>
        <v>11882.8636224</v>
      </c>
      <c r="I125" s="6">
        <f>(256*4+256*4+8+40+40+20)*I47</f>
        <v>11994.126390399999</v>
      </c>
      <c r="J125" s="6">
        <f>(256*4+256*4+8+80+40+20)*J47</f>
        <v>12216.6332604</v>
      </c>
      <c r="K125" s="2" t="s">
        <v>5</v>
      </c>
      <c r="M125" s="4" t="s">
        <v>15</v>
      </c>
      <c r="N125" s="6">
        <f>(256*4+256*4+8+20+40+40)*N47</f>
        <v>11994.128546399999</v>
      </c>
      <c r="O125" s="6">
        <f>(256*4+256*4+8+40+40+40)*O47</f>
        <v>12105.391334399999</v>
      </c>
      <c r="P125" s="6">
        <f>(256*4+256*4+8+80+40+40)*P47</f>
        <v>12327.916910399999</v>
      </c>
      <c r="Q125" s="2" t="s">
        <v>5</v>
      </c>
      <c r="S125" s="4" t="s">
        <v>15</v>
      </c>
      <c r="T125" s="6">
        <f>(256*4+256*4+8+20+40+80)*T47</f>
        <v>12216.666200400001</v>
      </c>
      <c r="U125" s="6">
        <f>(256*4+256*4+8+40+40+80)*U47</f>
        <v>12327.9279904</v>
      </c>
      <c r="V125" s="6">
        <f>(256*4+256*4+8+80+40+80)*V47</f>
        <v>12550.4368464</v>
      </c>
      <c r="W125" s="2" t="s">
        <v>5</v>
      </c>
    </row>
    <row r="126" spans="7:23" x14ac:dyDescent="0.3">
      <c r="G126" s="1" t="s">
        <v>16</v>
      </c>
      <c r="H126" s="8">
        <f>(64*4+256*4+8+20+80+20)*H48</f>
        <v>7835.5061311999998</v>
      </c>
      <c r="I126" s="8">
        <f>(64*4+256*4+8+40+80+20)*I48</f>
        <v>7944.8435766000002</v>
      </c>
      <c r="J126" s="8">
        <f>(64*4+256*4+8+80+80+20)*J48</f>
        <v>8166.7445699999998</v>
      </c>
      <c r="K126" t="s">
        <v>6</v>
      </c>
      <c r="M126" s="1" t="s">
        <v>16</v>
      </c>
      <c r="N126" s="8">
        <f>(64*4+256*4+8+20+80+40)*N48</f>
        <v>7946.8080761999991</v>
      </c>
      <c r="O126" s="8">
        <f>(64*4+256*4+8+40+80+40)*O48</f>
        <v>8056.1180675999994</v>
      </c>
      <c r="P126" s="8">
        <f>(64*4+256*4+8+80+80+40)*P48</f>
        <v>8278.0118399999992</v>
      </c>
      <c r="Q126" t="s">
        <v>6</v>
      </c>
      <c r="S126" s="1" t="s">
        <v>16</v>
      </c>
      <c r="T126" s="8">
        <f>(64*4+256*4+8+20+80+80)*T48</f>
        <v>8169.4150822000001</v>
      </c>
      <c r="U126" s="8">
        <f>(64*4+256*4+8+40+80+80)*U48</f>
        <v>8278.6702056000013</v>
      </c>
      <c r="V126" s="8">
        <f>(64*4+256*4+8+80+80+80)*V48</f>
        <v>8500.5474439999998</v>
      </c>
      <c r="W126" t="s">
        <v>6</v>
      </c>
    </row>
    <row r="127" spans="7:23" x14ac:dyDescent="0.3">
      <c r="G127" s="1" t="s">
        <v>14</v>
      </c>
      <c r="H127" s="8">
        <f>(128*4+256*4+8+20+80+20)*H49</f>
        <v>9257.1048960000007</v>
      </c>
      <c r="I127" s="8">
        <f>(128*4+256*4+8+40+80+20)*I49</f>
        <v>9368.3190032000002</v>
      </c>
      <c r="J127" s="8">
        <f>(128*4+256*4+8+80+80+20)*J49</f>
        <v>9590.8359476000005</v>
      </c>
      <c r="K127" t="s">
        <v>6</v>
      </c>
      <c r="M127" s="1" t="s">
        <v>14</v>
      </c>
      <c r="N127" s="8">
        <f>(128*4+256*4+8+20+80+40)*N49</f>
        <v>9368.3707020000002</v>
      </c>
      <c r="O127" s="8">
        <f>(128*4+256*4+8+40+80+40)*O49</f>
        <v>9479.5851071999987</v>
      </c>
      <c r="P127" s="8">
        <f>(128*4+256*4+8+80+80+40)*P49</f>
        <v>9702.1011615999996</v>
      </c>
      <c r="Q127" t="s">
        <v>6</v>
      </c>
      <c r="S127" s="1" t="s">
        <v>14</v>
      </c>
      <c r="T127" s="8">
        <f>(128*4+256*4+8+20+80+80)*T49</f>
        <v>9590.9068040000002</v>
      </c>
      <c r="U127" s="8">
        <f>(128*4+256*4+8+40+80+80)*U49</f>
        <v>9702.1210431999989</v>
      </c>
      <c r="V127" s="8">
        <f>(128*4+256*4+8+80+80+80)*V49</f>
        <v>9924.6353376000006</v>
      </c>
      <c r="W127" t="s">
        <v>6</v>
      </c>
    </row>
    <row r="128" spans="7:23" x14ac:dyDescent="0.3">
      <c r="G128" s="1" t="s">
        <v>20</v>
      </c>
      <c r="H128" s="8">
        <f>(256*4+128*4+8+20+80+20)*H50</f>
        <v>9257.1538176000013</v>
      </c>
      <c r="I128" s="8">
        <f>(256*4+128*4+8+40+80+20)*I50</f>
        <v>9368.4176856000013</v>
      </c>
      <c r="J128" s="8">
        <f>(256*4+128*4+8+80+80+20)*J50</f>
        <v>9590.9454216000013</v>
      </c>
      <c r="K128" t="s">
        <v>6</v>
      </c>
      <c r="M128" s="1" t="s">
        <v>20</v>
      </c>
      <c r="N128" s="8">
        <f>(256*4+128*4+8+20+80+40)*N50</f>
        <v>9368.4185276000007</v>
      </c>
      <c r="O128" s="8">
        <f>(256*4+128*4+8+40+80+40)*O50</f>
        <v>9479.6824056000005</v>
      </c>
      <c r="P128" s="8">
        <f>(256*4+128*4+8+80+80+40)*P50</f>
        <v>9702.2101616</v>
      </c>
      <c r="Q128" t="s">
        <v>6</v>
      </c>
      <c r="S128" s="1" t="s">
        <v>20</v>
      </c>
      <c r="T128" s="8">
        <f>(256*4+128*4+8+20+80+80)*T50</f>
        <v>9590.9557655999997</v>
      </c>
      <c r="U128" s="8">
        <f>(256*4+128*4+8+40+80+80)*U50</f>
        <v>9702.2197536000003</v>
      </c>
      <c r="V128" s="8">
        <f>(256*4+128*4+8+80+80+80)*V50</f>
        <v>9924.7477295999997</v>
      </c>
      <c r="W128" t="s">
        <v>6</v>
      </c>
    </row>
    <row r="129" spans="7:23" ht="14.5" thickBot="1" x14ac:dyDescent="0.35">
      <c r="G129" s="4" t="s">
        <v>15</v>
      </c>
      <c r="H129" s="6">
        <f>(256*4+256*4+8+20+80+20)*H51</f>
        <v>12105.370662400001</v>
      </c>
      <c r="I129" s="6">
        <f>(256*4+256*4+8+40+80+20)*I51</f>
        <v>12216.6332604</v>
      </c>
      <c r="J129" s="6">
        <f>(256*4+256*4+8+80+80+20)*J51</f>
        <v>12439.1584564</v>
      </c>
      <c r="K129" s="2" t="s">
        <v>6</v>
      </c>
      <c r="M129" s="4" t="s">
        <v>15</v>
      </c>
      <c r="N129" s="6">
        <f>(256*4+256*4+8+20+80+40)*N51</f>
        <v>12216.6365544</v>
      </c>
      <c r="O129" s="6">
        <f>(256*4+256*4+8+40+80+40)*O51</f>
        <v>12327.899182399999</v>
      </c>
      <c r="P129" s="6">
        <f>(256*4+256*4+8+80+80+40)*P51</f>
        <v>12550.424438399999</v>
      </c>
      <c r="Q129" s="2" t="s">
        <v>6</v>
      </c>
      <c r="S129" s="4" t="s">
        <v>15</v>
      </c>
      <c r="T129" s="6">
        <f>(256*4+256*4+8+20+80+80)*T51</f>
        <v>12439.1729904</v>
      </c>
      <c r="U129" s="6">
        <f>(256*4+256*4+8+40+80+80)*U51</f>
        <v>12550.4357184</v>
      </c>
      <c r="V129" s="6">
        <f>(256*4+256*4+8+80+80+80)*V51</f>
        <v>12772.961174400001</v>
      </c>
      <c r="W129" s="2" t="s">
        <v>6</v>
      </c>
    </row>
    <row r="132" spans="7:23" x14ac:dyDescent="0.3">
      <c r="G132" s="21" t="s">
        <v>8</v>
      </c>
      <c r="H132" s="23" t="s">
        <v>10</v>
      </c>
      <c r="I132" s="23" t="s">
        <v>18</v>
      </c>
      <c r="M132" s="21" t="s">
        <v>8</v>
      </c>
      <c r="N132" s="23" t="s">
        <v>11</v>
      </c>
      <c r="O132" s="23" t="s">
        <v>18</v>
      </c>
      <c r="S132" s="21" t="s">
        <v>8</v>
      </c>
      <c r="T132" s="23" t="s">
        <v>12</v>
      </c>
      <c r="U132" s="23" t="s">
        <v>18</v>
      </c>
    </row>
    <row r="133" spans="7:23" x14ac:dyDescent="0.3">
      <c r="G133" s="22"/>
      <c r="H133" s="23"/>
      <c r="I133" s="23"/>
      <c r="M133" s="22"/>
      <c r="N133" s="23"/>
      <c r="O133" s="23"/>
      <c r="S133" s="22"/>
      <c r="T133" s="23"/>
      <c r="U133" s="23"/>
    </row>
    <row r="134" spans="7:23" ht="14.5" thickBot="1" x14ac:dyDescent="0.35">
      <c r="H134" s="2" t="s">
        <v>1</v>
      </c>
      <c r="I134" s="2" t="s">
        <v>2</v>
      </c>
      <c r="J134" s="2" t="s">
        <v>3</v>
      </c>
      <c r="N134" s="2" t="s">
        <v>1</v>
      </c>
      <c r="O134" s="2" t="s">
        <v>2</v>
      </c>
      <c r="P134" s="2" t="s">
        <v>3</v>
      </c>
      <c r="T134" s="2" t="s">
        <v>1</v>
      </c>
      <c r="U134" s="2" t="s">
        <v>2</v>
      </c>
      <c r="V134" s="2" t="s">
        <v>3</v>
      </c>
    </row>
    <row r="135" spans="7:23" x14ac:dyDescent="0.3">
      <c r="G135" s="1" t="s">
        <v>16</v>
      </c>
      <c r="H135" s="8">
        <f>(64*4+256*4+8+20+20+20)*H57</f>
        <v>4427.7329357999997</v>
      </c>
      <c r="I135" s="8">
        <f>(64*4+256*4+8+40+20+20)*I57</f>
        <v>4492.0557036</v>
      </c>
      <c r="J135" s="8">
        <f>(64*4+256*4+8+80+20+20)*J57</f>
        <v>4622.7366591999998</v>
      </c>
      <c r="K135" s="1" t="s">
        <v>4</v>
      </c>
      <c r="M135" s="1" t="s">
        <v>16</v>
      </c>
      <c r="N135" s="8">
        <f>(64*4+256*4+8+20+20+40)*N57</f>
        <v>4493.4153587999999</v>
      </c>
      <c r="O135" s="8">
        <f>(64*4+256*4+8+40+20+40)*O57</f>
        <v>4557.7172345999998</v>
      </c>
      <c r="P135" s="8">
        <f>(64*4+256*4+8+80+20+40)*P57</f>
        <v>4688.3898221999998</v>
      </c>
      <c r="Q135" s="1" t="s">
        <v>4</v>
      </c>
      <c r="S135" s="1" t="s">
        <v>16</v>
      </c>
      <c r="T135" s="8">
        <f>(64*4+256*4+8+20+20+80)*T57</f>
        <v>4624.8059968000007</v>
      </c>
      <c r="U135" s="8">
        <f>(64*4+256*4+8+40+20+80)*U57</f>
        <v>4689.0678365999993</v>
      </c>
      <c r="V135" s="8">
        <f>(64*4+256*4+8+80+20+80)*V57</f>
        <v>4819.7216722000003</v>
      </c>
      <c r="W135" s="1" t="s">
        <v>4</v>
      </c>
    </row>
    <row r="136" spans="7:23" x14ac:dyDescent="0.3">
      <c r="G136" s="1" t="s">
        <v>14</v>
      </c>
      <c r="H136" s="8">
        <f>(128*4+256*4+8+20+20+20)*H58</f>
        <v>5266.1582441999999</v>
      </c>
      <c r="I136" s="8">
        <f>(128*4+256*4+8+40+20+20)*I58</f>
        <v>5331.7790848000004</v>
      </c>
      <c r="J136" s="8">
        <f>(128*4+256*4+8+80+20+20)*J58</f>
        <v>5463.0950400000002</v>
      </c>
      <c r="K136" s="1" t="s">
        <v>4</v>
      </c>
      <c r="M136" s="1" t="s">
        <v>14</v>
      </c>
      <c r="N136" s="8">
        <f>(128*4+256*4+8+20+20+40)*N58</f>
        <v>5331.8088852000001</v>
      </c>
      <c r="O136" s="8">
        <f>(128*4+256*4+8+40+20+40)*O58</f>
        <v>5397.4282367999995</v>
      </c>
      <c r="P136" s="8">
        <f>(128*4+256*4+8+80+20+40)*P58</f>
        <v>5528.7437680000003</v>
      </c>
      <c r="Q136" s="1" t="s">
        <v>4</v>
      </c>
      <c r="S136" s="1" t="s">
        <v>14</v>
      </c>
      <c r="T136" s="8">
        <f>(128*4+256*4+8+20+20+80)*T58</f>
        <v>5463.1408832000006</v>
      </c>
      <c r="U136" s="8">
        <f>(128*4+256*4+8+40+20+80)*U58</f>
        <v>5528.7601027999999</v>
      </c>
      <c r="V136" s="8">
        <f>(128*4+256*4+8+80+20+80)*V58</f>
        <v>5660.0738819999997</v>
      </c>
      <c r="W136" s="1" t="s">
        <v>4</v>
      </c>
    </row>
    <row r="137" spans="7:23" x14ac:dyDescent="0.3">
      <c r="G137" s="1" t="s">
        <v>20</v>
      </c>
      <c r="H137" s="8">
        <f>(256*4+128*4+8+20+20+20)*H59</f>
        <v>5266.4516960000001</v>
      </c>
      <c r="I137" s="8">
        <f>(256*4+128*4+8+40+20+20)*I59</f>
        <v>5332.1164708000006</v>
      </c>
      <c r="J137" s="8">
        <f>(256*4+128*4+8+80+20+20)*J59</f>
        <v>5463.4493887999997</v>
      </c>
      <c r="K137" s="1" t="s">
        <v>4</v>
      </c>
      <c r="M137" s="1" t="s">
        <v>20</v>
      </c>
      <c r="N137" s="8">
        <f>(256*4+128*4+8+20+20+40)*N59</f>
        <v>5332.1003120000005</v>
      </c>
      <c r="O137" s="8">
        <f>(256*4+128*4+8+40+20+40)*O59</f>
        <v>5397.7656678000003</v>
      </c>
      <c r="P137" s="8">
        <f>(256*4+128*4+8+80+20+40)*P59</f>
        <v>5529.0981658000001</v>
      </c>
      <c r="Q137" s="1" t="s">
        <v>4</v>
      </c>
      <c r="S137" s="1" t="s">
        <v>20</v>
      </c>
      <c r="T137" s="8">
        <f>(256*4+128*4+8+20+20+80)*T59</f>
        <v>5463.439488</v>
      </c>
      <c r="U137" s="8">
        <f>(256*4+128*4+8+40+20+80)*U59</f>
        <v>5529.1040598</v>
      </c>
      <c r="V137" s="8">
        <f>(256*4+128*4+8+80+20+80)*V59</f>
        <v>5660.4366977999998</v>
      </c>
      <c r="W137" s="1" t="s">
        <v>4</v>
      </c>
    </row>
    <row r="138" spans="7:23" ht="14.5" thickBot="1" x14ac:dyDescent="0.35">
      <c r="G138" s="4" t="s">
        <v>15</v>
      </c>
      <c r="H138" s="6">
        <f>(256*4+256*4+8+20+20+20)*H60</f>
        <v>6947.0619237999999</v>
      </c>
      <c r="I138" s="6">
        <f>(256*4+256*4+8+40+20+20)*I60</f>
        <v>7012.7218920000005</v>
      </c>
      <c r="J138" s="6">
        <f>(256*4+256*4+8+80+20+20)*J60</f>
        <v>7144.0462720000005</v>
      </c>
      <c r="K138" s="2" t="s">
        <v>4</v>
      </c>
      <c r="M138" s="4" t="s">
        <v>15</v>
      </c>
      <c r="N138" s="6">
        <f>(256*4+256*4+8+20+20+40)*N60</f>
        <v>7012.7059788000006</v>
      </c>
      <c r="O138" s="6">
        <f>(256*4+256*4+8+40+20+40)*O60</f>
        <v>7078.3668339999995</v>
      </c>
      <c r="P138" s="6">
        <f>(256*4+256*4+8+80+20+40)*P60</f>
        <v>7209.6908939999994</v>
      </c>
      <c r="Q138" s="2" t="s">
        <v>4</v>
      </c>
      <c r="S138" s="4" t="s">
        <v>15</v>
      </c>
      <c r="T138" s="6">
        <f>(256*4+256*4+8+20+20+80)*T60</f>
        <v>7144.0387648000005</v>
      </c>
      <c r="U138" s="6">
        <f>(256*4+256*4+8+40+20+80)*U60</f>
        <v>7209.6985800000002</v>
      </c>
      <c r="V138" s="6">
        <f>(256*4+256*4+8+80+20+80)*V60</f>
        <v>7341.0227800000002</v>
      </c>
      <c r="W138" s="2" t="s">
        <v>4</v>
      </c>
    </row>
    <row r="139" spans="7:23" x14ac:dyDescent="0.3">
      <c r="G139" s="1" t="s">
        <v>16</v>
      </c>
      <c r="H139" s="8">
        <f>(64*4+256*4+8+20+40+20)*H61</f>
        <v>4493.3778072000005</v>
      </c>
      <c r="I139" s="8">
        <f>(64*4+256*4+8+40+40+20)*I61</f>
        <v>4557.6805219999997</v>
      </c>
      <c r="J139" s="8">
        <f>(64*4+256*4+8+80+40+20)*J61</f>
        <v>4688.3506236000003</v>
      </c>
      <c r="K139" s="1" t="s">
        <v>5</v>
      </c>
      <c r="M139" s="1" t="s">
        <v>16</v>
      </c>
      <c r="N139" s="8">
        <f>(64*4+256*4+8+20+40+40)*N61</f>
        <v>4559.0711591999998</v>
      </c>
      <c r="O139" s="8">
        <f>(64*4+256*4+8+40+40+40)*O61</f>
        <v>4623.3524480000005</v>
      </c>
      <c r="P139" s="8">
        <f>(64*4+256*4+8+80+40+40)*P61</f>
        <v>4754.0145216000001</v>
      </c>
      <c r="Q139" s="1" t="s">
        <v>5</v>
      </c>
      <c r="S139" s="1" t="s">
        <v>16</v>
      </c>
      <c r="T139" s="8">
        <f>(64*4+256*4+8+20+40+80)*T61</f>
        <v>4690.4607792000006</v>
      </c>
      <c r="U139" s="8">
        <f>(64*4+256*4+8+40+40+80)*U61</f>
        <v>4754.7020320000001</v>
      </c>
      <c r="V139" s="8">
        <f>(64*4+256*4+8+80+40+80)*V61</f>
        <v>4885.3453535999997</v>
      </c>
      <c r="W139" s="1" t="s">
        <v>5</v>
      </c>
    </row>
    <row r="140" spans="7:23" x14ac:dyDescent="0.3">
      <c r="G140" s="1" t="s">
        <v>14</v>
      </c>
      <c r="H140" s="8">
        <f>(128*4+256*4+1*8+20+40+20)*H62</f>
        <v>5331.7643063999994</v>
      </c>
      <c r="I140" s="8">
        <f>(128*4+256*4+8+40+40+20)*I62</f>
        <v>5397.3839309999994</v>
      </c>
      <c r="J140" s="8">
        <f>(128*4+256*4+8+80+40+20)*J62</f>
        <v>5528.6983842</v>
      </c>
      <c r="K140" s="1" t="s">
        <v>5</v>
      </c>
      <c r="M140" s="1" t="s">
        <v>14</v>
      </c>
      <c r="N140" s="8">
        <f>(128*4+256*4+8+20+40+40)*N62</f>
        <v>5397.4272504</v>
      </c>
      <c r="O140" s="8">
        <f>(128*4+256*4+8+40+40+40)*O62</f>
        <v>5463.0455359999996</v>
      </c>
      <c r="P140" s="8">
        <f>(128*4+256*4+8+80+40+40)*P62</f>
        <v>5594.3598851999996</v>
      </c>
      <c r="Q140" s="1" t="s">
        <v>5</v>
      </c>
      <c r="S140" s="1" t="s">
        <v>14</v>
      </c>
      <c r="T140" s="8">
        <f>(128*4+256*4+8+20+40+80)*T62</f>
        <v>5528.7582504000002</v>
      </c>
      <c r="U140" s="8">
        <f>(128*4+256*4+8+40+40+80)*U62</f>
        <v>5594.3764140000003</v>
      </c>
      <c r="V140" s="8">
        <f>(128*4+256*4+8+80+40+80)*V62</f>
        <v>5725.6889911999997</v>
      </c>
      <c r="W140" s="1" t="s">
        <v>5</v>
      </c>
    </row>
    <row r="141" spans="7:23" x14ac:dyDescent="0.3">
      <c r="G141" s="1" t="s">
        <v>20</v>
      </c>
      <c r="H141" s="8">
        <f>(256*4+128*4+8+20+40+20)*H63</f>
        <v>5331.8683236000006</v>
      </c>
      <c r="I141" s="8">
        <f>(256*4+128*4+8+40+40+20)*I63</f>
        <v>5397.5300004000001</v>
      </c>
      <c r="J141" s="8">
        <f>(256*4+128*4+8+80+40+20)*J63</f>
        <v>5528.8567643999995</v>
      </c>
      <c r="K141" s="1" t="s">
        <v>5</v>
      </c>
      <c r="M141" s="1" t="s">
        <v>20</v>
      </c>
      <c r="N141" s="8">
        <f>(256*4+128*4+8+20+40+40)*N63</f>
        <v>5397.5202185999997</v>
      </c>
      <c r="O141" s="8">
        <f>(256*4+128*4+8+40+40+40)*O63</f>
        <v>5463.1825663999998</v>
      </c>
      <c r="P141" s="8">
        <f>(256*4+128*4+8+80+40+40)*P63</f>
        <v>5594.5090703999995</v>
      </c>
      <c r="Q141" s="1" t="s">
        <v>5</v>
      </c>
      <c r="S141" s="1" t="s">
        <v>20</v>
      </c>
      <c r="T141" s="8">
        <f>(256*4+128*4+8+20+40+80)*T63</f>
        <v>5528.8534806000007</v>
      </c>
      <c r="U141" s="8">
        <f>(256*4+128*4+8+40+40+80)*U63</f>
        <v>5594.5150343999994</v>
      </c>
      <c r="V141" s="8">
        <f>(256*4+128*4+8+80+40+80)*V63</f>
        <v>5725.8416784000001</v>
      </c>
      <c r="W141" s="1" t="s">
        <v>5</v>
      </c>
    </row>
    <row r="142" spans="7:23" ht="14.5" thickBot="1" x14ac:dyDescent="0.35">
      <c r="G142" s="4" t="s">
        <v>15</v>
      </c>
      <c r="H142" s="6">
        <f>(256*4+256*4+8+20+40+20)*H64</f>
        <v>7012.6494816000004</v>
      </c>
      <c r="I142" s="6">
        <f>(256*4+256*4+8+40+40+20)*I64</f>
        <v>7078.3087298</v>
      </c>
      <c r="J142" s="6">
        <f>(256*4+256*4+8+80+40+20)*J64</f>
        <v>7209.6317117999997</v>
      </c>
      <c r="K142" s="2" t="s">
        <v>5</v>
      </c>
      <c r="M142" s="4" t="s">
        <v>15</v>
      </c>
      <c r="N142" s="6">
        <f>(256*4+256*4+8+20+40+40)*N64</f>
        <v>7078.3099155999998</v>
      </c>
      <c r="O142" s="6">
        <f>(256*4+256*4+8+40+40+40)*O64</f>
        <v>7143.9702207999999</v>
      </c>
      <c r="P142" s="6">
        <f>(256*4+256*4+8+80+40+40)*P64</f>
        <v>7275.2932027999996</v>
      </c>
      <c r="Q142" s="2" t="s">
        <v>5</v>
      </c>
      <c r="S142" s="4" t="s">
        <v>15</v>
      </c>
      <c r="T142" s="6">
        <f>(256*4+256*4+8+20+40+80)*T64</f>
        <v>7209.6417036000003</v>
      </c>
      <c r="U142" s="6">
        <f>(256*4+256*4+8+40+40+80)*U64</f>
        <v>7275.3009587999995</v>
      </c>
      <c r="V142" s="6">
        <f>(256*4+256*4+8+80+40+80)*V64</f>
        <v>7406.6240807999993</v>
      </c>
      <c r="W142" s="2" t="s">
        <v>5</v>
      </c>
    </row>
    <row r="143" spans="7:23" x14ac:dyDescent="0.3">
      <c r="G143" s="1" t="s">
        <v>16</v>
      </c>
      <c r="H143" s="8">
        <f>(64*4+256*4+8+20+80+20)*H65</f>
        <v>4624.7524223999999</v>
      </c>
      <c r="I143" s="8">
        <f>(64*4+256*4+8+40+80+20)*I65</f>
        <v>4689.0156431999994</v>
      </c>
      <c r="J143" s="8">
        <f>(64*4+256*4+8+80+80+20)*J65</f>
        <v>4819.6665487999999</v>
      </c>
      <c r="K143" t="s">
        <v>6</v>
      </c>
      <c r="M143" s="1" t="s">
        <v>16</v>
      </c>
      <c r="N143" s="8">
        <f>(64*4+256*4+8+20+80+40)*N65</f>
        <v>4690.4470703999996</v>
      </c>
      <c r="O143" s="8">
        <f>(64*4+256*4+8+40+80+40)*O65</f>
        <v>4754.6881311999996</v>
      </c>
      <c r="P143" s="8">
        <f>(64*4+256*4+8+80+80+40)*P65</f>
        <v>4885.3310688000001</v>
      </c>
      <c r="Q143" t="s">
        <v>6</v>
      </c>
      <c r="S143" s="1" t="s">
        <v>16</v>
      </c>
      <c r="T143" s="8">
        <f>(64*4+256*4+8+20+80+80)*T65</f>
        <v>4821.8365463999999</v>
      </c>
      <c r="U143" s="8">
        <f>(64*4+256*4+8+40+80+80)*U65</f>
        <v>4886.0375711999995</v>
      </c>
      <c r="V143" s="8">
        <f>(64*4+256*4+8+80+80+80)*V65</f>
        <v>5016.6617568000001</v>
      </c>
      <c r="W143" t="s">
        <v>6</v>
      </c>
    </row>
    <row r="144" spans="7:23" x14ac:dyDescent="0.3">
      <c r="G144" s="1" t="s">
        <v>14</v>
      </c>
      <c r="H144" s="8">
        <f>(128*4+256*4+8+20+80+20)*H66</f>
        <v>5463.076736</v>
      </c>
      <c r="I144" s="8">
        <f>(128*4+256*4+8+40+80+20)*I66</f>
        <v>5528.6951846000002</v>
      </c>
      <c r="J144" s="8">
        <f>(128*4+256*4+8+80+80+20)*J66</f>
        <v>5660.0091457999997</v>
      </c>
      <c r="K144" t="s">
        <v>6</v>
      </c>
      <c r="M144" s="1" t="s">
        <v>14</v>
      </c>
      <c r="N144" s="8">
        <f>(128*4+256*4+8+20+80+40)*N66</f>
        <v>5528.7404000000006</v>
      </c>
      <c r="O144" s="8">
        <f>(128*4+256*4+8+40+80+40)*O66</f>
        <v>5594.3574995999998</v>
      </c>
      <c r="P144" s="8">
        <f>(128*4+256*4+8+80+80+40)*P66</f>
        <v>5725.6713768</v>
      </c>
      <c r="Q144" t="s">
        <v>6</v>
      </c>
      <c r="S144" s="1" t="s">
        <v>14</v>
      </c>
      <c r="T144" s="8">
        <f>(128*4+256*4+8+20+80+80)*T66</f>
        <v>5660.0712960000001</v>
      </c>
      <c r="U144" s="8">
        <f>(128*4+256*4+8+40+80+80)*U66</f>
        <v>5725.6882936000002</v>
      </c>
      <c r="V144" s="8">
        <f>(128*4+256*4+8+80+80+80)*V66</f>
        <v>5857.0003588</v>
      </c>
      <c r="W144" t="s">
        <v>6</v>
      </c>
    </row>
    <row r="145" spans="7:23" x14ac:dyDescent="0.3">
      <c r="G145" s="1" t="s">
        <v>20</v>
      </c>
      <c r="H145" s="8">
        <f>(256*4+128*4+8+20+80+20)*H67</f>
        <v>5463.1444608000002</v>
      </c>
      <c r="I145" s="8">
        <f>(256*4+128*4+8+40+80+20)*I67</f>
        <v>5528.8054866000002</v>
      </c>
      <c r="J145" s="8">
        <f>(256*4+128*4+8+80+80+20)*J67</f>
        <v>5660.1310326000003</v>
      </c>
      <c r="K145" t="s">
        <v>6</v>
      </c>
      <c r="M145" s="1" t="s">
        <v>20</v>
      </c>
      <c r="N145" s="8">
        <f>(256*4+128*4+8+20+80+40)*N67</f>
        <v>5528.8038868000003</v>
      </c>
      <c r="O145" s="8">
        <f>(256*4+128*4+8+40+80+40)*O67</f>
        <v>5594.4657035999999</v>
      </c>
      <c r="P145" s="8">
        <f>(256*4+128*4+8+80+80+40)*P67</f>
        <v>5725.7911895999996</v>
      </c>
      <c r="Q145" t="s">
        <v>6</v>
      </c>
      <c r="S145" s="1" t="s">
        <v>20</v>
      </c>
      <c r="T145" s="8">
        <f>(256*4+128*4+8+20+80+80)*T67</f>
        <v>5660.1362908000001</v>
      </c>
      <c r="U145" s="8">
        <f>(256*4+128*4+8+40+80+80)*U67</f>
        <v>5725.7972935999996</v>
      </c>
      <c r="V145" s="8">
        <f>(256*4+128*4+8+80+80+80)*V67</f>
        <v>5857.1229196000004</v>
      </c>
      <c r="W145" t="s">
        <v>6</v>
      </c>
    </row>
    <row r="146" spans="7:23" ht="14.5" thickBot="1" x14ac:dyDescent="0.35">
      <c r="G146" s="4" t="s">
        <v>15</v>
      </c>
      <c r="H146" s="6">
        <f>(256*4+256*4+8+20+80+20)*H68</f>
        <v>7143.9570560000002</v>
      </c>
      <c r="I146" s="6">
        <f>(256*4+256*4+8+40+80+20)*I68</f>
        <v>7209.6161201999994</v>
      </c>
      <c r="J146" s="6">
        <f>(256*4+256*4+8+80+80+20)*J68</f>
        <v>7340.9388181999993</v>
      </c>
      <c r="K146" s="2" t="s">
        <v>6</v>
      </c>
      <c r="M146" s="4" t="s">
        <v>15</v>
      </c>
      <c r="N146" s="6">
        <f>(256*4+256*4+8+20+80+40)*N68</f>
        <v>7209.618426</v>
      </c>
      <c r="O146" s="6">
        <f>(256*4+256*4+8+40+80+40)*O68</f>
        <v>7275.2785771999997</v>
      </c>
      <c r="P146" s="6">
        <f>(256*4+256*4+8+80+80+40)*P68</f>
        <v>7406.6012952000001</v>
      </c>
      <c r="Q146" s="2" t="s">
        <v>6</v>
      </c>
      <c r="S146" s="4" t="s">
        <v>15</v>
      </c>
      <c r="T146" s="6">
        <f>(256*4+256*4+8+20+80+80)*T68</f>
        <v>7340.9501099999998</v>
      </c>
      <c r="U146" s="6">
        <f>(256*4+256*4+8+40+80+80)*U68</f>
        <v>7406.6091912000002</v>
      </c>
      <c r="V146" s="6">
        <f>(256*4+256*4+8+80+80+80)*V68</f>
        <v>7537.9320491999997</v>
      </c>
      <c r="W146" s="2" t="s">
        <v>6</v>
      </c>
    </row>
  </sheetData>
  <mergeCells count="88">
    <mergeCell ref="O115:O116"/>
    <mergeCell ref="S115:S116"/>
    <mergeCell ref="T115:T116"/>
    <mergeCell ref="U115:U116"/>
    <mergeCell ref="G132:G133"/>
    <mergeCell ref="H132:H133"/>
    <mergeCell ref="I132:I133"/>
    <mergeCell ref="M132:M133"/>
    <mergeCell ref="N132:N133"/>
    <mergeCell ref="O132:O133"/>
    <mergeCell ref="S132:S133"/>
    <mergeCell ref="T132:T133"/>
    <mergeCell ref="U132:U133"/>
    <mergeCell ref="G115:G116"/>
    <mergeCell ref="H115:H116"/>
    <mergeCell ref="I115:I116"/>
    <mergeCell ref="M115:M116"/>
    <mergeCell ref="N115:N116"/>
    <mergeCell ref="T79:T80"/>
    <mergeCell ref="U79:U80"/>
    <mergeCell ref="A96:A97"/>
    <mergeCell ref="B96:B97"/>
    <mergeCell ref="C96:C97"/>
    <mergeCell ref="G96:G97"/>
    <mergeCell ref="H96:H97"/>
    <mergeCell ref="I96:I97"/>
    <mergeCell ref="M96:M97"/>
    <mergeCell ref="N96:N97"/>
    <mergeCell ref="O96:O97"/>
    <mergeCell ref="S96:S97"/>
    <mergeCell ref="T96:T97"/>
    <mergeCell ref="U96:U97"/>
    <mergeCell ref="I79:I80"/>
    <mergeCell ref="M79:M80"/>
    <mergeCell ref="N79:N80"/>
    <mergeCell ref="O79:O80"/>
    <mergeCell ref="S79:S80"/>
    <mergeCell ref="A79:A80"/>
    <mergeCell ref="B79:B80"/>
    <mergeCell ref="C79:C80"/>
    <mergeCell ref="G79:G80"/>
    <mergeCell ref="H79:H80"/>
    <mergeCell ref="A54:A55"/>
    <mergeCell ref="B1:B2"/>
    <mergeCell ref="C1:C2"/>
    <mergeCell ref="B18:B19"/>
    <mergeCell ref="C18:C19"/>
    <mergeCell ref="B37:B38"/>
    <mergeCell ref="C37:C38"/>
    <mergeCell ref="A1:A2"/>
    <mergeCell ref="A18:A19"/>
    <mergeCell ref="A37:A38"/>
    <mergeCell ref="I1:I2"/>
    <mergeCell ref="H18:H19"/>
    <mergeCell ref="I18:I19"/>
    <mergeCell ref="G1:G2"/>
    <mergeCell ref="G18:G19"/>
    <mergeCell ref="U1:U2"/>
    <mergeCell ref="S18:S19"/>
    <mergeCell ref="T18:T19"/>
    <mergeCell ref="U18:U19"/>
    <mergeCell ref="G37:G38"/>
    <mergeCell ref="H37:H38"/>
    <mergeCell ref="I37:I38"/>
    <mergeCell ref="S1:S2"/>
    <mergeCell ref="T1:T2"/>
    <mergeCell ref="M1:M2"/>
    <mergeCell ref="N1:N2"/>
    <mergeCell ref="O1:O2"/>
    <mergeCell ref="M18:M19"/>
    <mergeCell ref="N18:N19"/>
    <mergeCell ref="O18:O19"/>
    <mergeCell ref="H1:H2"/>
    <mergeCell ref="G54:G55"/>
    <mergeCell ref="H54:H55"/>
    <mergeCell ref="I54:I55"/>
    <mergeCell ref="M37:M38"/>
    <mergeCell ref="N37:N38"/>
    <mergeCell ref="O37:O38"/>
    <mergeCell ref="M54:M55"/>
    <mergeCell ref="N54:N55"/>
    <mergeCell ref="O54:O55"/>
    <mergeCell ref="S37:S38"/>
    <mergeCell ref="T37:T38"/>
    <mergeCell ref="U37:U38"/>
    <mergeCell ref="S54:S55"/>
    <mergeCell ref="T54:T55"/>
    <mergeCell ref="U54:U55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C445-67EF-443C-BEE4-877FCC5F188F}">
  <sheetPr>
    <tabColor theme="8" tint="-0.249977111117893"/>
  </sheetPr>
  <dimension ref="A1:W127"/>
  <sheetViews>
    <sheetView topLeftCell="A40" workbookViewId="0">
      <selection activeCell="B69" sqref="B69"/>
    </sheetView>
  </sheetViews>
  <sheetFormatPr defaultRowHeight="14" x14ac:dyDescent="0.3"/>
  <cols>
    <col min="1" max="1" width="12.1640625" bestFit="1" customWidth="1"/>
    <col min="2" max="4" width="26.33203125" bestFit="1" customWidth="1"/>
    <col min="5" max="5" width="27.25" bestFit="1" customWidth="1"/>
    <col min="7" max="7" width="12.1640625" bestFit="1" customWidth="1"/>
    <col min="8" max="10" width="26.33203125" bestFit="1" customWidth="1"/>
    <col min="11" max="11" width="27.25" bestFit="1" customWidth="1"/>
    <col min="13" max="13" width="12.1640625" bestFit="1" customWidth="1"/>
    <col min="14" max="16" width="26.33203125" bestFit="1" customWidth="1"/>
    <col min="17" max="17" width="27.25" bestFit="1" customWidth="1"/>
    <col min="19" max="19" width="12.1640625" bestFit="1" customWidth="1"/>
    <col min="20" max="22" width="26.33203125" bestFit="1" customWidth="1"/>
    <col min="23" max="23" width="27.25" bestFit="1" customWidth="1"/>
  </cols>
  <sheetData>
    <row r="1" spans="1:23" x14ac:dyDescent="0.3">
      <c r="A1" s="21" t="s">
        <v>7</v>
      </c>
      <c r="B1" s="23" t="s">
        <v>9</v>
      </c>
      <c r="C1" s="23" t="s">
        <v>17</v>
      </c>
      <c r="G1" s="21" t="s">
        <v>7</v>
      </c>
      <c r="H1" s="23" t="s">
        <v>10</v>
      </c>
      <c r="I1" s="23" t="s">
        <v>17</v>
      </c>
      <c r="M1" s="21" t="s">
        <v>7</v>
      </c>
      <c r="N1" s="23" t="s">
        <v>11</v>
      </c>
      <c r="O1" s="23" t="s">
        <v>17</v>
      </c>
      <c r="S1" s="21" t="s">
        <v>7</v>
      </c>
      <c r="T1" s="23" t="s">
        <v>12</v>
      </c>
      <c r="U1" s="23" t="s">
        <v>17</v>
      </c>
    </row>
    <row r="2" spans="1:23" x14ac:dyDescent="0.3">
      <c r="A2" s="22"/>
      <c r="B2" s="23"/>
      <c r="C2" s="23"/>
      <c r="G2" s="22"/>
      <c r="H2" s="23"/>
      <c r="I2" s="23"/>
      <c r="M2" s="22"/>
      <c r="N2" s="23"/>
      <c r="O2" s="23"/>
      <c r="S2" s="22"/>
      <c r="T2" s="23"/>
      <c r="U2" s="23"/>
    </row>
    <row r="3" spans="1:23" ht="14.5" thickBot="1" x14ac:dyDescent="0.35">
      <c r="B3" s="2" t="s">
        <v>1</v>
      </c>
      <c r="C3" s="2" t="s">
        <v>2</v>
      </c>
      <c r="D3" s="2" t="s">
        <v>3</v>
      </c>
      <c r="H3" s="2" t="s">
        <v>1</v>
      </c>
      <c r="I3" s="2" t="s">
        <v>2</v>
      </c>
      <c r="J3" s="2" t="s">
        <v>3</v>
      </c>
      <c r="N3" s="2" t="s">
        <v>1</v>
      </c>
      <c r="O3" s="2" t="s">
        <v>2</v>
      </c>
      <c r="P3" s="2" t="s">
        <v>3</v>
      </c>
      <c r="T3" t="s">
        <v>1</v>
      </c>
      <c r="U3" t="s">
        <v>2</v>
      </c>
      <c r="V3" t="s">
        <v>3</v>
      </c>
    </row>
    <row r="4" spans="1:23" ht="14.5" thickBot="1" x14ac:dyDescent="0.35">
      <c r="A4" t="s">
        <v>13</v>
      </c>
      <c r="B4" s="5">
        <v>1.84378705</v>
      </c>
      <c r="C4" s="5">
        <v>1.84378705</v>
      </c>
      <c r="D4" s="5">
        <v>1.84378705</v>
      </c>
      <c r="E4" s="1" t="s">
        <v>4</v>
      </c>
      <c r="G4" t="s">
        <v>13</v>
      </c>
      <c r="H4" s="5">
        <v>1.84378705</v>
      </c>
      <c r="I4" s="5">
        <v>1.84378705</v>
      </c>
      <c r="J4" s="5">
        <v>1.84378705</v>
      </c>
      <c r="K4" s="1" t="s">
        <v>4</v>
      </c>
      <c r="M4" t="s">
        <v>13</v>
      </c>
      <c r="N4" s="5">
        <v>1.84378705</v>
      </c>
      <c r="O4" s="5">
        <v>1.84378705</v>
      </c>
      <c r="P4" s="5">
        <v>1.84378705</v>
      </c>
      <c r="Q4" s="1" t="s">
        <v>4</v>
      </c>
      <c r="S4" t="s">
        <v>13</v>
      </c>
    </row>
    <row r="5" spans="1:23" x14ac:dyDescent="0.3">
      <c r="A5" s="1" t="s">
        <v>16</v>
      </c>
      <c r="B5" s="5">
        <v>1.8437874000000001</v>
      </c>
      <c r="C5" s="5">
        <v>1.8437869999999998</v>
      </c>
      <c r="D5" s="5">
        <v>1.8437869500000001</v>
      </c>
      <c r="E5" s="1" t="s">
        <v>4</v>
      </c>
      <c r="G5" s="1" t="s">
        <v>16</v>
      </c>
      <c r="H5" s="5">
        <v>1.8437874000000001</v>
      </c>
      <c r="I5" s="5">
        <v>1.8437869999999998</v>
      </c>
      <c r="J5" s="5">
        <v>1.8437869500000001</v>
      </c>
      <c r="K5" s="1" t="s">
        <v>4</v>
      </c>
      <c r="M5" s="1" t="s">
        <v>16</v>
      </c>
      <c r="N5" s="5">
        <v>1.8437874000000001</v>
      </c>
      <c r="O5" s="5">
        <v>1.8437869999999998</v>
      </c>
      <c r="P5" s="5">
        <v>1.8437869500000001</v>
      </c>
      <c r="Q5" s="1" t="s">
        <v>4</v>
      </c>
      <c r="S5" s="1" t="s">
        <v>16</v>
      </c>
      <c r="T5" s="7">
        <v>1.8437874000000001</v>
      </c>
      <c r="U5" s="7">
        <v>1.8437869999999998</v>
      </c>
      <c r="V5" s="7">
        <v>1.8437869500000001</v>
      </c>
      <c r="W5" s="1" t="s">
        <v>4</v>
      </c>
    </row>
    <row r="6" spans="1:23" ht="14.5" thickBot="1" x14ac:dyDescent="0.35">
      <c r="A6" s="2" t="s">
        <v>14</v>
      </c>
      <c r="B6" s="6">
        <v>1.8437869500000001</v>
      </c>
      <c r="C6" s="6">
        <v>1.8437869500000001</v>
      </c>
      <c r="D6" s="6">
        <v>1.8437869500000001</v>
      </c>
      <c r="E6" s="2" t="s">
        <v>4</v>
      </c>
      <c r="G6" s="2" t="s">
        <v>14</v>
      </c>
      <c r="H6" s="6">
        <v>1.8437869500000001</v>
      </c>
      <c r="I6" s="6">
        <v>1.8437869500000001</v>
      </c>
      <c r="J6" s="6">
        <v>1.8437869500000001</v>
      </c>
      <c r="K6" s="2" t="s">
        <v>4</v>
      </c>
      <c r="M6" s="2" t="s">
        <v>14</v>
      </c>
      <c r="N6" s="6">
        <v>1.8437869500000001</v>
      </c>
      <c r="O6" s="6">
        <v>1.8437869500000001</v>
      </c>
      <c r="P6" s="6">
        <v>1.8437869500000001</v>
      </c>
      <c r="Q6" s="2" t="s">
        <v>4</v>
      </c>
      <c r="S6" s="1" t="s">
        <v>14</v>
      </c>
      <c r="T6" s="5"/>
      <c r="U6" s="5"/>
      <c r="V6" s="5"/>
      <c r="W6" s="1" t="s">
        <v>4</v>
      </c>
    </row>
    <row r="7" spans="1:23" ht="14.5" thickBot="1" x14ac:dyDescent="0.35">
      <c r="A7" t="s">
        <v>13</v>
      </c>
      <c r="B7" s="5">
        <v>1.8437869500000001</v>
      </c>
      <c r="C7" s="5">
        <v>1.8437869500000001</v>
      </c>
      <c r="D7" s="5">
        <v>1.8437869500000001</v>
      </c>
      <c r="E7" s="1" t="s">
        <v>5</v>
      </c>
      <c r="G7" t="s">
        <v>13</v>
      </c>
      <c r="H7" s="5">
        <v>1.8437869500000001</v>
      </c>
      <c r="I7" s="5">
        <v>1.8437869500000001</v>
      </c>
      <c r="J7" s="5">
        <v>1.8437869500000001</v>
      </c>
      <c r="K7" s="1" t="s">
        <v>5</v>
      </c>
      <c r="M7" t="s">
        <v>13</v>
      </c>
      <c r="N7" s="5">
        <v>1.8437869500000001</v>
      </c>
      <c r="O7" s="5">
        <v>1.8437869500000001</v>
      </c>
      <c r="P7" s="5">
        <v>1.8437869500000001</v>
      </c>
      <c r="Q7" s="1" t="s">
        <v>5</v>
      </c>
      <c r="S7" s="4" t="s">
        <v>15</v>
      </c>
      <c r="T7" s="5"/>
      <c r="U7" s="5"/>
      <c r="V7" s="5"/>
      <c r="W7" s="1"/>
    </row>
    <row r="8" spans="1:23" x14ac:dyDescent="0.3">
      <c r="A8" s="1" t="s">
        <v>16</v>
      </c>
      <c r="B8" s="5">
        <v>1.8437874000000001</v>
      </c>
      <c r="C8" s="5">
        <v>1.8437869999999998</v>
      </c>
      <c r="D8" s="5">
        <v>1.8437869500000001</v>
      </c>
      <c r="E8" s="1" t="s">
        <v>5</v>
      </c>
      <c r="G8" s="1" t="s">
        <v>16</v>
      </c>
      <c r="H8" s="5">
        <v>1.8437874000000001</v>
      </c>
      <c r="I8" s="5">
        <v>1.8437869999999998</v>
      </c>
      <c r="J8" s="5">
        <v>1.8437869500000001</v>
      </c>
      <c r="K8" s="1" t="s">
        <v>5</v>
      </c>
      <c r="M8" s="1" t="s">
        <v>16</v>
      </c>
      <c r="N8" s="5">
        <v>1.8437874000000001</v>
      </c>
      <c r="O8" s="5">
        <v>1.8437869999999998</v>
      </c>
      <c r="P8" s="5">
        <v>1.8437869500000001</v>
      </c>
      <c r="Q8" s="1" t="s">
        <v>5</v>
      </c>
      <c r="S8" t="s">
        <v>13</v>
      </c>
      <c r="T8" s="7">
        <v>1.8437874000000001</v>
      </c>
      <c r="U8" s="7">
        <v>1.8437869999999998</v>
      </c>
      <c r="V8" s="7">
        <v>1.8437869500000001</v>
      </c>
      <c r="W8" s="1" t="s">
        <v>5</v>
      </c>
    </row>
    <row r="9" spans="1:23" ht="14.5" thickBot="1" x14ac:dyDescent="0.35">
      <c r="A9" s="2" t="s">
        <v>14</v>
      </c>
      <c r="B9" s="6">
        <v>1.8437869500000001</v>
      </c>
      <c r="C9" s="6">
        <v>1.8437869500000001</v>
      </c>
      <c r="D9" s="6">
        <v>1.8437869500000001</v>
      </c>
      <c r="E9" s="2" t="s">
        <v>5</v>
      </c>
      <c r="G9" s="2" t="s">
        <v>14</v>
      </c>
      <c r="H9" s="6">
        <v>1.8437869500000001</v>
      </c>
      <c r="I9" s="6">
        <v>1.8437869500000001</v>
      </c>
      <c r="J9" s="6">
        <v>1.8437869500000001</v>
      </c>
      <c r="K9" s="2" t="s">
        <v>5</v>
      </c>
      <c r="M9" s="2" t="s">
        <v>14</v>
      </c>
      <c r="N9" s="6">
        <v>1.8437869500000001</v>
      </c>
      <c r="O9" s="6">
        <v>1.8437869500000001</v>
      </c>
      <c r="P9" s="6">
        <v>1.8437869500000001</v>
      </c>
      <c r="Q9" s="2" t="s">
        <v>5</v>
      </c>
      <c r="S9" s="1" t="s">
        <v>16</v>
      </c>
      <c r="T9" s="5"/>
      <c r="U9" s="5"/>
      <c r="V9" s="5"/>
      <c r="W9" s="1" t="s">
        <v>5</v>
      </c>
    </row>
    <row r="10" spans="1:23" x14ac:dyDescent="0.3">
      <c r="A10" t="s">
        <v>13</v>
      </c>
      <c r="B10" s="5">
        <v>1.8437869500000001</v>
      </c>
      <c r="C10" s="5">
        <v>1.8437869500000001</v>
      </c>
      <c r="D10" s="5">
        <v>1.8437869500000001</v>
      </c>
      <c r="E10" t="s">
        <v>6</v>
      </c>
      <c r="G10" t="s">
        <v>13</v>
      </c>
      <c r="H10" s="5">
        <v>1.8437869500000001</v>
      </c>
      <c r="I10" s="5">
        <v>1.8437869500000001</v>
      </c>
      <c r="J10" s="5">
        <v>1.8437869500000001</v>
      </c>
      <c r="K10" t="s">
        <v>6</v>
      </c>
      <c r="M10" t="s">
        <v>13</v>
      </c>
      <c r="N10" s="5">
        <v>1.8437869499999999</v>
      </c>
      <c r="O10" s="5">
        <v>1.8437869500000001</v>
      </c>
      <c r="P10" s="5">
        <v>1.8437869500000001</v>
      </c>
      <c r="Q10" t="s">
        <v>6</v>
      </c>
      <c r="S10" s="1" t="s">
        <v>14</v>
      </c>
      <c r="T10" s="5"/>
      <c r="U10" s="5"/>
      <c r="V10" s="5"/>
      <c r="W10" s="1"/>
    </row>
    <row r="11" spans="1:23" x14ac:dyDescent="0.3">
      <c r="A11" s="1" t="s">
        <v>16</v>
      </c>
      <c r="B11" s="8">
        <v>1.8437874000000001</v>
      </c>
      <c r="C11" s="8">
        <v>1.8437869999999998</v>
      </c>
      <c r="D11" s="8">
        <v>1.8437869500000001</v>
      </c>
      <c r="E11" t="s">
        <v>6</v>
      </c>
      <c r="G11" s="1" t="s">
        <v>16</v>
      </c>
      <c r="H11" s="8">
        <v>1.8437874000000001</v>
      </c>
      <c r="I11" s="8">
        <v>1.8437869999999998</v>
      </c>
      <c r="J11" s="8">
        <v>1.8437869500000001</v>
      </c>
      <c r="K11" t="s">
        <v>6</v>
      </c>
      <c r="M11" s="1" t="s">
        <v>16</v>
      </c>
      <c r="N11" s="8">
        <v>1.8437874000000001</v>
      </c>
      <c r="O11" s="8">
        <v>1.8437869999999998</v>
      </c>
      <c r="P11" s="8">
        <v>1.8437869500000001</v>
      </c>
      <c r="Q11" t="s">
        <v>6</v>
      </c>
      <c r="S11" t="s">
        <v>13</v>
      </c>
      <c r="T11" s="8">
        <v>1.8437874000000001</v>
      </c>
      <c r="U11" s="8">
        <v>1.8437869999999998</v>
      </c>
      <c r="V11" s="8">
        <v>1.8437869500000001</v>
      </c>
      <c r="W11" t="s">
        <v>6</v>
      </c>
    </row>
    <row r="12" spans="1:23" ht="14.5" thickBot="1" x14ac:dyDescent="0.35">
      <c r="A12" s="2" t="s">
        <v>14</v>
      </c>
      <c r="B12" s="6">
        <v>1.8437869500000001</v>
      </c>
      <c r="C12" s="6">
        <v>1.8437869500000001</v>
      </c>
      <c r="D12" s="6">
        <v>1.8437869500000001</v>
      </c>
      <c r="E12" s="2" t="s">
        <v>6</v>
      </c>
      <c r="G12" s="2" t="s">
        <v>14</v>
      </c>
      <c r="H12" s="6">
        <v>1.8437869499999999</v>
      </c>
      <c r="I12" s="6">
        <v>1.8437869500000001</v>
      </c>
      <c r="J12" s="6">
        <v>1.8437869500000001</v>
      </c>
      <c r="K12" s="2" t="s">
        <v>6</v>
      </c>
      <c r="M12" s="2" t="s">
        <v>14</v>
      </c>
      <c r="N12" s="6">
        <v>1.8437869500000001</v>
      </c>
      <c r="O12" s="6">
        <v>1.8437869500000001</v>
      </c>
      <c r="P12" s="6">
        <v>1.8437869500000001</v>
      </c>
      <c r="Q12" s="2" t="s">
        <v>6</v>
      </c>
      <c r="S12" s="1" t="s">
        <v>16</v>
      </c>
      <c r="T12" s="8"/>
      <c r="U12" s="8"/>
      <c r="V12" s="8"/>
      <c r="W12" t="s">
        <v>6</v>
      </c>
    </row>
    <row r="13" spans="1:23" x14ac:dyDescent="0.3">
      <c r="S13" s="1" t="s">
        <v>14</v>
      </c>
    </row>
    <row r="15" spans="1:23" x14ac:dyDescent="0.3">
      <c r="A15" s="21" t="s">
        <v>8</v>
      </c>
      <c r="B15" s="23" t="s">
        <v>9</v>
      </c>
      <c r="C15" s="23" t="s">
        <v>17</v>
      </c>
      <c r="G15" s="21" t="s">
        <v>8</v>
      </c>
      <c r="H15" s="23" t="s">
        <v>10</v>
      </c>
      <c r="I15" s="23" t="s">
        <v>17</v>
      </c>
      <c r="M15" s="21" t="s">
        <v>8</v>
      </c>
      <c r="N15" s="23" t="s">
        <v>11</v>
      </c>
      <c r="O15" s="23" t="s">
        <v>17</v>
      </c>
      <c r="S15" s="21" t="s">
        <v>8</v>
      </c>
      <c r="T15" s="23" t="s">
        <v>12</v>
      </c>
      <c r="U15" s="23" t="s">
        <v>17</v>
      </c>
    </row>
    <row r="16" spans="1:23" x14ac:dyDescent="0.3">
      <c r="A16" s="22"/>
      <c r="B16" s="23"/>
      <c r="C16" s="23"/>
      <c r="G16" s="22"/>
      <c r="H16" s="23"/>
      <c r="I16" s="23"/>
      <c r="M16" s="22"/>
      <c r="N16" s="23"/>
      <c r="O16" s="23"/>
      <c r="S16" s="22"/>
      <c r="T16" s="23"/>
      <c r="U16" s="23"/>
    </row>
    <row r="17" spans="1:23" ht="14.5" thickBot="1" x14ac:dyDescent="0.35">
      <c r="B17" s="2" t="s">
        <v>1</v>
      </c>
      <c r="C17" s="2" t="s">
        <v>2</v>
      </c>
      <c r="D17" s="2" t="s">
        <v>3</v>
      </c>
      <c r="H17" s="2" t="s">
        <v>1</v>
      </c>
      <c r="I17" s="2" t="s">
        <v>2</v>
      </c>
      <c r="J17" s="2" t="s">
        <v>3</v>
      </c>
      <c r="N17" s="2" t="s">
        <v>1</v>
      </c>
      <c r="O17" s="2" t="s">
        <v>2</v>
      </c>
      <c r="P17" s="2" t="s">
        <v>3</v>
      </c>
      <c r="T17" t="s">
        <v>1</v>
      </c>
      <c r="U17" t="s">
        <v>2</v>
      </c>
      <c r="V17" t="s">
        <v>3</v>
      </c>
    </row>
    <row r="18" spans="1:23" ht="14.5" thickBot="1" x14ac:dyDescent="0.35">
      <c r="A18" t="s">
        <v>13</v>
      </c>
      <c r="B18" s="5">
        <v>1.4219469499999999</v>
      </c>
      <c r="C18" s="5">
        <v>1.4219469499999999</v>
      </c>
      <c r="D18" s="5">
        <v>1.4219469499999999</v>
      </c>
      <c r="E18" s="1" t="s">
        <v>4</v>
      </c>
      <c r="G18" t="s">
        <v>13</v>
      </c>
      <c r="H18" s="5">
        <v>1.4219469499999999</v>
      </c>
      <c r="I18" s="5">
        <v>1.4219469499999999</v>
      </c>
      <c r="J18" s="5">
        <v>1.4219469499999999</v>
      </c>
      <c r="K18" s="1" t="s">
        <v>4</v>
      </c>
      <c r="M18" t="s">
        <v>13</v>
      </c>
      <c r="N18" s="5">
        <v>1.4219469499999999</v>
      </c>
      <c r="O18" s="5">
        <v>1.4219469499999999</v>
      </c>
      <c r="P18" s="5">
        <v>1.4219469499999999</v>
      </c>
      <c r="Q18" s="1" t="s">
        <v>4</v>
      </c>
      <c r="S18" t="s">
        <v>13</v>
      </c>
    </row>
    <row r="19" spans="1:23" x14ac:dyDescent="0.3">
      <c r="A19" s="1" t="s">
        <v>16</v>
      </c>
      <c r="B19" s="5">
        <v>1.4219473</v>
      </c>
      <c r="C19" s="5">
        <v>1.4219469</v>
      </c>
      <c r="D19" s="5">
        <v>1.4219468499999999</v>
      </c>
      <c r="E19" s="1" t="s">
        <v>4</v>
      </c>
      <c r="G19" s="1" t="s">
        <v>16</v>
      </c>
      <c r="H19" s="5">
        <v>1.4219473</v>
      </c>
      <c r="I19" s="5">
        <v>1.4219469</v>
      </c>
      <c r="J19" s="5">
        <v>1.4219468499999999</v>
      </c>
      <c r="K19" s="1" t="s">
        <v>4</v>
      </c>
      <c r="M19" s="1" t="s">
        <v>16</v>
      </c>
      <c r="N19" s="5">
        <v>1.4219473</v>
      </c>
      <c r="O19" s="5">
        <v>1.4219469</v>
      </c>
      <c r="P19" s="5">
        <v>1.4219468499999999</v>
      </c>
      <c r="Q19" s="1" t="s">
        <v>4</v>
      </c>
      <c r="S19" s="1" t="s">
        <v>16</v>
      </c>
      <c r="T19" s="3"/>
      <c r="U19" s="3"/>
      <c r="V19" s="3"/>
      <c r="W19" s="1" t="s">
        <v>4</v>
      </c>
    </row>
    <row r="20" spans="1:23" ht="14.5" thickBot="1" x14ac:dyDescent="0.35">
      <c r="A20" s="2" t="s">
        <v>14</v>
      </c>
      <c r="B20" s="6">
        <v>1.4219468499999999</v>
      </c>
      <c r="C20" s="6">
        <v>1.4219468499999999</v>
      </c>
      <c r="D20" s="6">
        <v>1.4219468499999999</v>
      </c>
      <c r="E20" s="2" t="s">
        <v>4</v>
      </c>
      <c r="G20" s="2" t="s">
        <v>14</v>
      </c>
      <c r="H20" s="6">
        <v>1.4219468499999999</v>
      </c>
      <c r="I20" s="6">
        <v>1.4219468499999999</v>
      </c>
      <c r="J20" s="6">
        <v>1.4219468499999999</v>
      </c>
      <c r="K20" s="2" t="s">
        <v>4</v>
      </c>
      <c r="M20" s="2" t="s">
        <v>14</v>
      </c>
      <c r="N20" s="6">
        <v>1.4219468499999999</v>
      </c>
      <c r="O20" s="6">
        <v>1.4219468499999999</v>
      </c>
      <c r="P20" s="6">
        <v>1.4219468499999999</v>
      </c>
      <c r="Q20" s="2" t="s">
        <v>4</v>
      </c>
      <c r="S20" s="1" t="s">
        <v>14</v>
      </c>
      <c r="T20" s="1"/>
      <c r="U20" s="1"/>
      <c r="V20" s="1"/>
      <c r="W20" s="1" t="s">
        <v>4</v>
      </c>
    </row>
    <row r="21" spans="1:23" ht="14.5" thickBot="1" x14ac:dyDescent="0.35">
      <c r="A21" t="s">
        <v>13</v>
      </c>
      <c r="B21" s="5">
        <v>1.4219468499999999</v>
      </c>
      <c r="C21" s="5">
        <v>1.4219468499999999</v>
      </c>
      <c r="D21" s="5">
        <v>1.4219468499999999</v>
      </c>
      <c r="E21" s="1" t="s">
        <v>5</v>
      </c>
      <c r="G21" t="s">
        <v>13</v>
      </c>
      <c r="H21" s="5">
        <v>1.4219468499999999</v>
      </c>
      <c r="I21" s="5">
        <v>1.4219468499999999</v>
      </c>
      <c r="J21" s="5">
        <v>1.4219468499999999</v>
      </c>
      <c r="K21" s="1" t="s">
        <v>5</v>
      </c>
      <c r="M21" t="s">
        <v>13</v>
      </c>
      <c r="N21" s="5">
        <v>1.4219468499999999</v>
      </c>
      <c r="O21" s="5">
        <v>1.4219468499999999</v>
      </c>
      <c r="P21" s="5">
        <v>1.4219468499999999</v>
      </c>
      <c r="Q21" s="1" t="s">
        <v>5</v>
      </c>
      <c r="S21" s="4" t="s">
        <v>15</v>
      </c>
      <c r="T21" s="1"/>
      <c r="U21" s="1"/>
      <c r="V21" s="1"/>
      <c r="W21" s="1"/>
    </row>
    <row r="22" spans="1:23" x14ac:dyDescent="0.3">
      <c r="A22" s="1" t="s">
        <v>16</v>
      </c>
      <c r="B22" s="5">
        <v>1.4219473</v>
      </c>
      <c r="C22" s="5">
        <v>1.4219468499999999</v>
      </c>
      <c r="D22" s="5">
        <v>1.4219468499999999</v>
      </c>
      <c r="E22" s="1" t="s">
        <v>5</v>
      </c>
      <c r="G22" s="1" t="s">
        <v>16</v>
      </c>
      <c r="H22" s="5">
        <v>1.4219473</v>
      </c>
      <c r="I22" s="5">
        <v>1.4219469</v>
      </c>
      <c r="J22" s="5">
        <v>1.4219468499999999</v>
      </c>
      <c r="K22" s="1" t="s">
        <v>5</v>
      </c>
      <c r="M22" s="1" t="s">
        <v>16</v>
      </c>
      <c r="N22" s="5">
        <v>1.4219473</v>
      </c>
      <c r="O22" s="5">
        <v>1.4219469</v>
      </c>
      <c r="P22" s="5">
        <v>1.4219468499999999</v>
      </c>
      <c r="Q22" s="1" t="s">
        <v>5</v>
      </c>
      <c r="S22" t="s">
        <v>13</v>
      </c>
      <c r="T22" s="3"/>
      <c r="U22" s="3"/>
      <c r="V22" s="3"/>
      <c r="W22" s="1" t="s">
        <v>5</v>
      </c>
    </row>
    <row r="23" spans="1:23" ht="14.5" thickBot="1" x14ac:dyDescent="0.35">
      <c r="A23" s="2" t="s">
        <v>13</v>
      </c>
      <c r="B23" s="6">
        <v>1.4219468499999999</v>
      </c>
      <c r="C23" s="6">
        <v>1.4219468499999999</v>
      </c>
      <c r="D23" s="6">
        <v>1.4219468499999999</v>
      </c>
      <c r="E23" s="2" t="s">
        <v>5</v>
      </c>
      <c r="G23" s="2" t="s">
        <v>13</v>
      </c>
      <c r="H23" s="6">
        <v>1.4219468499999999</v>
      </c>
      <c r="I23" s="6">
        <v>1.4219468499999999</v>
      </c>
      <c r="J23" s="6">
        <v>1.4219468499999999</v>
      </c>
      <c r="K23" s="2" t="s">
        <v>5</v>
      </c>
      <c r="M23" s="2" t="s">
        <v>13</v>
      </c>
      <c r="N23" s="6">
        <v>1.4219468499999999</v>
      </c>
      <c r="O23" s="6">
        <v>1.4219468499999999</v>
      </c>
      <c r="P23" s="6">
        <v>1.4219468499999999</v>
      </c>
      <c r="Q23" s="2" t="s">
        <v>5</v>
      </c>
      <c r="S23" s="1" t="s">
        <v>16</v>
      </c>
      <c r="T23" s="1"/>
      <c r="U23" s="1"/>
      <c r="V23" s="1"/>
      <c r="W23" s="1" t="s">
        <v>5</v>
      </c>
    </row>
    <row r="24" spans="1:23" x14ac:dyDescent="0.3">
      <c r="A24" t="s">
        <v>13</v>
      </c>
      <c r="B24" s="5">
        <v>1.4219468499999999</v>
      </c>
      <c r="C24" s="5">
        <v>1.4219468499999999</v>
      </c>
      <c r="D24" s="5">
        <v>1.4219468499999999</v>
      </c>
      <c r="E24" t="s">
        <v>6</v>
      </c>
      <c r="G24" t="s">
        <v>13</v>
      </c>
      <c r="H24" s="5">
        <v>1.4219468499999999</v>
      </c>
      <c r="I24" s="5">
        <v>1.4219468499999999</v>
      </c>
      <c r="J24" s="5">
        <v>1.4219468499999999</v>
      </c>
      <c r="K24" t="s">
        <v>6</v>
      </c>
      <c r="M24" t="s">
        <v>13</v>
      </c>
      <c r="N24" s="5">
        <v>1.4219468499999999</v>
      </c>
      <c r="O24" s="5">
        <v>1.4219468499999999</v>
      </c>
      <c r="P24" s="5">
        <v>1.4219468499999999</v>
      </c>
      <c r="Q24" t="s">
        <v>6</v>
      </c>
      <c r="S24" s="1" t="s">
        <v>14</v>
      </c>
      <c r="T24" s="1"/>
      <c r="U24" s="1"/>
      <c r="V24" s="1"/>
      <c r="W24" s="1"/>
    </row>
    <row r="25" spans="1:23" x14ac:dyDescent="0.3">
      <c r="A25" s="1" t="s">
        <v>16</v>
      </c>
      <c r="B25" s="8">
        <v>1.4219473</v>
      </c>
      <c r="C25" s="8">
        <v>1.4219469</v>
      </c>
      <c r="D25" s="8">
        <v>1.4219468499999999</v>
      </c>
      <c r="E25" t="s">
        <v>6</v>
      </c>
      <c r="G25" s="1" t="s">
        <v>16</v>
      </c>
      <c r="H25" s="8">
        <v>1.4219473</v>
      </c>
      <c r="I25" s="8">
        <v>1.4219469</v>
      </c>
      <c r="J25" s="8">
        <v>1.4219468499999999</v>
      </c>
      <c r="K25" t="s">
        <v>6</v>
      </c>
      <c r="M25" s="1" t="s">
        <v>16</v>
      </c>
      <c r="N25" s="8">
        <v>1.4219473</v>
      </c>
      <c r="O25" s="8">
        <v>1.4219469</v>
      </c>
      <c r="P25" s="8">
        <v>1.4219468499999999</v>
      </c>
      <c r="Q25" t="s">
        <v>6</v>
      </c>
      <c r="S25" t="s">
        <v>13</v>
      </c>
      <c r="W25" t="s">
        <v>6</v>
      </c>
    </row>
    <row r="26" spans="1:23" ht="14.5" thickBot="1" x14ac:dyDescent="0.35">
      <c r="A26" s="2" t="s">
        <v>14</v>
      </c>
      <c r="B26" s="6">
        <v>1.4219468499999999</v>
      </c>
      <c r="C26" s="6">
        <v>1.4219468499999999</v>
      </c>
      <c r="D26" s="6">
        <v>1.4219468499999999</v>
      </c>
      <c r="E26" s="2" t="s">
        <v>6</v>
      </c>
      <c r="G26" s="2" t="s">
        <v>14</v>
      </c>
      <c r="H26" s="6">
        <v>1.4219468499999999</v>
      </c>
      <c r="I26" s="6">
        <v>1.4219468499999999</v>
      </c>
      <c r="J26" s="6">
        <v>1.4219468499999999</v>
      </c>
      <c r="K26" s="2" t="s">
        <v>6</v>
      </c>
      <c r="M26" s="2" t="s">
        <v>14</v>
      </c>
      <c r="N26" s="6">
        <v>1.4219468499999999</v>
      </c>
      <c r="O26" s="6">
        <v>1.4219468499999999</v>
      </c>
      <c r="P26" s="6">
        <v>1.4219468499999999</v>
      </c>
      <c r="Q26" s="2" t="s">
        <v>6</v>
      </c>
      <c r="S26" s="1" t="s">
        <v>16</v>
      </c>
      <c r="W26" t="s">
        <v>6</v>
      </c>
    </row>
    <row r="27" spans="1:23" x14ac:dyDescent="0.3">
      <c r="S27" s="1" t="s">
        <v>14</v>
      </c>
    </row>
    <row r="31" spans="1:23" ht="14" customHeight="1" x14ac:dyDescent="0.3">
      <c r="A31" s="21" t="s">
        <v>7</v>
      </c>
      <c r="B31" s="23" t="s">
        <v>9</v>
      </c>
      <c r="C31" s="23" t="s">
        <v>18</v>
      </c>
      <c r="G31" s="21" t="s">
        <v>7</v>
      </c>
      <c r="H31" s="23" t="s">
        <v>10</v>
      </c>
      <c r="I31" s="23" t="s">
        <v>18</v>
      </c>
      <c r="M31" s="21" t="s">
        <v>7</v>
      </c>
      <c r="N31" s="23" t="s">
        <v>11</v>
      </c>
      <c r="O31" s="23" t="s">
        <v>18</v>
      </c>
      <c r="S31" s="21" t="s">
        <v>7</v>
      </c>
      <c r="T31" s="23" t="s">
        <v>12</v>
      </c>
      <c r="U31" s="23" t="s">
        <v>18</v>
      </c>
    </row>
    <row r="32" spans="1:23" x14ac:dyDescent="0.3">
      <c r="A32" s="22"/>
      <c r="B32" s="23"/>
      <c r="C32" s="23"/>
      <c r="G32" s="22"/>
      <c r="H32" s="23"/>
      <c r="I32" s="23"/>
      <c r="M32" s="22"/>
      <c r="N32" s="23"/>
      <c r="O32" s="23"/>
      <c r="S32" s="22"/>
      <c r="T32" s="23"/>
      <c r="U32" s="23"/>
    </row>
    <row r="33" spans="1:23" ht="14.5" thickBot="1" x14ac:dyDescent="0.35">
      <c r="B33" s="2" t="s">
        <v>1</v>
      </c>
      <c r="C33" s="2" t="s">
        <v>2</v>
      </c>
      <c r="D33" s="2" t="s">
        <v>3</v>
      </c>
      <c r="H33" s="2" t="s">
        <v>1</v>
      </c>
      <c r="I33" s="2" t="s">
        <v>2</v>
      </c>
      <c r="J33" s="2" t="s">
        <v>3</v>
      </c>
      <c r="N33" s="2" t="s">
        <v>1</v>
      </c>
      <c r="O33" s="2" t="s">
        <v>2</v>
      </c>
      <c r="P33" s="2" t="s">
        <v>3</v>
      </c>
      <c r="T33" t="s">
        <v>1</v>
      </c>
      <c r="U33" t="s">
        <v>2</v>
      </c>
      <c r="V33" t="s">
        <v>3</v>
      </c>
    </row>
    <row r="34" spans="1:23" ht="14.5" thickBot="1" x14ac:dyDescent="0.35">
      <c r="A34" t="s">
        <v>13</v>
      </c>
      <c r="B34" s="5">
        <v>1.84378705</v>
      </c>
      <c r="C34" s="5">
        <v>1.84378705</v>
      </c>
      <c r="D34" s="5">
        <v>1.84378705</v>
      </c>
      <c r="E34" s="1" t="s">
        <v>4</v>
      </c>
      <c r="G34" t="s">
        <v>13</v>
      </c>
      <c r="H34" s="8">
        <v>1.84378705</v>
      </c>
      <c r="I34" s="8">
        <v>1.84378705</v>
      </c>
      <c r="J34" s="8">
        <v>1.84378705</v>
      </c>
      <c r="K34" s="1" t="s">
        <v>4</v>
      </c>
      <c r="M34" s="1" t="s">
        <v>13</v>
      </c>
      <c r="N34" s="5">
        <v>1.84378705</v>
      </c>
      <c r="O34" s="5">
        <v>1.84378705</v>
      </c>
      <c r="P34" s="5">
        <v>1.84378705</v>
      </c>
      <c r="Q34" s="1" t="s">
        <v>4</v>
      </c>
      <c r="S34" t="s">
        <v>13</v>
      </c>
    </row>
    <row r="35" spans="1:23" x14ac:dyDescent="0.3">
      <c r="A35" s="1" t="s">
        <v>16</v>
      </c>
      <c r="B35" s="5">
        <v>1.8437874000000001</v>
      </c>
      <c r="C35" s="5">
        <v>1.8437869999999998</v>
      </c>
      <c r="D35" s="5">
        <v>1.8437869500000001</v>
      </c>
      <c r="E35" s="1" t="s">
        <v>4</v>
      </c>
      <c r="G35" s="1" t="s">
        <v>16</v>
      </c>
      <c r="H35" s="5">
        <v>1.8437874000000001</v>
      </c>
      <c r="I35" s="5">
        <v>1.8437869999999998</v>
      </c>
      <c r="J35" s="5">
        <v>1.8437869500000001</v>
      </c>
      <c r="K35" s="1" t="s">
        <v>4</v>
      </c>
      <c r="M35" s="1" t="s">
        <v>16</v>
      </c>
      <c r="N35" s="5">
        <v>1.8437874000000001</v>
      </c>
      <c r="O35" s="5">
        <v>1.8437869999999998</v>
      </c>
      <c r="P35" s="5">
        <v>1.8437869500000001</v>
      </c>
      <c r="Q35" s="1" t="s">
        <v>4</v>
      </c>
      <c r="S35" s="1" t="s">
        <v>16</v>
      </c>
      <c r="T35" s="7"/>
      <c r="U35" s="7"/>
      <c r="V35" s="7"/>
      <c r="W35" s="1" t="s">
        <v>4</v>
      </c>
    </row>
    <row r="36" spans="1:23" ht="14.5" thickBot="1" x14ac:dyDescent="0.35">
      <c r="A36" s="2" t="s">
        <v>14</v>
      </c>
      <c r="B36" s="6">
        <v>1.8437869500000001</v>
      </c>
      <c r="C36" s="6">
        <v>1.8437869500000001</v>
      </c>
      <c r="D36" s="6">
        <v>1.8437869500000001</v>
      </c>
      <c r="E36" s="2" t="s">
        <v>4</v>
      </c>
      <c r="G36" s="2" t="s">
        <v>14</v>
      </c>
      <c r="H36" s="6">
        <v>1.8437869500000001</v>
      </c>
      <c r="I36" s="6">
        <v>1.8437869500000001</v>
      </c>
      <c r="J36" s="6">
        <v>1.8437869500000001</v>
      </c>
      <c r="K36" s="2" t="s">
        <v>4</v>
      </c>
      <c r="M36" s="2" t="s">
        <v>14</v>
      </c>
      <c r="N36" s="6">
        <v>1.8437869500000001</v>
      </c>
      <c r="O36" s="6">
        <v>1.8437869500000001</v>
      </c>
      <c r="P36" s="6">
        <v>1.8437869500000001</v>
      </c>
      <c r="Q36" s="2" t="s">
        <v>4</v>
      </c>
      <c r="S36" s="1" t="s">
        <v>14</v>
      </c>
      <c r="T36" s="5"/>
      <c r="U36" s="5"/>
      <c r="V36" s="5"/>
      <c r="W36" s="1" t="s">
        <v>4</v>
      </c>
    </row>
    <row r="37" spans="1:23" ht="14.5" thickBot="1" x14ac:dyDescent="0.35">
      <c r="A37" s="1" t="s">
        <v>13</v>
      </c>
      <c r="B37" s="5">
        <v>1.8437869500000001</v>
      </c>
      <c r="C37" s="5">
        <v>1.8437869500000001</v>
      </c>
      <c r="D37" s="5">
        <v>1.8437869500000001</v>
      </c>
      <c r="E37" s="1" t="s">
        <v>5</v>
      </c>
      <c r="G37" s="1" t="s">
        <v>13</v>
      </c>
      <c r="H37" s="5">
        <v>1.8437869500000001</v>
      </c>
      <c r="I37" s="5">
        <v>1.8437869500000001</v>
      </c>
      <c r="J37" s="5">
        <v>1.8437869500000001</v>
      </c>
      <c r="K37" s="1" t="s">
        <v>5</v>
      </c>
      <c r="M37" s="1" t="s">
        <v>13</v>
      </c>
      <c r="N37" s="5">
        <v>1.8437869500000001</v>
      </c>
      <c r="O37" s="5">
        <v>1.8437869500000001</v>
      </c>
      <c r="P37" s="5">
        <v>1.8437869500000001</v>
      </c>
      <c r="Q37" s="1" t="s">
        <v>5</v>
      </c>
      <c r="S37" t="s">
        <v>13</v>
      </c>
      <c r="T37" s="5"/>
      <c r="U37" s="5"/>
      <c r="V37" s="5"/>
      <c r="W37" s="1"/>
    </row>
    <row r="38" spans="1:23" x14ac:dyDescent="0.3">
      <c r="A38" s="1" t="s">
        <v>16</v>
      </c>
      <c r="B38" s="5">
        <v>1.8437874000000001</v>
      </c>
      <c r="C38" s="5">
        <v>1.8437869999999998</v>
      </c>
      <c r="D38" s="5">
        <v>1.8437869500000001</v>
      </c>
      <c r="E38" s="1" t="s">
        <v>5</v>
      </c>
      <c r="G38" s="1" t="s">
        <v>16</v>
      </c>
      <c r="H38" s="5">
        <v>1.8437874000000001</v>
      </c>
      <c r="I38" s="5">
        <v>1.8437869999999998</v>
      </c>
      <c r="J38" s="5">
        <v>1.8437869500000001</v>
      </c>
      <c r="K38" s="1" t="s">
        <v>5</v>
      </c>
      <c r="M38" s="1" t="s">
        <v>16</v>
      </c>
      <c r="N38" s="5">
        <v>1.8437874000000001</v>
      </c>
      <c r="O38" s="5">
        <v>1.8437869999999998</v>
      </c>
      <c r="P38" s="5">
        <v>1.8437869500000001</v>
      </c>
      <c r="Q38" s="1" t="s">
        <v>5</v>
      </c>
      <c r="S38" s="1" t="s">
        <v>16</v>
      </c>
      <c r="T38" s="7"/>
      <c r="U38" s="7"/>
      <c r="V38" s="7"/>
      <c r="W38" s="1" t="s">
        <v>5</v>
      </c>
    </row>
    <row r="39" spans="1:23" ht="14.5" thickBot="1" x14ac:dyDescent="0.35">
      <c r="A39" s="2" t="s">
        <v>14</v>
      </c>
      <c r="B39" s="6">
        <v>1.8437869500000001</v>
      </c>
      <c r="C39" s="6">
        <v>1.8437869500000001</v>
      </c>
      <c r="D39" s="6">
        <v>1.8437869500000001</v>
      </c>
      <c r="E39" s="2" t="s">
        <v>5</v>
      </c>
      <c r="G39" s="2" t="s">
        <v>14</v>
      </c>
      <c r="H39" s="6">
        <v>1.8437869500000001</v>
      </c>
      <c r="I39" s="6">
        <v>1.8437869500000001</v>
      </c>
      <c r="J39" s="6">
        <v>1.8437869500000001</v>
      </c>
      <c r="K39" s="2" t="s">
        <v>5</v>
      </c>
      <c r="M39" s="2" t="s">
        <v>14</v>
      </c>
      <c r="N39" s="6">
        <v>1.8437869500000001</v>
      </c>
      <c r="O39" s="6">
        <v>1.8437869500000001</v>
      </c>
      <c r="P39" s="6">
        <v>1.8437869500000001</v>
      </c>
      <c r="Q39" s="2" t="s">
        <v>5</v>
      </c>
      <c r="S39" s="1" t="s">
        <v>14</v>
      </c>
      <c r="T39" s="5"/>
      <c r="U39" s="5"/>
      <c r="V39" s="5"/>
      <c r="W39" s="1" t="s">
        <v>5</v>
      </c>
    </row>
    <row r="40" spans="1:23" x14ac:dyDescent="0.3">
      <c r="A40" t="s">
        <v>13</v>
      </c>
      <c r="B40" s="5">
        <v>1.8437869500000001</v>
      </c>
      <c r="C40" s="5">
        <v>1.8437869500000001</v>
      </c>
      <c r="D40" s="5">
        <v>1.8437869500000001</v>
      </c>
      <c r="E40" s="1" t="s">
        <v>6</v>
      </c>
      <c r="G40" s="1" t="s">
        <v>13</v>
      </c>
      <c r="H40" s="5">
        <v>1.8437869500000001</v>
      </c>
      <c r="I40" s="5">
        <v>1.8437869500000001</v>
      </c>
      <c r="J40" s="5">
        <v>1.8437869500000001</v>
      </c>
      <c r="K40" s="1" t="s">
        <v>6</v>
      </c>
      <c r="M40" s="1" t="s">
        <v>13</v>
      </c>
      <c r="N40" s="5">
        <v>1.8437869500000001</v>
      </c>
      <c r="O40" s="5">
        <v>1.8437869500000001</v>
      </c>
      <c r="P40" s="5">
        <v>1.8437869500000001</v>
      </c>
      <c r="Q40" s="1" t="s">
        <v>6</v>
      </c>
      <c r="S40" t="s">
        <v>13</v>
      </c>
      <c r="T40" s="5"/>
      <c r="U40" s="5"/>
      <c r="V40" s="5"/>
      <c r="W40" s="1"/>
    </row>
    <row r="41" spans="1:23" x14ac:dyDescent="0.3">
      <c r="A41" s="1" t="s">
        <v>16</v>
      </c>
      <c r="B41" s="8">
        <v>1.8437874000000001</v>
      </c>
      <c r="C41" s="5">
        <v>1.8437869999999998</v>
      </c>
      <c r="D41" s="5">
        <v>1.8437869500000001</v>
      </c>
      <c r="E41" s="1" t="s">
        <v>6</v>
      </c>
      <c r="G41" s="1" t="s">
        <v>16</v>
      </c>
      <c r="H41" s="5">
        <v>1.8437874000000001</v>
      </c>
      <c r="I41" s="5">
        <v>1.8437869999999998</v>
      </c>
      <c r="J41" s="5">
        <v>1.8437869500000001</v>
      </c>
      <c r="K41" s="1" t="s">
        <v>6</v>
      </c>
      <c r="M41" s="1" t="s">
        <v>16</v>
      </c>
      <c r="N41" s="5">
        <v>1.8437874000000001</v>
      </c>
      <c r="O41" s="5">
        <v>1.8437869999999998</v>
      </c>
      <c r="P41" s="5">
        <v>1.8437869500000001</v>
      </c>
      <c r="Q41" s="1" t="s">
        <v>6</v>
      </c>
      <c r="S41" s="1" t="s">
        <v>16</v>
      </c>
      <c r="T41" s="8"/>
      <c r="U41" s="8"/>
      <c r="V41" s="8"/>
      <c r="W41" t="s">
        <v>6</v>
      </c>
    </row>
    <row r="42" spans="1:23" ht="14.5" thickBot="1" x14ac:dyDescent="0.35">
      <c r="A42" s="2" t="s">
        <v>14</v>
      </c>
      <c r="B42" s="6">
        <v>1.8437869500000001</v>
      </c>
      <c r="C42" s="6">
        <v>1.8437869500000001</v>
      </c>
      <c r="D42" s="6">
        <v>1.8437869500000001</v>
      </c>
      <c r="E42" s="2" t="s">
        <v>6</v>
      </c>
      <c r="G42" s="2" t="s">
        <v>14</v>
      </c>
      <c r="H42" s="6">
        <v>1.8437869500000001</v>
      </c>
      <c r="I42" s="6">
        <v>1.8437869500000001</v>
      </c>
      <c r="J42" s="6">
        <v>1.8437869500000001</v>
      </c>
      <c r="K42" s="2" t="s">
        <v>6</v>
      </c>
      <c r="M42" s="2" t="s">
        <v>14</v>
      </c>
      <c r="N42" s="6">
        <v>1.8437869500000001</v>
      </c>
      <c r="O42" s="6">
        <v>1.8437869500000001</v>
      </c>
      <c r="P42" s="6">
        <v>1.8437869500000001</v>
      </c>
      <c r="Q42" s="2" t="s">
        <v>6</v>
      </c>
      <c r="S42" s="1" t="s">
        <v>14</v>
      </c>
      <c r="T42" s="8"/>
      <c r="U42" s="8"/>
      <c r="V42" s="8"/>
      <c r="W42" t="s">
        <v>6</v>
      </c>
    </row>
    <row r="43" spans="1:23" x14ac:dyDescent="0.3">
      <c r="G43" s="1"/>
      <c r="H43" s="1"/>
      <c r="I43" s="1"/>
      <c r="J43" s="1"/>
      <c r="K43" s="1"/>
      <c r="M43" s="1"/>
      <c r="N43" s="1"/>
      <c r="O43" s="1"/>
      <c r="P43" s="1"/>
      <c r="Q43" s="1"/>
    </row>
    <row r="44" spans="1:23" x14ac:dyDescent="0.3">
      <c r="G44" s="1"/>
      <c r="H44" s="1"/>
      <c r="I44" s="1"/>
      <c r="J44" s="1"/>
      <c r="K44" s="1"/>
      <c r="M44" s="1"/>
      <c r="N44" s="1"/>
      <c r="O44" s="1"/>
      <c r="P44" s="1"/>
      <c r="Q44" s="1"/>
    </row>
    <row r="45" spans="1:23" x14ac:dyDescent="0.3">
      <c r="A45" s="21" t="s">
        <v>8</v>
      </c>
      <c r="B45" s="23" t="s">
        <v>9</v>
      </c>
      <c r="C45" s="23" t="s">
        <v>18</v>
      </c>
      <c r="G45" s="27" t="s">
        <v>8</v>
      </c>
      <c r="H45" s="28" t="s">
        <v>10</v>
      </c>
      <c r="I45" s="28" t="s">
        <v>18</v>
      </c>
      <c r="J45" s="1"/>
      <c r="K45" s="1"/>
      <c r="M45" s="27" t="s">
        <v>8</v>
      </c>
      <c r="N45" s="28" t="s">
        <v>11</v>
      </c>
      <c r="O45" s="28" t="s">
        <v>18</v>
      </c>
      <c r="P45" s="1"/>
      <c r="Q45" s="1"/>
      <c r="S45" s="21" t="s">
        <v>8</v>
      </c>
      <c r="T45" s="23" t="s">
        <v>12</v>
      </c>
      <c r="U45" s="23" t="s">
        <v>18</v>
      </c>
    </row>
    <row r="46" spans="1:23" x14ac:dyDescent="0.3">
      <c r="A46" s="22"/>
      <c r="B46" s="23"/>
      <c r="C46" s="23"/>
      <c r="G46" s="29"/>
      <c r="H46" s="28"/>
      <c r="I46" s="28"/>
      <c r="J46" s="1"/>
      <c r="K46" s="1"/>
      <c r="M46" s="29"/>
      <c r="N46" s="28"/>
      <c r="O46" s="28"/>
      <c r="P46" s="1"/>
      <c r="Q46" s="1"/>
      <c r="S46" s="22"/>
      <c r="T46" s="23"/>
      <c r="U46" s="23"/>
    </row>
    <row r="47" spans="1:23" ht="14.5" thickBot="1" x14ac:dyDescent="0.35">
      <c r="B47" t="s">
        <v>1</v>
      </c>
      <c r="C47" t="s">
        <v>2</v>
      </c>
      <c r="D47" t="s">
        <v>3</v>
      </c>
      <c r="G47" s="1"/>
      <c r="H47" s="2" t="s">
        <v>1</v>
      </c>
      <c r="I47" s="2" t="s">
        <v>2</v>
      </c>
      <c r="J47" s="2" t="s">
        <v>3</v>
      </c>
      <c r="K47" s="1"/>
      <c r="M47" s="1"/>
      <c r="N47" s="2" t="s">
        <v>1</v>
      </c>
      <c r="O47" s="2" t="s">
        <v>2</v>
      </c>
      <c r="P47" s="2" t="s">
        <v>3</v>
      </c>
      <c r="Q47" s="1"/>
      <c r="T47" t="s">
        <v>1</v>
      </c>
      <c r="U47" t="s">
        <v>2</v>
      </c>
      <c r="V47" t="s">
        <v>3</v>
      </c>
    </row>
    <row r="48" spans="1:23" ht="14.5" thickBot="1" x14ac:dyDescent="0.35">
      <c r="A48" s="1" t="s">
        <v>13</v>
      </c>
      <c r="B48" s="5">
        <v>1.4219469499999999</v>
      </c>
      <c r="C48" s="5">
        <v>1.4219469499999999</v>
      </c>
      <c r="D48" s="5">
        <v>1.4219469499999999</v>
      </c>
      <c r="E48" s="1" t="s">
        <v>4</v>
      </c>
      <c r="G48" s="1" t="s">
        <v>13</v>
      </c>
      <c r="H48" s="5">
        <v>1.4219469499999999</v>
      </c>
      <c r="I48" s="5">
        <v>1.4219469499999999</v>
      </c>
      <c r="J48" s="5">
        <v>1.4219469499999999</v>
      </c>
      <c r="K48" s="1" t="s">
        <v>4</v>
      </c>
      <c r="M48" s="1" t="s">
        <v>13</v>
      </c>
      <c r="N48" s="5">
        <v>1.4219469499999999</v>
      </c>
      <c r="O48" s="5">
        <v>1.4219469499999999</v>
      </c>
      <c r="P48" s="5">
        <v>1.4219469499999999</v>
      </c>
      <c r="Q48" s="1" t="s">
        <v>4</v>
      </c>
      <c r="S48" t="s">
        <v>13</v>
      </c>
    </row>
    <row r="49" spans="1:23" x14ac:dyDescent="0.3">
      <c r="A49" s="1" t="s">
        <v>16</v>
      </c>
      <c r="B49" s="5">
        <v>1.4219473</v>
      </c>
      <c r="C49" s="5">
        <v>1.4219469</v>
      </c>
      <c r="D49" s="5">
        <v>1.4219468499999999</v>
      </c>
      <c r="E49" s="1" t="s">
        <v>4</v>
      </c>
      <c r="G49" s="1" t="s">
        <v>16</v>
      </c>
      <c r="H49" s="5">
        <v>1.4219473</v>
      </c>
      <c r="I49" s="5">
        <v>1.4219469</v>
      </c>
      <c r="J49" s="5">
        <v>1.4219468499999999</v>
      </c>
      <c r="K49" s="1" t="s">
        <v>4</v>
      </c>
      <c r="M49" s="1" t="s">
        <v>16</v>
      </c>
      <c r="N49" s="5">
        <v>1.4219473</v>
      </c>
      <c r="O49" s="5">
        <v>1.4219469</v>
      </c>
      <c r="P49" s="5">
        <v>1.4219468499999999</v>
      </c>
      <c r="Q49" s="1" t="s">
        <v>4</v>
      </c>
      <c r="S49" s="1" t="s">
        <v>16</v>
      </c>
      <c r="T49" s="7"/>
      <c r="U49" s="7"/>
      <c r="V49" s="7"/>
      <c r="W49" s="1" t="s">
        <v>4</v>
      </c>
    </row>
    <row r="50" spans="1:23" ht="14.5" thickBot="1" x14ac:dyDescent="0.35">
      <c r="A50" s="2" t="s">
        <v>14</v>
      </c>
      <c r="B50" s="6">
        <v>1.4219468499999999</v>
      </c>
      <c r="C50" s="6">
        <v>1.4219468499999999</v>
      </c>
      <c r="D50" s="6">
        <v>1.4219468499999999</v>
      </c>
      <c r="E50" s="2" t="s">
        <v>4</v>
      </c>
      <c r="G50" s="2" t="s">
        <v>14</v>
      </c>
      <c r="H50" s="6">
        <v>1.4219468499999999</v>
      </c>
      <c r="I50" s="6">
        <v>1.4219468499999999</v>
      </c>
      <c r="J50" s="6">
        <v>1.4219468499999999</v>
      </c>
      <c r="K50" s="2" t="s">
        <v>4</v>
      </c>
      <c r="M50" s="2" t="s">
        <v>14</v>
      </c>
      <c r="N50" s="6">
        <v>1.4219468499999999</v>
      </c>
      <c r="O50" s="6">
        <v>1.4219468499999999</v>
      </c>
      <c r="P50" s="6">
        <v>1.4219468499999999</v>
      </c>
      <c r="Q50" s="2" t="s">
        <v>4</v>
      </c>
      <c r="S50" s="1" t="s">
        <v>14</v>
      </c>
      <c r="T50" s="5"/>
      <c r="U50" s="5"/>
      <c r="V50" s="5"/>
      <c r="W50" s="1" t="s">
        <v>4</v>
      </c>
    </row>
    <row r="51" spans="1:23" x14ac:dyDescent="0.3">
      <c r="A51" s="1" t="s">
        <v>13</v>
      </c>
      <c r="B51" s="5">
        <v>1.4219468499999999</v>
      </c>
      <c r="C51" s="5">
        <v>1.4219468499999999</v>
      </c>
      <c r="D51" s="5">
        <v>1.4219468499999999</v>
      </c>
      <c r="E51" s="1" t="s">
        <v>5</v>
      </c>
      <c r="G51" s="1" t="s">
        <v>13</v>
      </c>
      <c r="H51" s="5">
        <v>1.4219468499999999</v>
      </c>
      <c r="I51" s="5">
        <v>1.4219468499999999</v>
      </c>
      <c r="J51" s="5">
        <v>1.4219468499999999</v>
      </c>
      <c r="K51" s="1" t="s">
        <v>5</v>
      </c>
      <c r="M51" s="1" t="s">
        <v>13</v>
      </c>
      <c r="N51" s="5">
        <v>1.4219468499999999</v>
      </c>
      <c r="O51" s="5">
        <v>1.4219468499999999</v>
      </c>
      <c r="P51" s="5">
        <v>1.4219468499999999</v>
      </c>
      <c r="Q51" s="1" t="s">
        <v>5</v>
      </c>
      <c r="S51" t="s">
        <v>13</v>
      </c>
      <c r="T51" s="7"/>
      <c r="U51" s="7"/>
      <c r="V51" s="7"/>
      <c r="W51" s="1" t="s">
        <v>5</v>
      </c>
    </row>
    <row r="52" spans="1:23" x14ac:dyDescent="0.3">
      <c r="A52" s="1" t="s">
        <v>16</v>
      </c>
      <c r="B52" s="5">
        <v>1.4219473</v>
      </c>
      <c r="C52" s="5">
        <v>1.4219469</v>
      </c>
      <c r="D52" s="5">
        <v>1.4219468499999999</v>
      </c>
      <c r="E52" s="1" t="s">
        <v>5</v>
      </c>
      <c r="G52" s="1" t="s">
        <v>16</v>
      </c>
      <c r="H52" s="5">
        <v>1.4219468499999999</v>
      </c>
      <c r="I52" s="5">
        <v>1.4219468499999999</v>
      </c>
      <c r="J52" s="5">
        <v>1.4219468499999999</v>
      </c>
      <c r="K52" s="1" t="s">
        <v>5</v>
      </c>
      <c r="M52" s="1" t="s">
        <v>16</v>
      </c>
      <c r="N52" s="5">
        <v>1.4219468499999999</v>
      </c>
      <c r="O52" s="5">
        <v>1.4219468499999999</v>
      </c>
      <c r="P52" s="5">
        <v>1.4219468499999999</v>
      </c>
      <c r="Q52" s="1" t="s">
        <v>5</v>
      </c>
      <c r="S52" s="1" t="s">
        <v>16</v>
      </c>
      <c r="T52" s="5"/>
      <c r="U52" s="5"/>
      <c r="V52" s="5"/>
      <c r="W52" s="1" t="s">
        <v>5</v>
      </c>
    </row>
    <row r="53" spans="1:23" ht="14.5" thickBot="1" x14ac:dyDescent="0.35">
      <c r="A53" s="2" t="s">
        <v>14</v>
      </c>
      <c r="B53" s="6">
        <v>1.4219468499999999</v>
      </c>
      <c r="C53" s="6">
        <v>1.4219468499999999</v>
      </c>
      <c r="D53" s="6">
        <v>1.4219468499999999</v>
      </c>
      <c r="E53" s="2" t="s">
        <v>5</v>
      </c>
      <c r="G53" s="2" t="s">
        <v>14</v>
      </c>
      <c r="H53" s="6">
        <v>1.4219468499999999</v>
      </c>
      <c r="I53" s="6">
        <v>1.4219468499999999</v>
      </c>
      <c r="J53" s="6">
        <v>1.4219468499999999</v>
      </c>
      <c r="K53" s="2" t="s">
        <v>5</v>
      </c>
      <c r="M53" s="2" t="s">
        <v>14</v>
      </c>
      <c r="N53" s="6">
        <v>1.4219468499999999</v>
      </c>
      <c r="O53" s="6">
        <v>1.4219468499999999</v>
      </c>
      <c r="P53" s="6">
        <v>1.4219468499999999</v>
      </c>
      <c r="Q53" s="2" t="s">
        <v>5</v>
      </c>
      <c r="S53" s="1" t="s">
        <v>14</v>
      </c>
      <c r="T53" s="5"/>
      <c r="U53" s="5"/>
      <c r="V53" s="5"/>
      <c r="W53" s="1" t="s">
        <v>5</v>
      </c>
    </row>
    <row r="54" spans="1:23" x14ac:dyDescent="0.3">
      <c r="A54" t="s">
        <v>13</v>
      </c>
      <c r="B54" s="5">
        <v>1.4219468499999999</v>
      </c>
      <c r="C54" s="5">
        <v>1.4219468499999999</v>
      </c>
      <c r="D54" s="5">
        <v>1.4219468499999999</v>
      </c>
      <c r="E54" s="1" t="s">
        <v>6</v>
      </c>
      <c r="G54" s="1" t="s">
        <v>13</v>
      </c>
      <c r="H54" s="5">
        <v>1.4219468499999999</v>
      </c>
      <c r="I54" s="5">
        <v>1.4219468499999999</v>
      </c>
      <c r="J54" s="5">
        <v>1.4219468499999999</v>
      </c>
      <c r="K54" s="1" t="s">
        <v>6</v>
      </c>
      <c r="M54" s="1" t="s">
        <v>13</v>
      </c>
      <c r="N54" s="5">
        <v>1.4219468499999999</v>
      </c>
      <c r="O54" s="5">
        <v>1.4219468499999999</v>
      </c>
      <c r="P54" s="5">
        <v>1.4219468499999999</v>
      </c>
      <c r="Q54" s="1" t="s">
        <v>6</v>
      </c>
      <c r="S54" t="s">
        <v>13</v>
      </c>
      <c r="T54" s="5"/>
      <c r="U54" s="5"/>
      <c r="V54" s="5"/>
      <c r="W54" s="1"/>
    </row>
    <row r="55" spans="1:23" x14ac:dyDescent="0.3">
      <c r="A55" s="1" t="s">
        <v>16</v>
      </c>
      <c r="B55" s="5">
        <v>1.4219473</v>
      </c>
      <c r="C55" s="5">
        <v>1.4219469</v>
      </c>
      <c r="D55" s="8">
        <v>1.4219468499999999</v>
      </c>
      <c r="E55" s="1" t="s">
        <v>6</v>
      </c>
      <c r="G55" s="1" t="s">
        <v>16</v>
      </c>
      <c r="H55" s="5">
        <v>1.4219473</v>
      </c>
      <c r="I55" s="5">
        <v>1.4219469</v>
      </c>
      <c r="J55" s="5">
        <v>1.4219468499999999</v>
      </c>
      <c r="K55" s="1" t="s">
        <v>6</v>
      </c>
      <c r="M55" s="1" t="s">
        <v>16</v>
      </c>
      <c r="N55" s="5">
        <v>1.4219473</v>
      </c>
      <c r="O55" s="5">
        <v>1.4219469</v>
      </c>
      <c r="P55" s="5">
        <v>1.4219468499999999</v>
      </c>
      <c r="Q55" s="1" t="s">
        <v>6</v>
      </c>
      <c r="S55" s="1" t="s">
        <v>16</v>
      </c>
      <c r="T55" s="8"/>
      <c r="U55" s="8"/>
      <c r="V55" s="8"/>
      <c r="W55" t="s">
        <v>6</v>
      </c>
    </row>
    <row r="56" spans="1:23" ht="14.5" thickBot="1" x14ac:dyDescent="0.35">
      <c r="A56" s="2" t="s">
        <v>14</v>
      </c>
      <c r="B56" s="6">
        <v>1.4219468499999999</v>
      </c>
      <c r="C56" s="6">
        <v>1.4219468499999999</v>
      </c>
      <c r="D56" s="6">
        <v>1.4219468499999999</v>
      </c>
      <c r="E56" s="2" t="s">
        <v>6</v>
      </c>
      <c r="G56" s="2" t="s">
        <v>14</v>
      </c>
      <c r="H56" s="6">
        <v>1.4219468499999999</v>
      </c>
      <c r="I56" s="6">
        <v>1.4219468499999999</v>
      </c>
      <c r="J56" s="6">
        <v>1.4219468499999999</v>
      </c>
      <c r="K56" s="2" t="s">
        <v>6</v>
      </c>
      <c r="M56" s="2" t="s">
        <v>14</v>
      </c>
      <c r="N56" s="6">
        <v>1.4219468499999999</v>
      </c>
      <c r="O56" s="6">
        <v>1.4219468499999999</v>
      </c>
      <c r="P56" s="6">
        <v>1.4219468499999999</v>
      </c>
      <c r="Q56" s="2" t="s">
        <v>6</v>
      </c>
      <c r="S56" s="1" t="s">
        <v>14</v>
      </c>
      <c r="T56" s="8"/>
      <c r="U56" s="8"/>
      <c r="V56" s="8"/>
      <c r="W56" t="s">
        <v>6</v>
      </c>
    </row>
    <row r="57" spans="1:23" x14ac:dyDescent="0.3">
      <c r="G57" s="1"/>
      <c r="H57" s="1"/>
      <c r="I57" s="1"/>
      <c r="J57" s="1"/>
      <c r="K57" s="1"/>
    </row>
    <row r="61" spans="1:23" x14ac:dyDescent="0.3">
      <c r="A61" t="s">
        <v>43</v>
      </c>
      <c r="B61">
        <f>MIN(A1:W56)</f>
        <v>1.4219468499999999</v>
      </c>
    </row>
    <row r="69" spans="1:17" x14ac:dyDescent="0.3">
      <c r="A69" t="s">
        <v>44</v>
      </c>
      <c r="B69">
        <f>MIN(A72:Q127)</f>
        <v>1530.0149182</v>
      </c>
    </row>
    <row r="72" spans="1:17" ht="14" customHeight="1" x14ac:dyDescent="0.3">
      <c r="A72" s="21" t="s">
        <v>7</v>
      </c>
      <c r="B72" s="23" t="s">
        <v>9</v>
      </c>
      <c r="C72" s="23" t="s">
        <v>17</v>
      </c>
      <c r="G72" s="21" t="s">
        <v>7</v>
      </c>
      <c r="H72" s="23" t="s">
        <v>10</v>
      </c>
      <c r="I72" s="23" t="s">
        <v>17</v>
      </c>
      <c r="M72" s="21" t="s">
        <v>7</v>
      </c>
      <c r="N72" s="23" t="s">
        <v>11</v>
      </c>
      <c r="O72" s="23" t="s">
        <v>17</v>
      </c>
    </row>
    <row r="73" spans="1:17" x14ac:dyDescent="0.3">
      <c r="A73" s="22"/>
      <c r="B73" s="23"/>
      <c r="C73" s="23"/>
      <c r="G73" s="22"/>
      <c r="H73" s="23"/>
      <c r="I73" s="23"/>
      <c r="M73" s="22"/>
      <c r="N73" s="23"/>
      <c r="O73" s="23"/>
    </row>
    <row r="74" spans="1:17" ht="14.5" thickBot="1" x14ac:dyDescent="0.35">
      <c r="B74" s="2" t="s">
        <v>1</v>
      </c>
      <c r="C74" s="2" t="s">
        <v>2</v>
      </c>
      <c r="D74" s="2" t="s">
        <v>3</v>
      </c>
      <c r="H74" s="2" t="s">
        <v>1</v>
      </c>
      <c r="I74" s="2" t="s">
        <v>2</v>
      </c>
      <c r="J74" s="2" t="s">
        <v>3</v>
      </c>
      <c r="N74" s="2" t="s">
        <v>1</v>
      </c>
      <c r="O74" s="2" t="s">
        <v>2</v>
      </c>
      <c r="P74" s="2" t="s">
        <v>3</v>
      </c>
    </row>
    <row r="75" spans="1:17" x14ac:dyDescent="0.3">
      <c r="A75" t="s">
        <v>13</v>
      </c>
      <c r="B75" s="5">
        <f>(128*4+128*4+2+20+20+10)*B4</f>
        <v>1983.9148657999999</v>
      </c>
      <c r="C75" s="5">
        <f>(128*4+128*4+2+40+20+10)*C4</f>
        <v>2020.7906068</v>
      </c>
      <c r="D75" s="5">
        <f>(128*4+128*4+2+80+20+10)*D4</f>
        <v>2094.5420887999999</v>
      </c>
      <c r="E75" s="1" t="s">
        <v>4</v>
      </c>
      <c r="G75" t="s">
        <v>13</v>
      </c>
      <c r="H75" s="5">
        <f>(128*4+128*4+2+20+20+10)*H4</f>
        <v>1983.9148657999999</v>
      </c>
      <c r="I75" s="5">
        <f>(128*4+128*4+2+40+20+10)*I4</f>
        <v>2020.7906068</v>
      </c>
      <c r="J75" s="5">
        <f>(128*4+128*4+2+80+20+10)*J4</f>
        <v>2094.5420887999999</v>
      </c>
      <c r="K75" s="1" t="s">
        <v>4</v>
      </c>
      <c r="M75" t="s">
        <v>13</v>
      </c>
      <c r="N75" s="5">
        <f>(128*4+128*4+2+20+20+10)*N4</f>
        <v>1983.9148657999999</v>
      </c>
      <c r="O75" s="5">
        <f>(128*4+128*4+2+40+20+10)*O4</f>
        <v>2020.7906068</v>
      </c>
      <c r="P75" s="5">
        <f>(128*4+128*4+2+80+20+10)*P4</f>
        <v>2094.5420887999999</v>
      </c>
      <c r="Q75" s="1" t="s">
        <v>4</v>
      </c>
    </row>
    <row r="76" spans="1:17" x14ac:dyDescent="0.3">
      <c r="A76" s="1" t="s">
        <v>16</v>
      </c>
      <c r="B76" s="5">
        <f>(64*4+256*4+2+20+20+10)*B5</f>
        <v>2455.9248167999999</v>
      </c>
      <c r="C76" s="5">
        <f>(64*4+256*4+2+40+20+10)*C5</f>
        <v>2492.8000239999997</v>
      </c>
      <c r="D76" s="5">
        <f>(64*4+256*4+2+80+20+10)*D5</f>
        <v>2566.5514344000003</v>
      </c>
      <c r="E76" s="1" t="s">
        <v>4</v>
      </c>
      <c r="G76" s="1" t="s">
        <v>16</v>
      </c>
      <c r="H76" s="5">
        <f>(64*4+256*4+2+20+20+10)*H5</f>
        <v>2455.9248167999999</v>
      </c>
      <c r="I76" s="5">
        <f>(64*4+256*4+2+40+20+10)*I5</f>
        <v>2492.8000239999997</v>
      </c>
      <c r="J76" s="5">
        <f>(64*4+256*4+2+80+20+10)*J5</f>
        <v>2566.5514344000003</v>
      </c>
      <c r="K76" s="1" t="s">
        <v>4</v>
      </c>
      <c r="M76" s="1" t="s">
        <v>16</v>
      </c>
      <c r="N76" s="5">
        <f>(64*4+256*4+2+20+20+10)*N5</f>
        <v>2455.9248167999999</v>
      </c>
      <c r="O76" s="5">
        <f>(64*4+256*4+2+40+20+10)*O5</f>
        <v>2492.8000239999997</v>
      </c>
      <c r="P76" s="5">
        <f>(64*4+256*4+2+80+20+10)*P5</f>
        <v>2566.5514344000003</v>
      </c>
      <c r="Q76" s="1" t="s">
        <v>4</v>
      </c>
    </row>
    <row r="77" spans="1:17" ht="14.5" thickBot="1" x14ac:dyDescent="0.35">
      <c r="A77" s="2" t="s">
        <v>14</v>
      </c>
      <c r="B77" s="6">
        <f>(128*4+256*4+2+20+20+10)*B6</f>
        <v>2927.9336766000001</v>
      </c>
      <c r="C77" s="6">
        <f>(128*4+256*4+2+40+20+10)*C6</f>
        <v>2964.8094156000002</v>
      </c>
      <c r="D77" s="6">
        <f>(128*4+256*4+2+80+20+10)*D6</f>
        <v>3038.5608936000003</v>
      </c>
      <c r="E77" s="2" t="s">
        <v>4</v>
      </c>
      <c r="G77" s="2" t="s">
        <v>14</v>
      </c>
      <c r="H77" s="6">
        <f>(128*4+256*4+2+20+20+10)*H6</f>
        <v>2927.9336766000001</v>
      </c>
      <c r="I77" s="6">
        <f>(128*4+256*4+2+40+20+10)*I6</f>
        <v>2964.8094156000002</v>
      </c>
      <c r="J77" s="6">
        <f>(128*4+256*4+2+80+20+10)*J6</f>
        <v>3038.5608936000003</v>
      </c>
      <c r="K77" s="2" t="s">
        <v>4</v>
      </c>
      <c r="M77" s="2" t="s">
        <v>14</v>
      </c>
      <c r="N77" s="6">
        <f>(128*4+256*4+2+20+20+10)*N6</f>
        <v>2927.9336766000001</v>
      </c>
      <c r="O77" s="6">
        <f>(128*4+256*4+2+40+20+10)*O6</f>
        <v>2964.8094156000002</v>
      </c>
      <c r="P77" s="6">
        <f>(128*4+256*4+2+80+20+10)*P6</f>
        <v>3038.5608936000003</v>
      </c>
      <c r="Q77" s="2" t="s">
        <v>4</v>
      </c>
    </row>
    <row r="78" spans="1:17" x14ac:dyDescent="0.3">
      <c r="A78" t="s">
        <v>13</v>
      </c>
      <c r="B78" s="5">
        <f>(128*4+128*4+2+20+40+10)*B7</f>
        <v>2020.7904972000001</v>
      </c>
      <c r="C78" s="5">
        <f>(128*4+128*4+2+40+40+10)*C7</f>
        <v>2057.6662362000002</v>
      </c>
      <c r="D78" s="5">
        <f>(128*4+128*4+2+80+40+10)*D7</f>
        <v>2131.4177142000003</v>
      </c>
      <c r="E78" s="1" t="s">
        <v>5</v>
      </c>
      <c r="G78" t="s">
        <v>13</v>
      </c>
      <c r="H78" s="5">
        <f>(128*4+128*4+2+20+40+10)*H7</f>
        <v>2020.7904972000001</v>
      </c>
      <c r="I78" s="5">
        <f>(128*4+128*4+2+40+40+10)*I7</f>
        <v>2057.6662362000002</v>
      </c>
      <c r="J78" s="5">
        <f>(128*4+128*4+2+80+40+10)*J7</f>
        <v>2131.4177142000003</v>
      </c>
      <c r="K78" s="1" t="s">
        <v>5</v>
      </c>
      <c r="M78" t="s">
        <v>13</v>
      </c>
      <c r="N78" s="5">
        <f>(128*4+128*4+2+20+40+10)*N7</f>
        <v>2020.7904972000001</v>
      </c>
      <c r="O78" s="5">
        <f>(128*4+128*4+2+40+40+10)*O7</f>
        <v>2057.6662362000002</v>
      </c>
      <c r="P78" s="5">
        <f>(128*4+128*4+2+80+40+10)*P7</f>
        <v>2131.4177142000003</v>
      </c>
      <c r="Q78" s="1" t="s">
        <v>5</v>
      </c>
    </row>
    <row r="79" spans="1:17" x14ac:dyDescent="0.3">
      <c r="A79" s="1" t="s">
        <v>16</v>
      </c>
      <c r="B79" s="5">
        <f>(64*4+256*4+2+20+40+10)*B8</f>
        <v>2492.8005648000003</v>
      </c>
      <c r="C79" s="5">
        <f>(64*4+256*4+2+40+40+10)*C8</f>
        <v>2529.6757639999996</v>
      </c>
      <c r="D79" s="5">
        <f>(64*4+256*4+2+80+40+10)*D8</f>
        <v>2603.4271734000004</v>
      </c>
      <c r="E79" s="1" t="s">
        <v>5</v>
      </c>
      <c r="G79" s="1" t="s">
        <v>16</v>
      </c>
      <c r="H79" s="5">
        <f>(64*4+256*4+2+20+40+10)*H8</f>
        <v>2492.8005648000003</v>
      </c>
      <c r="I79" s="5">
        <f>(64*4+256*4+2+40+40+10)*I8</f>
        <v>2529.6757639999996</v>
      </c>
      <c r="J79" s="5">
        <f>(64*4+256*4+2+80+40+10)*J8</f>
        <v>2603.4271734000004</v>
      </c>
      <c r="K79" s="1" t="s">
        <v>5</v>
      </c>
      <c r="M79" s="1" t="s">
        <v>16</v>
      </c>
      <c r="N79" s="5">
        <f>(64*4+256*4+2+20+40+10)*N8</f>
        <v>2492.8005648000003</v>
      </c>
      <c r="O79" s="5">
        <f>(64*4+256*4+2+40+40+10)*O8</f>
        <v>2529.6757639999996</v>
      </c>
      <c r="P79" s="5">
        <f>(64*4+256*4+2+80+40+10)*P8</f>
        <v>2603.4271734000004</v>
      </c>
      <c r="Q79" s="1" t="s">
        <v>5</v>
      </c>
    </row>
    <row r="80" spans="1:17" ht="14.5" thickBot="1" x14ac:dyDescent="0.35">
      <c r="A80" s="2" t="s">
        <v>14</v>
      </c>
      <c r="B80" s="6">
        <f>(128*4+256*4+2+20+40+10)*B9</f>
        <v>2964.8094156000002</v>
      </c>
      <c r="C80" s="6">
        <f>(128*4+256*4+2+40+40+10)*C9</f>
        <v>3001.6851546000003</v>
      </c>
      <c r="D80" s="6">
        <f>(128*4+256*4+2+80+40+10)*D9</f>
        <v>3075.4366326000004</v>
      </c>
      <c r="E80" s="2" t="s">
        <v>5</v>
      </c>
      <c r="G80" s="2" t="s">
        <v>14</v>
      </c>
      <c r="H80" s="6">
        <f>(128*4+256*4+2+20+40+10)*H9</f>
        <v>2964.8094156000002</v>
      </c>
      <c r="I80" s="6">
        <f>(128*4+256*4+2+40+40+10)*I9</f>
        <v>3001.6851546000003</v>
      </c>
      <c r="J80" s="6">
        <f>(128*4+256*4+2+80+40+10)*J9</f>
        <v>3075.4366326000004</v>
      </c>
      <c r="K80" s="2" t="s">
        <v>5</v>
      </c>
      <c r="M80" s="2" t="s">
        <v>14</v>
      </c>
      <c r="N80" s="6">
        <f>(128*4+256*4+2+20+40+10)*N9</f>
        <v>2964.8094156000002</v>
      </c>
      <c r="O80" s="6">
        <f>(128*4+256*4+2+40+40+10)*O9</f>
        <v>3001.6851546000003</v>
      </c>
      <c r="P80" s="6">
        <f>(128*4+256*4+2+80+40+10)*P9</f>
        <v>3075.4366326000004</v>
      </c>
      <c r="Q80" s="2" t="s">
        <v>5</v>
      </c>
    </row>
    <row r="81" spans="1:17" x14ac:dyDescent="0.3">
      <c r="A81" t="s">
        <v>13</v>
      </c>
      <c r="B81" s="5">
        <f>(128*4+128*4+2+20+80+10)*B10</f>
        <v>2094.5419752000003</v>
      </c>
      <c r="C81" s="5">
        <f>(128*4+128*4+2+40+80+10)*C10</f>
        <v>2131.4177142000003</v>
      </c>
      <c r="D81" s="5">
        <f>(128*4+128*4+2+80+80+10)*D10</f>
        <v>2205.1691922</v>
      </c>
      <c r="E81" t="s">
        <v>6</v>
      </c>
      <c r="G81" t="s">
        <v>13</v>
      </c>
      <c r="H81" s="5">
        <f>(128*4+128*4+2+20+80+10)*H10</f>
        <v>2094.5419752000003</v>
      </c>
      <c r="I81" s="5">
        <f>(128*4+128*4+2+40+80+10)*I10</f>
        <v>2131.4177142000003</v>
      </c>
      <c r="J81" s="5">
        <f>(128*4+128*4+2+80+80+10)*J10</f>
        <v>2205.1691922</v>
      </c>
      <c r="K81" t="s">
        <v>6</v>
      </c>
      <c r="M81" t="s">
        <v>13</v>
      </c>
      <c r="N81" s="5">
        <f>(128*4+128*4+2+20+80+10)*N10</f>
        <v>2094.5419751999998</v>
      </c>
      <c r="O81" s="5">
        <f>(128*4+128*4+2+40+80+10)*O10</f>
        <v>2131.4177142000003</v>
      </c>
      <c r="P81" s="5">
        <f>(128*4+128*4+2+80+80+10)*P10</f>
        <v>2205.1691922</v>
      </c>
      <c r="Q81" t="s">
        <v>6</v>
      </c>
    </row>
    <row r="82" spans="1:17" x14ac:dyDescent="0.3">
      <c r="A82" s="1" t="s">
        <v>16</v>
      </c>
      <c r="B82" s="8">
        <f>(64*4+256*4+2+20+80+10)*B11</f>
        <v>2566.5520608000002</v>
      </c>
      <c r="C82" s="8">
        <f>(64*4+256*4+2+40+80+10)*C11</f>
        <v>2603.427244</v>
      </c>
      <c r="D82" s="8">
        <f>(64*4+256*4+2+80+80+10)*D11</f>
        <v>2677.1786514</v>
      </c>
      <c r="E82" t="s">
        <v>6</v>
      </c>
      <c r="G82" s="1" t="s">
        <v>16</v>
      </c>
      <c r="H82" s="8">
        <f>(64*4+256*4+2+20+80+10)*H11</f>
        <v>2566.5520608000002</v>
      </c>
      <c r="I82" s="8">
        <f>(64*4+256*4+2+40+80+10)*I11</f>
        <v>2603.427244</v>
      </c>
      <c r="J82" s="8">
        <f>(64*4+256*4+2+80+80+10)*J11</f>
        <v>2677.1786514</v>
      </c>
      <c r="K82" t="s">
        <v>6</v>
      </c>
      <c r="M82" s="1" t="s">
        <v>16</v>
      </c>
      <c r="N82" s="8">
        <f>(64*4+256*4+2+20+80+10)*N11</f>
        <v>2566.5520608000002</v>
      </c>
      <c r="O82" s="8">
        <f>(64*4+256*4+2+40+80+10)*O11</f>
        <v>2603.427244</v>
      </c>
      <c r="P82" s="8">
        <f>(64*4+256*4+2+80+80+10)*P11</f>
        <v>2677.1786514</v>
      </c>
      <c r="Q82" t="s">
        <v>6</v>
      </c>
    </row>
    <row r="83" spans="1:17" ht="14.5" thickBot="1" x14ac:dyDescent="0.35">
      <c r="A83" s="2" t="s">
        <v>14</v>
      </c>
      <c r="B83" s="6">
        <f>(128*4+256*4+2+20+80+10)*B12</f>
        <v>3038.5608936000003</v>
      </c>
      <c r="C83" s="6">
        <f>(128*4+256*4+2+40+80+10)*C12</f>
        <v>3075.4366326000004</v>
      </c>
      <c r="D83" s="6">
        <f>(128*4+256*4+2+80+80+10)*D12</f>
        <v>3149.1881106000001</v>
      </c>
      <c r="E83" s="2" t="s">
        <v>6</v>
      </c>
      <c r="G83" s="2" t="s">
        <v>14</v>
      </c>
      <c r="H83" s="6">
        <f>(128*4+256*4+2+20+80+10)*H12</f>
        <v>3038.5608935999999</v>
      </c>
      <c r="I83" s="6">
        <f>(128*4+256*4+2+40+80+10)*I12</f>
        <v>3075.4366326000004</v>
      </c>
      <c r="J83" s="6">
        <f>(128*4+256*4+2+80+80+10)*J12</f>
        <v>3149.1881106000001</v>
      </c>
      <c r="K83" s="2" t="s">
        <v>6</v>
      </c>
      <c r="M83" s="2" t="s">
        <v>14</v>
      </c>
      <c r="N83" s="6">
        <f>(128*4+256*4+2+20+80+10)*N12</f>
        <v>3038.5608936000003</v>
      </c>
      <c r="O83" s="6">
        <f>(128*4+256*4+2+40+80+10)*O12</f>
        <v>3075.4366326000004</v>
      </c>
      <c r="P83" s="6">
        <f>(128*4+256*4+2+80+80+10)*P12</f>
        <v>3149.1881106000001</v>
      </c>
      <c r="Q83" s="2" t="s">
        <v>6</v>
      </c>
    </row>
    <row r="86" spans="1:17" ht="14" customHeight="1" x14ac:dyDescent="0.3">
      <c r="A86" s="21" t="s">
        <v>8</v>
      </c>
      <c r="B86" s="23" t="s">
        <v>9</v>
      </c>
      <c r="C86" s="23" t="s">
        <v>17</v>
      </c>
      <c r="G86" s="21" t="s">
        <v>8</v>
      </c>
      <c r="H86" s="23" t="s">
        <v>10</v>
      </c>
      <c r="I86" s="23" t="s">
        <v>17</v>
      </c>
      <c r="M86" s="21" t="s">
        <v>8</v>
      </c>
      <c r="N86" s="23" t="s">
        <v>11</v>
      </c>
      <c r="O86" s="23" t="s">
        <v>17</v>
      </c>
    </row>
    <row r="87" spans="1:17" x14ac:dyDescent="0.3">
      <c r="A87" s="22"/>
      <c r="B87" s="23"/>
      <c r="C87" s="23"/>
      <c r="G87" s="22"/>
      <c r="H87" s="23"/>
      <c r="I87" s="23"/>
      <c r="M87" s="22"/>
      <c r="N87" s="23"/>
      <c r="O87" s="23"/>
    </row>
    <row r="88" spans="1:17" ht="14.5" thickBot="1" x14ac:dyDescent="0.35">
      <c r="B88" s="2" t="s">
        <v>1</v>
      </c>
      <c r="C88" s="2" t="s">
        <v>2</v>
      </c>
      <c r="D88" s="2" t="s">
        <v>3</v>
      </c>
      <c r="H88" s="2" t="s">
        <v>1</v>
      </c>
      <c r="I88" s="2" t="s">
        <v>2</v>
      </c>
      <c r="J88" s="2" t="s">
        <v>3</v>
      </c>
      <c r="N88" s="2" t="s">
        <v>1</v>
      </c>
      <c r="O88" s="2" t="s">
        <v>2</v>
      </c>
      <c r="P88" s="2" t="s">
        <v>3</v>
      </c>
    </row>
    <row r="89" spans="1:17" x14ac:dyDescent="0.3">
      <c r="A89" t="s">
        <v>13</v>
      </c>
      <c r="B89" s="5">
        <f>(128*4+128*4+2+20+20+10)*B18</f>
        <v>1530.0149182</v>
      </c>
      <c r="C89" s="5">
        <f>(128*4+128*4+2+40+20+10)*C18</f>
        <v>1558.4538571999999</v>
      </c>
      <c r="D89" s="5">
        <f>(128*4+128*4+2+80+20+10)*D18</f>
        <v>1615.3317351999999</v>
      </c>
      <c r="E89" s="1" t="s">
        <v>4</v>
      </c>
      <c r="G89" t="s">
        <v>13</v>
      </c>
      <c r="H89" s="5">
        <f>(128*4+128*4+2+20+20+10)*H18</f>
        <v>1530.0149182</v>
      </c>
      <c r="I89" s="5">
        <f>(128*4+128*4+2+40+20+10)*I18</f>
        <v>1558.4538571999999</v>
      </c>
      <c r="J89" s="5">
        <f>(128*4+128*4+2+80+20+10)*J18</f>
        <v>1615.3317351999999</v>
      </c>
      <c r="K89" s="1" t="s">
        <v>4</v>
      </c>
      <c r="M89" t="s">
        <v>13</v>
      </c>
      <c r="N89" s="5">
        <f>(128*4+128*4+2+20+20+10)*N18</f>
        <v>1530.0149182</v>
      </c>
      <c r="O89" s="5">
        <f>(128*4+128*4+2+40+20+10)*O18</f>
        <v>1558.4538571999999</v>
      </c>
      <c r="P89" s="5">
        <f>(128*4+128*4+2+80+20+10)*P18</f>
        <v>1615.3317351999999</v>
      </c>
      <c r="Q89" s="1" t="s">
        <v>4</v>
      </c>
    </row>
    <row r="90" spans="1:17" x14ac:dyDescent="0.3">
      <c r="A90" s="1" t="s">
        <v>16</v>
      </c>
      <c r="B90" s="5">
        <f>(64*4+256*4+2+20+20+10)*B19</f>
        <v>1894.0338036000001</v>
      </c>
      <c r="C90" s="5">
        <f>(64*4+256*4+2+40+20+10)*C19</f>
        <v>1922.4722088000001</v>
      </c>
      <c r="D90" s="5">
        <f>(64*4+256*4+2+80+20+10)*D19</f>
        <v>1979.3500151999999</v>
      </c>
      <c r="E90" s="1" t="s">
        <v>4</v>
      </c>
      <c r="G90" s="1" t="s">
        <v>16</v>
      </c>
      <c r="H90" s="5">
        <f>(64*4+256*4+2+20+20+10)*H19</f>
        <v>1894.0338036000001</v>
      </c>
      <c r="I90" s="5">
        <f>(64*4+256*4+2+40+20+10)*I19</f>
        <v>1922.4722088000001</v>
      </c>
      <c r="J90" s="5">
        <f>(64*4+256*4+2+80+20+10)*J19</f>
        <v>1979.3500151999999</v>
      </c>
      <c r="K90" s="1" t="s">
        <v>4</v>
      </c>
      <c r="M90" s="1" t="s">
        <v>16</v>
      </c>
      <c r="N90" s="5">
        <f>(64*4+256*4+2+20+20+10)*N19</f>
        <v>1894.0338036000001</v>
      </c>
      <c r="O90" s="5">
        <f>(64*4+256*4+2+40+20+10)*O19</f>
        <v>1922.4722088000001</v>
      </c>
      <c r="P90" s="5">
        <f>(64*4+256*4+2+80+20+10)*P19</f>
        <v>1979.3500151999999</v>
      </c>
      <c r="Q90" s="1" t="s">
        <v>4</v>
      </c>
    </row>
    <row r="91" spans="1:17" ht="14.5" thickBot="1" x14ac:dyDescent="0.35">
      <c r="A91" s="2" t="s">
        <v>14</v>
      </c>
      <c r="B91" s="6">
        <f>(128*4+256*4+2+20+20+10)*B20</f>
        <v>2258.0515977999999</v>
      </c>
      <c r="C91" s="6">
        <f>(128*4+256*4+2+40+20+10)*C20</f>
        <v>2286.4905347999998</v>
      </c>
      <c r="D91" s="6">
        <f>(128*4+256*4+2+80+20+10)*D20</f>
        <v>2343.3684088</v>
      </c>
      <c r="E91" s="2" t="s">
        <v>4</v>
      </c>
      <c r="G91" s="2" t="s">
        <v>14</v>
      </c>
      <c r="H91" s="6">
        <f>(128*4+256*4+2+20+20+10)*H20</f>
        <v>2258.0515977999999</v>
      </c>
      <c r="I91" s="6">
        <f>(128*4+256*4+2+40+20+10)*I20</f>
        <v>2286.4905347999998</v>
      </c>
      <c r="J91" s="6">
        <f>(128*4+256*4+2+80+20+10)*J20</f>
        <v>2343.3684088</v>
      </c>
      <c r="K91" s="2" t="s">
        <v>4</v>
      </c>
      <c r="M91" s="2" t="s">
        <v>14</v>
      </c>
      <c r="N91" s="6">
        <f>(128*4+256*4+2+20+20+10)*N20</f>
        <v>2258.0515977999999</v>
      </c>
      <c r="O91" s="6">
        <f>(128*4+256*4+2+40+20+10)*O20</f>
        <v>2286.4905347999998</v>
      </c>
      <c r="P91" s="6">
        <f>(128*4+256*4+2+80+20+10)*P20</f>
        <v>2343.3684088</v>
      </c>
      <c r="Q91" s="2" t="s">
        <v>4</v>
      </c>
    </row>
    <row r="92" spans="1:17" x14ac:dyDescent="0.3">
      <c r="A92" t="s">
        <v>13</v>
      </c>
      <c r="B92" s="5">
        <f>(128*4+128*4+2+20+40+10)*B21</f>
        <v>1558.4537475999998</v>
      </c>
      <c r="C92" s="5">
        <f>(128*4+128*4+2+40+40+10)*C21</f>
        <v>1586.8926845999999</v>
      </c>
      <c r="D92" s="5">
        <f>(128*4+128*4+2+80+40+10)*D21</f>
        <v>1643.7705586</v>
      </c>
      <c r="E92" s="1" t="s">
        <v>5</v>
      </c>
      <c r="G92" t="s">
        <v>13</v>
      </c>
      <c r="H92" s="5">
        <f>(128*4+128*4+2+20+40+10)*H21</f>
        <v>1558.4537475999998</v>
      </c>
      <c r="I92" s="5">
        <f>(128*4+128*4+2+40+40+10)*I21</f>
        <v>1586.8926845999999</v>
      </c>
      <c r="J92" s="5">
        <f>(128*4+128*4+2+80+40+10)*J21</f>
        <v>1643.7705586</v>
      </c>
      <c r="K92" s="1" t="s">
        <v>5</v>
      </c>
      <c r="M92" t="s">
        <v>13</v>
      </c>
      <c r="N92" s="5">
        <f>(128*4+128*4+2+20+40+10)*N21</f>
        <v>1558.4537475999998</v>
      </c>
      <c r="O92" s="5">
        <f>(128*4+128*4+2+40+40+10)*O21</f>
        <v>1586.8926845999999</v>
      </c>
      <c r="P92" s="5">
        <f>(128*4+128*4+2+80+40+10)*P21</f>
        <v>1643.7705586</v>
      </c>
      <c r="Q92" s="1" t="s">
        <v>5</v>
      </c>
    </row>
    <row r="93" spans="1:17" x14ac:dyDescent="0.3">
      <c r="A93" s="1" t="s">
        <v>16</v>
      </c>
      <c r="B93" s="5">
        <f>(64*4+256*4+2+20+40+10)*B22</f>
        <v>1922.4727496</v>
      </c>
      <c r="C93" s="5">
        <f>(64*4+256*4+2+40+40+10)*C22</f>
        <v>1950.9110781999998</v>
      </c>
      <c r="D93" s="5">
        <f>(64*4+256*4+2+80+40+10)*D22</f>
        <v>2007.7889521999998</v>
      </c>
      <c r="E93" s="1" t="s">
        <v>5</v>
      </c>
      <c r="G93" s="1" t="s">
        <v>16</v>
      </c>
      <c r="H93" s="5">
        <f>(64*4+256*4+2+20+40+10)*H22</f>
        <v>1922.4727496</v>
      </c>
      <c r="I93" s="5">
        <f>(64*4+256*4+2+40+40+10)*I22</f>
        <v>1950.9111468000001</v>
      </c>
      <c r="J93" s="5">
        <f>(64*4+256*4+2+80+40+10)*J22</f>
        <v>2007.7889521999998</v>
      </c>
      <c r="K93" s="1" t="s">
        <v>5</v>
      </c>
      <c r="M93" s="1" t="s">
        <v>16</v>
      </c>
      <c r="N93" s="5">
        <f>(64*4+256*4+2+20+40+10)*N22</f>
        <v>1922.4727496</v>
      </c>
      <c r="O93" s="5">
        <f>(64*4+256*4+2+40+40+10)*O22</f>
        <v>1950.9111468000001</v>
      </c>
      <c r="P93" s="5">
        <f>(64*4+256*4+2+80+40+10)*P22</f>
        <v>2007.7889521999998</v>
      </c>
      <c r="Q93" s="1" t="s">
        <v>5</v>
      </c>
    </row>
    <row r="94" spans="1:17" ht="14.5" thickBot="1" x14ac:dyDescent="0.35">
      <c r="A94" s="2" t="s">
        <v>13</v>
      </c>
      <c r="B94" s="6">
        <f>(128*4+256*4+2+20+40+10)*B23</f>
        <v>2286.4905347999998</v>
      </c>
      <c r="C94" s="6">
        <f>(128*4+256*4+2+40+40+10)*C23</f>
        <v>2314.9294717999996</v>
      </c>
      <c r="D94" s="6">
        <f>(128*4+256*4+2+80+40+10)*D23</f>
        <v>2371.8073457999999</v>
      </c>
      <c r="E94" s="2" t="s">
        <v>5</v>
      </c>
      <c r="G94" s="2" t="s">
        <v>13</v>
      </c>
      <c r="H94" s="6">
        <f>(128*4+256*4+2+20+40+10)*H23</f>
        <v>2286.4905347999998</v>
      </c>
      <c r="I94" s="6">
        <f>(128*4+256*4+2+40+40+10)*I23</f>
        <v>2314.9294717999996</v>
      </c>
      <c r="J94" s="6">
        <f>(128*4+256*4+2+80+40+10)*J23</f>
        <v>2371.8073457999999</v>
      </c>
      <c r="K94" s="2" t="s">
        <v>5</v>
      </c>
      <c r="M94" s="2" t="s">
        <v>13</v>
      </c>
      <c r="N94" s="6">
        <f>(128*4+256*4+2+20+40+10)*N23</f>
        <v>2286.4905347999998</v>
      </c>
      <c r="O94" s="6">
        <f>(128*4+256*4+2+40+40+10)*O23</f>
        <v>2314.9294717999996</v>
      </c>
      <c r="P94" s="6">
        <f>(128*4+256*4+2+80+40+10)*P23</f>
        <v>2371.8073457999999</v>
      </c>
      <c r="Q94" s="2" t="s">
        <v>5</v>
      </c>
    </row>
    <row r="95" spans="1:17" x14ac:dyDescent="0.3">
      <c r="A95" t="s">
        <v>13</v>
      </c>
      <c r="B95" s="5">
        <f>(128*4+128*4+2+20+80+10)*B24</f>
        <v>1615.3316215999998</v>
      </c>
      <c r="C95" s="5">
        <f>(128*4+128*4+2+40+80+10)*C24</f>
        <v>1643.7705586</v>
      </c>
      <c r="D95" s="5">
        <f>(128*4+128*4+2+80+80+10)*D24</f>
        <v>1700.6484325999998</v>
      </c>
      <c r="E95" t="s">
        <v>6</v>
      </c>
      <c r="G95" t="s">
        <v>13</v>
      </c>
      <c r="H95" s="5">
        <f>(128*4+128*4+2+20+80+10)*H24</f>
        <v>1615.3316215999998</v>
      </c>
      <c r="I95" s="5">
        <f>(128*4+128*4+2+40+80+10)*I24</f>
        <v>1643.7705586</v>
      </c>
      <c r="J95" s="5">
        <f>(128*4+128*4+2+80+80+10)*J24</f>
        <v>1700.6484325999998</v>
      </c>
      <c r="K95" t="s">
        <v>6</v>
      </c>
      <c r="M95" t="s">
        <v>13</v>
      </c>
      <c r="N95" s="5">
        <f>(128*4+128*4+2+20+80+10)*N24</f>
        <v>1615.3316215999998</v>
      </c>
      <c r="O95" s="5">
        <f>(128*4+128*4+2+40+80+10)*O24</f>
        <v>1643.7705586</v>
      </c>
      <c r="P95" s="5">
        <f>(128*4+128*4+2+80+80+10)*P24</f>
        <v>1700.6484325999998</v>
      </c>
      <c r="Q95" t="s">
        <v>6</v>
      </c>
    </row>
    <row r="96" spans="1:17" x14ac:dyDescent="0.3">
      <c r="A96" s="1" t="s">
        <v>16</v>
      </c>
      <c r="B96" s="8">
        <f>(64*4+256*4+2+20+80+10)*B25</f>
        <v>1979.3506416</v>
      </c>
      <c r="C96" s="8">
        <f>(64*4+256*4+2+40+80+10)*C25</f>
        <v>2007.7890228000001</v>
      </c>
      <c r="D96" s="8">
        <f>(64*4+256*4+2+80+80+10)*D25</f>
        <v>2064.6668261999998</v>
      </c>
      <c r="E96" t="s">
        <v>6</v>
      </c>
      <c r="G96" s="1" t="s">
        <v>16</v>
      </c>
      <c r="H96" s="8">
        <f>(64*4+256*4+2+20+80+10)*H25</f>
        <v>1979.3506416</v>
      </c>
      <c r="I96" s="8">
        <f>(64*4+256*4+2+40+80+10)*I25</f>
        <v>2007.7890228000001</v>
      </c>
      <c r="J96" s="8">
        <f>(64*4+256*4+2+80+80+10)*J25</f>
        <v>2064.6668261999998</v>
      </c>
      <c r="K96" t="s">
        <v>6</v>
      </c>
      <c r="M96" s="1" t="s">
        <v>16</v>
      </c>
      <c r="N96" s="8">
        <f>(64*4+256*4+2+20+80+10)*N25</f>
        <v>1979.3506416</v>
      </c>
      <c r="O96" s="8">
        <f>(64*4+256*4+2+40+80+10)*O25</f>
        <v>2007.7890228000001</v>
      </c>
      <c r="P96" s="8">
        <f>(64*4+256*4+2+80+80+10)*P25</f>
        <v>2064.6668261999998</v>
      </c>
      <c r="Q96" t="s">
        <v>6</v>
      </c>
    </row>
    <row r="97" spans="1:17" ht="14.5" thickBot="1" x14ac:dyDescent="0.35">
      <c r="A97" s="2" t="s">
        <v>14</v>
      </c>
      <c r="B97" s="6">
        <f>(128*4+256*4+2+20+80+10)*B26</f>
        <v>2343.3684088</v>
      </c>
      <c r="C97" s="6">
        <f>(128*4+256*4+2+40+80+10)*C26</f>
        <v>2371.8073457999999</v>
      </c>
      <c r="D97" s="6">
        <f>(128*4+256*4+2+80+80+10)*D26</f>
        <v>2428.6852197999997</v>
      </c>
      <c r="E97" s="2" t="s">
        <v>6</v>
      </c>
      <c r="G97" s="2" t="s">
        <v>14</v>
      </c>
      <c r="H97" s="6">
        <f>(128*4+256*4+2+20+80+10)*H26</f>
        <v>2343.3684088</v>
      </c>
      <c r="I97" s="6">
        <f>(128*4+256*4+2+40+80+10)*I26</f>
        <v>2371.8073457999999</v>
      </c>
      <c r="J97" s="6">
        <f>(128*4+256*4+2+80+80+10)*J26</f>
        <v>2428.6852197999997</v>
      </c>
      <c r="K97" s="2" t="s">
        <v>6</v>
      </c>
      <c r="M97" s="2" t="s">
        <v>14</v>
      </c>
      <c r="N97" s="6">
        <f>(128*4+256*4+2+20+80+10)*N26</f>
        <v>2343.3684088</v>
      </c>
      <c r="O97" s="6">
        <f>(128*4+256*4+2+40+80+10)*O26</f>
        <v>2371.8073457999999</v>
      </c>
      <c r="P97" s="6">
        <f>(128*4+256*4+2+80+80+10)*P26</f>
        <v>2428.6852197999997</v>
      </c>
      <c r="Q97" s="2" t="s">
        <v>6</v>
      </c>
    </row>
    <row r="102" spans="1:17" x14ac:dyDescent="0.3">
      <c r="A102" s="21" t="s">
        <v>7</v>
      </c>
      <c r="B102" s="23" t="s">
        <v>9</v>
      </c>
      <c r="C102" s="23" t="s">
        <v>18</v>
      </c>
      <c r="G102" s="21" t="s">
        <v>7</v>
      </c>
      <c r="H102" s="23" t="s">
        <v>10</v>
      </c>
      <c r="I102" s="23" t="s">
        <v>18</v>
      </c>
      <c r="M102" s="21" t="s">
        <v>7</v>
      </c>
      <c r="N102" s="23" t="s">
        <v>11</v>
      </c>
      <c r="O102" s="23" t="s">
        <v>18</v>
      </c>
    </row>
    <row r="103" spans="1:17" x14ac:dyDescent="0.3">
      <c r="A103" s="22"/>
      <c r="B103" s="23"/>
      <c r="C103" s="23"/>
      <c r="G103" s="22"/>
      <c r="H103" s="23"/>
      <c r="I103" s="23"/>
      <c r="M103" s="22"/>
      <c r="N103" s="23"/>
      <c r="O103" s="23"/>
    </row>
    <row r="104" spans="1:17" ht="14.5" thickBot="1" x14ac:dyDescent="0.35">
      <c r="B104" s="2" t="s">
        <v>1</v>
      </c>
      <c r="C104" s="2" t="s">
        <v>2</v>
      </c>
      <c r="D104" s="2" t="s">
        <v>3</v>
      </c>
      <c r="H104" s="2" t="s">
        <v>1</v>
      </c>
      <c r="I104" s="2" t="s">
        <v>2</v>
      </c>
      <c r="J104" s="2" t="s">
        <v>3</v>
      </c>
      <c r="N104" s="2" t="s">
        <v>1</v>
      </c>
      <c r="O104" s="2" t="s">
        <v>2</v>
      </c>
      <c r="P104" s="2" t="s">
        <v>3</v>
      </c>
    </row>
    <row r="105" spans="1:17" x14ac:dyDescent="0.3">
      <c r="A105" t="s">
        <v>13</v>
      </c>
      <c r="B105" s="5">
        <f>(128*4+128*4+8+20+20+10)*B34</f>
        <v>1994.9775881</v>
      </c>
      <c r="C105" s="5">
        <f>(128*4+128*4+8+40+20+10)*C34</f>
        <v>2031.8533290999999</v>
      </c>
      <c r="D105" s="5">
        <f>(128*4+128*4+8+80+20+10)*D34</f>
        <v>2105.6048111</v>
      </c>
      <c r="E105" s="1" t="s">
        <v>4</v>
      </c>
      <c r="G105" t="s">
        <v>13</v>
      </c>
      <c r="H105" s="5">
        <f>(128*4+128*4+8+20+20+10)*H34</f>
        <v>1994.9775881</v>
      </c>
      <c r="I105" s="5">
        <f>(128*4+128*4+8+40+20+10)*I34</f>
        <v>2031.8533290999999</v>
      </c>
      <c r="J105" s="5">
        <f>(128*4+128*4+8+80+20+10)*J34</f>
        <v>2105.6048111</v>
      </c>
      <c r="K105" s="1" t="s">
        <v>4</v>
      </c>
      <c r="M105" s="1" t="s">
        <v>13</v>
      </c>
      <c r="N105" s="5">
        <f>(128*4+128*4+8+20+20+10)*N34</f>
        <v>1994.9775881</v>
      </c>
      <c r="O105" s="5">
        <f>(128*4+128*4+8+40+20+10)*O34</f>
        <v>2031.8533290999999</v>
      </c>
      <c r="P105" s="5">
        <f>(128*4+128*4+8+80+20+10)*P34</f>
        <v>2105.6048111</v>
      </c>
      <c r="Q105" s="1" t="s">
        <v>4</v>
      </c>
    </row>
    <row r="106" spans="1:17" x14ac:dyDescent="0.3">
      <c r="A106" s="1" t="s">
        <v>16</v>
      </c>
      <c r="B106" s="5">
        <f>(64*4+256*4+8+20+20+10)*B35</f>
        <v>2466.9875412000001</v>
      </c>
      <c r="C106" s="5">
        <f>(64*4+256*4+8+40+20+10)*C35</f>
        <v>2503.8627459999998</v>
      </c>
      <c r="D106" s="5">
        <f>(64*4+256*4+8+80+20+10)*D35</f>
        <v>2577.6141561000004</v>
      </c>
      <c r="E106" s="1" t="s">
        <v>4</v>
      </c>
      <c r="G106" s="1" t="s">
        <v>16</v>
      </c>
      <c r="H106" s="5">
        <f>(64*4+256*4+8+20+20+10)*H35</f>
        <v>2466.9875412000001</v>
      </c>
      <c r="I106" s="5">
        <f>(64*4+256*4+8+40+20+10)*I35</f>
        <v>2503.8627459999998</v>
      </c>
      <c r="J106" s="5">
        <f>(64*4+256*4+8+80+20+10)*J35</f>
        <v>2577.6141561000004</v>
      </c>
      <c r="K106" s="1" t="s">
        <v>4</v>
      </c>
      <c r="M106" s="1" t="s">
        <v>16</v>
      </c>
      <c r="N106" s="5">
        <f>(64*4+256*4+8+20+20+10)*N35</f>
        <v>2466.9875412000001</v>
      </c>
      <c r="O106" s="5">
        <f>(64*4+256*4+8+40+20+10)*O35</f>
        <v>2503.8627459999998</v>
      </c>
      <c r="P106" s="5">
        <f>(64*4+256*4+8+80+20+10)*P35</f>
        <v>2577.6141561000004</v>
      </c>
      <c r="Q106" s="1" t="s">
        <v>4</v>
      </c>
    </row>
    <row r="107" spans="1:17" ht="14.5" thickBot="1" x14ac:dyDescent="0.35">
      <c r="A107" s="2" t="s">
        <v>14</v>
      </c>
      <c r="B107" s="6">
        <f>(128*4+256*4+8+20+20+10)*B36</f>
        <v>2938.9963983000002</v>
      </c>
      <c r="C107" s="6">
        <f>(128*4+256*4+8+40+20+10)*C36</f>
        <v>2975.8721373000003</v>
      </c>
      <c r="D107" s="6">
        <f>(128*4+256*4+8+80+20+10)*D36</f>
        <v>3049.6236153000004</v>
      </c>
      <c r="E107" s="2" t="s">
        <v>4</v>
      </c>
      <c r="G107" s="2" t="s">
        <v>14</v>
      </c>
      <c r="H107" s="6">
        <f>(128*4+256*4+8+20+20+10)*H36</f>
        <v>2938.9963983000002</v>
      </c>
      <c r="I107" s="6">
        <f>(128*4+256*4+8+40+20+10)*I36</f>
        <v>2975.8721373000003</v>
      </c>
      <c r="J107" s="6">
        <f>(128*4+256*4+8+80+20+10)*J36</f>
        <v>3049.6236153000004</v>
      </c>
      <c r="K107" s="2" t="s">
        <v>4</v>
      </c>
      <c r="M107" s="2" t="s">
        <v>14</v>
      </c>
      <c r="N107" s="6">
        <f>(128*4+256*4+8+20+20+10)*N36</f>
        <v>2938.9963983000002</v>
      </c>
      <c r="O107" s="6">
        <f>(128*4+256*4+8+40+20+10)*O36</f>
        <v>2975.8721373000003</v>
      </c>
      <c r="P107" s="6">
        <f>(128*4+256*4+8+80+20+10)*P36</f>
        <v>3049.6236153000004</v>
      </c>
      <c r="Q107" s="2" t="s">
        <v>4</v>
      </c>
    </row>
    <row r="108" spans="1:17" x14ac:dyDescent="0.3">
      <c r="A108" s="1" t="s">
        <v>13</v>
      </c>
      <c r="B108" s="5">
        <f>(128*4+128*4+8+20+40+10)*B37</f>
        <v>2031.8532189000002</v>
      </c>
      <c r="C108" s="5">
        <f>(128*4+128*4+8+40+40+10)*C37</f>
        <v>2068.7289579000003</v>
      </c>
      <c r="D108" s="5">
        <f>(128*4+128*4+8+80+40+10)*D37</f>
        <v>2142.4804359</v>
      </c>
      <c r="E108" s="1" t="s">
        <v>5</v>
      </c>
      <c r="G108" s="1" t="s">
        <v>13</v>
      </c>
      <c r="H108" s="5">
        <f>(128*4+128*4+8+20+40+10)*H37</f>
        <v>2031.8532189000002</v>
      </c>
      <c r="I108" s="5">
        <f>(128*4+128*4+8+40+40+10)*I37</f>
        <v>2068.7289579000003</v>
      </c>
      <c r="J108" s="5">
        <f>(128*4+128*4+8+80+40+10)*J37</f>
        <v>2142.4804359</v>
      </c>
      <c r="K108" s="1" t="s">
        <v>5</v>
      </c>
      <c r="M108" s="1" t="s">
        <v>13</v>
      </c>
      <c r="N108" s="5">
        <f>(128*4+128*4+8+20+40+10)*N37</f>
        <v>2031.8532189000002</v>
      </c>
      <c r="O108" s="5">
        <f>(128*4+128*4+8+40+40+10)*O37</f>
        <v>2068.7289579000003</v>
      </c>
      <c r="P108" s="5">
        <f>(128*4+128*4+8+80+40+10)*P37</f>
        <v>2142.4804359</v>
      </c>
      <c r="Q108" s="1" t="s">
        <v>5</v>
      </c>
    </row>
    <row r="109" spans="1:17" x14ac:dyDescent="0.3">
      <c r="A109" s="1" t="s">
        <v>16</v>
      </c>
      <c r="B109" s="5">
        <f>(64*4+256*4+8+20+40+10)*B38</f>
        <v>2503.8632892000001</v>
      </c>
      <c r="C109" s="5">
        <f>(64*4+256*4+8+40+40+10)*C38</f>
        <v>2540.7384859999997</v>
      </c>
      <c r="D109" s="5">
        <f>(64*4+256*4+8+80+40+10)*D38</f>
        <v>2614.4898951</v>
      </c>
      <c r="E109" s="1" t="s">
        <v>5</v>
      </c>
      <c r="G109" s="1" t="s">
        <v>16</v>
      </c>
      <c r="H109" s="5">
        <f>(64*4+256*4+8+20+40+10)*H38</f>
        <v>2503.8632892000001</v>
      </c>
      <c r="I109" s="5">
        <f>(64*4+256*4+8+40+40+10)*I38</f>
        <v>2540.7384859999997</v>
      </c>
      <c r="J109" s="5">
        <f>(64*4+256*4+8+80+40+10)*J38</f>
        <v>2614.4898951</v>
      </c>
      <c r="K109" s="1" t="s">
        <v>5</v>
      </c>
      <c r="M109" s="1" t="s">
        <v>16</v>
      </c>
      <c r="N109" s="5">
        <f>(64*4+256*4+8+20+40+10)*N38</f>
        <v>2503.8632892000001</v>
      </c>
      <c r="O109" s="5">
        <f>(64*4+256*4+8+40+40+10)*O38</f>
        <v>2540.7384859999997</v>
      </c>
      <c r="P109" s="5">
        <f>(64*4+256*4+8+80+40+10)*P38</f>
        <v>2614.4898951</v>
      </c>
      <c r="Q109" s="1" t="s">
        <v>5</v>
      </c>
    </row>
    <row r="110" spans="1:17" ht="14.5" thickBot="1" x14ac:dyDescent="0.35">
      <c r="A110" s="2" t="s">
        <v>14</v>
      </c>
      <c r="B110" s="6">
        <f>(128*4+256*4+8+20+40+10)*B39</f>
        <v>2975.8721373000003</v>
      </c>
      <c r="C110" s="6">
        <f>(128*4+256*4+8+40+40+10)*C39</f>
        <v>3012.7478763000004</v>
      </c>
      <c r="D110" s="6">
        <f>(128*4+256*4+8+80+40+10)*D39</f>
        <v>3086.4993543</v>
      </c>
      <c r="E110" s="2" t="s">
        <v>5</v>
      </c>
      <c r="G110" s="2" t="s">
        <v>14</v>
      </c>
      <c r="H110" s="6">
        <f>(128*4+256*4+8+20+40+10)*H39</f>
        <v>2975.8721373000003</v>
      </c>
      <c r="I110" s="6">
        <f>(128*4+256*4+8+40+40+10)*I39</f>
        <v>3012.7478763000004</v>
      </c>
      <c r="J110" s="6">
        <f>(128*4+256*4+8+80+40+10)*J39</f>
        <v>3086.4993543</v>
      </c>
      <c r="K110" s="2" t="s">
        <v>5</v>
      </c>
      <c r="M110" s="2" t="s">
        <v>14</v>
      </c>
      <c r="N110" s="6">
        <f>(128*4+256*4+8+20+40+10)*N39</f>
        <v>2975.8721373000003</v>
      </c>
      <c r="O110" s="6">
        <f>(128*4+256*4+8+40+40+10)*O39</f>
        <v>3012.7478763000004</v>
      </c>
      <c r="P110" s="6">
        <f>(128*4+256*4+8+80+40+10)*P39</f>
        <v>3086.4993543</v>
      </c>
      <c r="Q110" s="2" t="s">
        <v>5</v>
      </c>
    </row>
    <row r="111" spans="1:17" x14ac:dyDescent="0.3">
      <c r="A111" t="s">
        <v>13</v>
      </c>
      <c r="B111" s="5">
        <f>(128*4+128*4+8+20+80+10)*B40</f>
        <v>2105.6046969000004</v>
      </c>
      <c r="C111" s="5">
        <f>(128*4+128*4+8+40+80+10)*C40</f>
        <v>2142.4804359</v>
      </c>
      <c r="D111" s="5">
        <f>(128*4+128*4+8+80+80+10)*D40</f>
        <v>2216.2319139000001</v>
      </c>
      <c r="E111" s="1" t="s">
        <v>6</v>
      </c>
      <c r="G111" s="1" t="s">
        <v>13</v>
      </c>
      <c r="H111" s="5">
        <f>(128*4+128*4+8+20+80+10)*H40</f>
        <v>2105.6046969000004</v>
      </c>
      <c r="I111" s="5">
        <f>(128*4+128*4+8+40+80+10)*I40</f>
        <v>2142.4804359</v>
      </c>
      <c r="J111" s="5">
        <f>(128*4+128*4+8+80+80+10)*J40</f>
        <v>2216.2319139000001</v>
      </c>
      <c r="K111" s="1" t="s">
        <v>6</v>
      </c>
      <c r="M111" s="1" t="s">
        <v>13</v>
      </c>
      <c r="N111" s="5">
        <f>(128*4+128*4+8+20+80+10)*N40</f>
        <v>2105.6046969000004</v>
      </c>
      <c r="O111" s="5">
        <f>(128*4+128*4+8+40+80+10)*O40</f>
        <v>2142.4804359</v>
      </c>
      <c r="P111" s="5">
        <f>(128*4+128*4+8+80+80+10)*P40</f>
        <v>2216.2319139000001</v>
      </c>
      <c r="Q111" s="1" t="s">
        <v>6</v>
      </c>
    </row>
    <row r="112" spans="1:17" x14ac:dyDescent="0.3">
      <c r="A112" s="1" t="s">
        <v>16</v>
      </c>
      <c r="B112" s="8">
        <f>(64*4+256*4+8+20+80+10)*B41</f>
        <v>2577.6147851999999</v>
      </c>
      <c r="C112" s="8">
        <f>(64*4+256*4+8+40+80+10)*C41</f>
        <v>2614.4899659999996</v>
      </c>
      <c r="D112" s="8">
        <f>(64*4+256*4+8+80+80+10)*D41</f>
        <v>2688.2413731000001</v>
      </c>
      <c r="E112" s="1" t="s">
        <v>6</v>
      </c>
      <c r="G112" s="1" t="s">
        <v>16</v>
      </c>
      <c r="H112" s="8">
        <f>(64*4+256*4+8+20+80+10)*H41</f>
        <v>2577.6147851999999</v>
      </c>
      <c r="I112" s="8">
        <f>(64*4+256*4+8+40+80+10)*I41</f>
        <v>2614.4899659999996</v>
      </c>
      <c r="J112" s="8">
        <f>(64*4+256*4+8+80+80+10)*J41</f>
        <v>2688.2413731000001</v>
      </c>
      <c r="K112" s="1" t="s">
        <v>6</v>
      </c>
      <c r="M112" s="1" t="s">
        <v>16</v>
      </c>
      <c r="N112" s="8">
        <f>(64*4+256*4+8+20+80+10)*N41</f>
        <v>2577.6147851999999</v>
      </c>
      <c r="O112" s="8">
        <f>(64*4+256*4+8+40+80+10)*O41</f>
        <v>2614.4899659999996</v>
      </c>
      <c r="P112" s="8">
        <f>(64*4+256*4+8+80+80+10)*P41</f>
        <v>2688.2413731000001</v>
      </c>
      <c r="Q112" s="1" t="s">
        <v>6</v>
      </c>
    </row>
    <row r="113" spans="1:17" ht="14.5" thickBot="1" x14ac:dyDescent="0.35">
      <c r="A113" s="2" t="s">
        <v>14</v>
      </c>
      <c r="B113" s="6">
        <f>(128*4+256*4+8+20+80+10)*B42</f>
        <v>3049.6236153000004</v>
      </c>
      <c r="C113" s="6">
        <f>(128*4+256*4+8+40+80+10)*C42</f>
        <v>3086.4993543</v>
      </c>
      <c r="D113" s="6">
        <f>(128*4+256*4+8+80+80+10)*D42</f>
        <v>3160.2508323000002</v>
      </c>
      <c r="E113" s="2" t="s">
        <v>6</v>
      </c>
      <c r="G113" s="2" t="s">
        <v>14</v>
      </c>
      <c r="H113" s="6">
        <f>(128*4+256*4+8+20+80+10)*H42</f>
        <v>3049.6236153000004</v>
      </c>
      <c r="I113" s="6">
        <f>(128*4+256*4+8+40+80+10)*I42</f>
        <v>3086.4993543</v>
      </c>
      <c r="J113" s="6">
        <f>(128*4+256*4+8+80+80+10)*J42</f>
        <v>3160.2508323000002</v>
      </c>
      <c r="K113" s="2" t="s">
        <v>6</v>
      </c>
      <c r="M113" s="2" t="s">
        <v>14</v>
      </c>
      <c r="N113" s="6">
        <f>(128*4+256*4+8+20+80+10)*N42</f>
        <v>3049.6236153000004</v>
      </c>
      <c r="O113" s="6">
        <f>(128*4+256*4+8+40+80+10)*O42</f>
        <v>3086.4993543</v>
      </c>
      <c r="P113" s="6">
        <f>(128*4+256*4+8+80+80+10)*P42</f>
        <v>3160.2508323000002</v>
      </c>
      <c r="Q113" s="2" t="s">
        <v>6</v>
      </c>
    </row>
    <row r="114" spans="1:17" x14ac:dyDescent="0.3">
      <c r="G114" s="1"/>
      <c r="H114" s="1"/>
      <c r="I114" s="1"/>
      <c r="J114" s="1"/>
      <c r="K114" s="1"/>
      <c r="M114" s="1"/>
      <c r="N114" s="1"/>
      <c r="O114" s="1"/>
      <c r="P114" s="1"/>
      <c r="Q114" s="1"/>
    </row>
    <row r="115" spans="1:17" x14ac:dyDescent="0.3">
      <c r="G115" s="1"/>
      <c r="H115" s="1"/>
      <c r="I115" s="1"/>
      <c r="J115" s="1"/>
      <c r="K115" s="1"/>
      <c r="M115" s="1"/>
      <c r="N115" s="1"/>
      <c r="O115" s="1"/>
      <c r="P115" s="1"/>
      <c r="Q115" s="1"/>
    </row>
    <row r="116" spans="1:17" x14ac:dyDescent="0.3">
      <c r="A116" s="21" t="s">
        <v>8</v>
      </c>
      <c r="G116" s="27" t="s">
        <v>8</v>
      </c>
      <c r="H116" s="28" t="s">
        <v>10</v>
      </c>
      <c r="I116" s="28" t="s">
        <v>18</v>
      </c>
      <c r="J116" s="1"/>
      <c r="K116" s="1"/>
      <c r="M116" s="27" t="s">
        <v>8</v>
      </c>
      <c r="N116" s="28" t="s">
        <v>11</v>
      </c>
      <c r="O116" s="28" t="s">
        <v>18</v>
      </c>
      <c r="P116" s="1"/>
      <c r="Q116" s="1"/>
    </row>
    <row r="117" spans="1:17" x14ac:dyDescent="0.3">
      <c r="A117" s="22"/>
      <c r="G117" s="29"/>
      <c r="H117" s="28"/>
      <c r="I117" s="28"/>
      <c r="J117" s="1"/>
      <c r="K117" s="1"/>
      <c r="M117" s="29"/>
      <c r="N117" s="28"/>
      <c r="O117" s="28"/>
      <c r="P117" s="1"/>
      <c r="Q117" s="1"/>
    </row>
    <row r="118" spans="1:17" ht="14.5" thickBot="1" x14ac:dyDescent="0.35">
      <c r="B118" t="s">
        <v>1</v>
      </c>
      <c r="C118" t="s">
        <v>2</v>
      </c>
      <c r="D118" t="s">
        <v>3</v>
      </c>
      <c r="G118" s="1"/>
      <c r="H118" s="2" t="s">
        <v>1</v>
      </c>
      <c r="I118" s="2" t="s">
        <v>2</v>
      </c>
      <c r="J118" s="2" t="s">
        <v>3</v>
      </c>
      <c r="K118" s="1"/>
      <c r="M118" s="1"/>
      <c r="N118" s="2" t="s">
        <v>1</v>
      </c>
      <c r="O118" s="2" t="s">
        <v>2</v>
      </c>
      <c r="P118" s="2" t="s">
        <v>3</v>
      </c>
      <c r="Q118" s="1"/>
    </row>
    <row r="119" spans="1:17" x14ac:dyDescent="0.3">
      <c r="A119" s="1" t="s">
        <v>13</v>
      </c>
      <c r="B119" s="5">
        <f>(128*4+128*4+8+20+20+10)*B48</f>
        <v>1538.5465998999998</v>
      </c>
      <c r="C119" s="5">
        <f>(128*4+128*4+8+40+20+10)*C48</f>
        <v>1566.9855388999999</v>
      </c>
      <c r="D119" s="5">
        <f>(128*4+128*4+8+80+20+10)*D48</f>
        <v>1623.8634168999999</v>
      </c>
      <c r="E119" s="1" t="s">
        <v>4</v>
      </c>
      <c r="G119" s="1" t="s">
        <v>13</v>
      </c>
      <c r="H119" s="5">
        <f>(128*4+128*4+8+20+20+10)*H48</f>
        <v>1538.5465998999998</v>
      </c>
      <c r="I119" s="5">
        <f>(128*4+128*4+8+40+20+10)*I48</f>
        <v>1566.9855388999999</v>
      </c>
      <c r="J119" s="5">
        <f>(128*4+128*4+8+80+20+10)*J48</f>
        <v>1623.8634168999999</v>
      </c>
      <c r="K119" s="1" t="s">
        <v>4</v>
      </c>
      <c r="M119" s="1" t="s">
        <v>13</v>
      </c>
      <c r="N119" s="5">
        <f>(128*4+128*4+8+20+20+10)*N48</f>
        <v>1538.5465998999998</v>
      </c>
      <c r="O119" s="5">
        <f>(128*4+128*4+8+40+20+10)*O48</f>
        <v>1566.9855388999999</v>
      </c>
      <c r="P119" s="5">
        <f>(128*4+128*4+8+80+20+10)*P48</f>
        <v>1623.8634168999999</v>
      </c>
      <c r="Q119" s="1" t="s">
        <v>4</v>
      </c>
    </row>
    <row r="120" spans="1:17" x14ac:dyDescent="0.3">
      <c r="A120" s="1" t="s">
        <v>16</v>
      </c>
      <c r="B120" s="5">
        <f>(64*4+256*4+8+20+20+10)*B49</f>
        <v>1902.5654873999999</v>
      </c>
      <c r="C120" s="5">
        <f>(64*4+256*4+8+40+20+10)*C49</f>
        <v>1931.0038902000001</v>
      </c>
      <c r="D120" s="5">
        <f>(64*4+256*4+8+80+20+10)*D49</f>
        <v>1987.8816962999999</v>
      </c>
      <c r="E120" s="1" t="s">
        <v>4</v>
      </c>
      <c r="G120" s="1" t="s">
        <v>16</v>
      </c>
      <c r="H120" s="5">
        <f>(64*4+256*4+8+20+20+10)*H49</f>
        <v>1902.5654873999999</v>
      </c>
      <c r="I120" s="5">
        <f>(64*4+256*4+8+40+20+10)*I49</f>
        <v>1931.0038902000001</v>
      </c>
      <c r="J120" s="5">
        <f>(64*4+256*4+8+80+20+10)*J49</f>
        <v>1987.8816962999999</v>
      </c>
      <c r="K120" s="1" t="s">
        <v>4</v>
      </c>
      <c r="M120" s="1" t="s">
        <v>16</v>
      </c>
      <c r="N120" s="5">
        <f>(64*4+256*4+8+20+20+10)*N49</f>
        <v>1902.5654873999999</v>
      </c>
      <c r="O120" s="5">
        <f>(64*4+256*4+8+40+20+10)*O49</f>
        <v>1931.0038902000001</v>
      </c>
      <c r="P120" s="5">
        <f>(64*4+256*4+8+80+20+10)*P49</f>
        <v>1987.8816962999999</v>
      </c>
      <c r="Q120" s="1" t="s">
        <v>4</v>
      </c>
    </row>
    <row r="121" spans="1:17" ht="14.5" thickBot="1" x14ac:dyDescent="0.35">
      <c r="A121" s="2" t="s">
        <v>14</v>
      </c>
      <c r="B121" s="6">
        <f>(128*4+256*4+8+20+20+10)*B50</f>
        <v>2266.5832788999996</v>
      </c>
      <c r="C121" s="6">
        <f>(128*4+256*4+8+40+20+10)*C50</f>
        <v>2295.0222159</v>
      </c>
      <c r="D121" s="6">
        <f>(128*4+256*4+8+80+20+10)*D50</f>
        <v>2351.9000898999998</v>
      </c>
      <c r="E121" s="2" t="s">
        <v>4</v>
      </c>
      <c r="G121" s="2" t="s">
        <v>14</v>
      </c>
      <c r="H121" s="6">
        <f>(128*4+256*4+8+20+20+10)*H50</f>
        <v>2266.5832788999996</v>
      </c>
      <c r="I121" s="6">
        <f>(128*4+256*4+8+40+20+10)*I50</f>
        <v>2295.0222159</v>
      </c>
      <c r="J121" s="6">
        <f>(128*4+256*4+8+80+20+10)*J50</f>
        <v>2351.9000898999998</v>
      </c>
      <c r="K121" s="2" t="s">
        <v>4</v>
      </c>
      <c r="M121" s="2" t="s">
        <v>14</v>
      </c>
      <c r="N121" s="6">
        <f>(128*4+256*4+8+20+20+10)*N50</f>
        <v>2266.5832788999996</v>
      </c>
      <c r="O121" s="6">
        <f>(128*4+256*4+8+40+20+10)*O50</f>
        <v>2295.0222159</v>
      </c>
      <c r="P121" s="6">
        <f>(128*4+256*4+8+80+20+10)*P50</f>
        <v>2351.9000898999998</v>
      </c>
      <c r="Q121" s="2" t="s">
        <v>4</v>
      </c>
    </row>
    <row r="122" spans="1:17" x14ac:dyDescent="0.3">
      <c r="A122" s="1" t="s">
        <v>13</v>
      </c>
      <c r="B122" s="5">
        <f>(128*4+128*4+8+20+40+10)*B51</f>
        <v>1566.9854286999998</v>
      </c>
      <c r="C122" s="5">
        <f>(128*4+128*4+8+40+40+10)*C51</f>
        <v>1595.4243657</v>
      </c>
      <c r="D122" s="5">
        <f>(128*4+128*4+8+80+40+10)*D51</f>
        <v>1652.3022396999997</v>
      </c>
      <c r="E122" s="1" t="s">
        <v>5</v>
      </c>
      <c r="G122" s="1" t="s">
        <v>13</v>
      </c>
      <c r="H122" s="5">
        <f>(128*4+128*4+8+20+40+10)*H51</f>
        <v>1566.9854286999998</v>
      </c>
      <c r="I122" s="5">
        <f>(128*4+128*4+8+40+40+10)*I51</f>
        <v>1595.4243657</v>
      </c>
      <c r="J122" s="5">
        <f>(128*4+128*4+8+80+40+10)*J51</f>
        <v>1652.3022396999997</v>
      </c>
      <c r="K122" s="1" t="s">
        <v>5</v>
      </c>
      <c r="M122" s="1" t="s">
        <v>13</v>
      </c>
      <c r="N122" s="5">
        <f>(128*4+128*4+8+20+40+10)*N51</f>
        <v>1566.9854286999998</v>
      </c>
      <c r="O122" s="5">
        <f>(128*4+128*4+8+40+40+10)*O51</f>
        <v>1595.4243657</v>
      </c>
      <c r="P122" s="5">
        <f>(128*4+128*4+8+80+40+10)*P51</f>
        <v>1652.3022396999997</v>
      </c>
      <c r="Q122" s="1" t="s">
        <v>5</v>
      </c>
    </row>
    <row r="123" spans="1:17" x14ac:dyDescent="0.3">
      <c r="A123" s="1" t="s">
        <v>16</v>
      </c>
      <c r="B123" s="5">
        <f>(64*4+256*4+8+20+40+10)*B52</f>
        <v>1931.0044333999999</v>
      </c>
      <c r="C123" s="5">
        <f>(64*4+256*4+8+40+40+10)*C52</f>
        <v>1959.4428282000001</v>
      </c>
      <c r="D123" s="5">
        <f>(64*4+256*4+8+80+40+10)*D52</f>
        <v>2016.3206332999998</v>
      </c>
      <c r="E123" s="1" t="s">
        <v>5</v>
      </c>
      <c r="G123" s="1" t="s">
        <v>16</v>
      </c>
      <c r="H123" s="5">
        <f>(64*4+256*4+8+20+40+10)*H52</f>
        <v>1931.0038222999999</v>
      </c>
      <c r="I123" s="5">
        <f>(64*4+256*4+8+40+40+10)*I52</f>
        <v>1959.4427592999998</v>
      </c>
      <c r="J123" s="5">
        <f>(64*4+256*4+8+80+40+10)*J52</f>
        <v>2016.3206332999998</v>
      </c>
      <c r="K123" s="1" t="s">
        <v>5</v>
      </c>
      <c r="M123" s="1" t="s">
        <v>16</v>
      </c>
      <c r="N123" s="5">
        <f>(64*4+256*4+8+20+40+10)*N52</f>
        <v>1931.0038222999999</v>
      </c>
      <c r="O123" s="5">
        <f>(64*4+256*4+8+40+40+10)*O52</f>
        <v>1959.4427592999998</v>
      </c>
      <c r="P123" s="5">
        <f>(64*4+256*4+8+80+40+10)*P52</f>
        <v>2016.3206332999998</v>
      </c>
      <c r="Q123" s="1" t="s">
        <v>5</v>
      </c>
    </row>
    <row r="124" spans="1:17" ht="14.5" thickBot="1" x14ac:dyDescent="0.35">
      <c r="A124" s="2" t="s">
        <v>14</v>
      </c>
      <c r="B124" s="6">
        <f>(128*4+256*4+8+20+40+10)*B53</f>
        <v>2295.0222159</v>
      </c>
      <c r="C124" s="6">
        <f>(128*4+256*4+8+40+40+10)*C53</f>
        <v>2323.4611528999999</v>
      </c>
      <c r="D124" s="6">
        <f>(128*4+256*4+8+80+40+10)*D53</f>
        <v>2380.3390268999997</v>
      </c>
      <c r="E124" s="2" t="s">
        <v>5</v>
      </c>
      <c r="G124" s="2" t="s">
        <v>14</v>
      </c>
      <c r="H124" s="6">
        <f>(128*4+256*4+8+20+40+10)*H53</f>
        <v>2295.0222159</v>
      </c>
      <c r="I124" s="6">
        <f>(128*4+256*4+8+40+40+10)*I53</f>
        <v>2323.4611528999999</v>
      </c>
      <c r="J124" s="6">
        <f>(128*4+256*4+8+80+40+10)*J53</f>
        <v>2380.3390268999997</v>
      </c>
      <c r="K124" s="2" t="s">
        <v>5</v>
      </c>
      <c r="M124" s="2" t="s">
        <v>14</v>
      </c>
      <c r="N124" s="6">
        <f>(128*4+256*4+8+20+40+10)*N53</f>
        <v>2295.0222159</v>
      </c>
      <c r="O124" s="6">
        <f>(128*4+256*4+8+40+40+10)*O53</f>
        <v>2323.4611528999999</v>
      </c>
      <c r="P124" s="6">
        <f>(128*4+256*4+8+80+40+10)*P53</f>
        <v>2380.3390268999997</v>
      </c>
      <c r="Q124" s="2" t="s">
        <v>5</v>
      </c>
    </row>
    <row r="125" spans="1:17" x14ac:dyDescent="0.3">
      <c r="A125" t="s">
        <v>13</v>
      </c>
      <c r="B125" s="5">
        <f>(128*4+128*4+8+20+80+10)*B54</f>
        <v>1623.8633026999998</v>
      </c>
      <c r="C125" s="5">
        <f>(128*4+128*4+8+40+80+10)*C54</f>
        <v>1652.3022396999997</v>
      </c>
      <c r="D125" s="5">
        <f>(128*4+128*4+8+80+80+10)*D54</f>
        <v>1709.1801136999998</v>
      </c>
      <c r="E125" s="1" t="s">
        <v>6</v>
      </c>
      <c r="G125" s="1" t="s">
        <v>13</v>
      </c>
      <c r="H125" s="5">
        <f>(128*4+128*4+8+20+80+10)*H54</f>
        <v>1623.8633026999998</v>
      </c>
      <c r="I125" s="5">
        <f>(128*4+128*4+8+40+80+10)*I54</f>
        <v>1652.3022396999997</v>
      </c>
      <c r="J125" s="5">
        <f>(128*4+128*4+8+80+80+10)*J54</f>
        <v>1709.1801136999998</v>
      </c>
      <c r="K125" s="1" t="s">
        <v>6</v>
      </c>
      <c r="M125" s="1" t="s">
        <v>13</v>
      </c>
      <c r="N125" s="5">
        <f>(128*4+128*4+8+20+80+10)*N54</f>
        <v>1623.8633026999998</v>
      </c>
      <c r="O125" s="5">
        <f>(128*4+128*4+8+40+80+10)*O54</f>
        <v>1652.3022396999997</v>
      </c>
      <c r="P125" s="5">
        <f>(128*4+128*4+8+80+80+10)*P54</f>
        <v>1709.1801136999998</v>
      </c>
      <c r="Q125" s="1" t="s">
        <v>6</v>
      </c>
    </row>
    <row r="126" spans="1:17" x14ac:dyDescent="0.3">
      <c r="A126" s="1" t="s">
        <v>16</v>
      </c>
      <c r="B126" s="8">
        <f>(64*4+256*4+8+20+80+10)*B55</f>
        <v>1987.8823254000001</v>
      </c>
      <c r="C126" s="8">
        <f>(64*4+256*4+8+40+80+10)*C55</f>
        <v>2016.3207041999999</v>
      </c>
      <c r="D126" s="8">
        <f>(64*4+256*4+8+80+80+10)*D55</f>
        <v>2073.1985072999996</v>
      </c>
      <c r="E126" s="1" t="s">
        <v>6</v>
      </c>
      <c r="G126" s="1" t="s">
        <v>16</v>
      </c>
      <c r="H126" s="8">
        <f>(64*4+256*4+8+20+80+10)*H55</f>
        <v>1987.8823254000001</v>
      </c>
      <c r="I126" s="8">
        <f>(64*4+256*4+8+40+80+10)*I55</f>
        <v>2016.3207041999999</v>
      </c>
      <c r="J126" s="8">
        <f>(64*4+256*4+8+80+80+10)*J55</f>
        <v>2073.1985072999996</v>
      </c>
      <c r="K126" s="1" t="s">
        <v>6</v>
      </c>
      <c r="M126" s="1" t="s">
        <v>16</v>
      </c>
      <c r="N126" s="8">
        <f>(64*4+256*4+8+20+80+10)*N55</f>
        <v>1987.8823254000001</v>
      </c>
      <c r="O126" s="8">
        <f>(64*4+256*4+8+40+80+10)*O55</f>
        <v>2016.3207041999999</v>
      </c>
      <c r="P126" s="8">
        <f>(64*4+256*4+8+80+80+10)*P55</f>
        <v>2073.1985072999996</v>
      </c>
      <c r="Q126" s="1" t="s">
        <v>6</v>
      </c>
    </row>
    <row r="127" spans="1:17" ht="14.5" thickBot="1" x14ac:dyDescent="0.35">
      <c r="A127" s="2" t="s">
        <v>14</v>
      </c>
      <c r="B127" s="6">
        <f>(128*4+256*4+8+20+80+10)*B56</f>
        <v>2351.9000898999998</v>
      </c>
      <c r="C127" s="6">
        <f>(128*4+256*4+8+40+80+10)*C56</f>
        <v>2380.3390268999997</v>
      </c>
      <c r="D127" s="6">
        <f>(128*4+256*4+8+80+80+10)*D56</f>
        <v>2437.2169008999999</v>
      </c>
      <c r="E127" s="2" t="s">
        <v>6</v>
      </c>
      <c r="G127" s="2" t="s">
        <v>14</v>
      </c>
      <c r="H127" s="6">
        <f>(128*4+256*4+8+20+80+10)*H56</f>
        <v>2351.9000898999998</v>
      </c>
      <c r="I127" s="6">
        <f>(128*4+256*4+8+40+80+10)*I56</f>
        <v>2380.3390268999997</v>
      </c>
      <c r="J127" s="6">
        <f>(128*4+256*4+8+80+80+10)*J56</f>
        <v>2437.2169008999999</v>
      </c>
      <c r="K127" s="2" t="s">
        <v>6</v>
      </c>
      <c r="M127" s="2" t="s">
        <v>14</v>
      </c>
      <c r="N127" s="6">
        <f>(128*4+256*4+8+20+80+10)*N56</f>
        <v>2351.9000898999998</v>
      </c>
      <c r="O127" s="6">
        <f>(128*4+256*4+8+40+80+10)*O56</f>
        <v>2380.3390268999997</v>
      </c>
      <c r="P127" s="6">
        <f>(128*4+256*4+8+80+80+10)*P56</f>
        <v>2437.2169008999999</v>
      </c>
      <c r="Q127" s="2" t="s">
        <v>6</v>
      </c>
    </row>
  </sheetData>
  <mergeCells count="82">
    <mergeCell ref="B45:B46"/>
    <mergeCell ref="C45:C46"/>
    <mergeCell ref="I102:I103"/>
    <mergeCell ref="M102:M103"/>
    <mergeCell ref="N102:N103"/>
    <mergeCell ref="O102:O103"/>
    <mergeCell ref="A116:A117"/>
    <mergeCell ref="G116:G117"/>
    <mergeCell ref="H116:H117"/>
    <mergeCell ref="I116:I117"/>
    <mergeCell ref="M116:M117"/>
    <mergeCell ref="N116:N117"/>
    <mergeCell ref="O116:O117"/>
    <mergeCell ref="A102:A103"/>
    <mergeCell ref="B102:B103"/>
    <mergeCell ref="C102:C103"/>
    <mergeCell ref="G102:G103"/>
    <mergeCell ref="H102:H103"/>
    <mergeCell ref="O72:O73"/>
    <mergeCell ref="G86:G87"/>
    <mergeCell ref="H86:H87"/>
    <mergeCell ref="I86:I87"/>
    <mergeCell ref="M86:M87"/>
    <mergeCell ref="N86:N87"/>
    <mergeCell ref="O86:O87"/>
    <mergeCell ref="G72:G73"/>
    <mergeCell ref="H72:H73"/>
    <mergeCell ref="I72:I73"/>
    <mergeCell ref="M72:M73"/>
    <mergeCell ref="N72:N73"/>
    <mergeCell ref="A72:A73"/>
    <mergeCell ref="B72:B73"/>
    <mergeCell ref="C72:C73"/>
    <mergeCell ref="A86:A87"/>
    <mergeCell ref="B86:B87"/>
    <mergeCell ref="C86:C87"/>
    <mergeCell ref="S1:S2"/>
    <mergeCell ref="T1:T2"/>
    <mergeCell ref="U1:U2"/>
    <mergeCell ref="S15:S16"/>
    <mergeCell ref="T15:T16"/>
    <mergeCell ref="U15:U16"/>
    <mergeCell ref="M1:M2"/>
    <mergeCell ref="N1:N2"/>
    <mergeCell ref="O1:O2"/>
    <mergeCell ref="M15:M16"/>
    <mergeCell ref="N15:N16"/>
    <mergeCell ref="O15:O16"/>
    <mergeCell ref="A1:A2"/>
    <mergeCell ref="B1:B2"/>
    <mergeCell ref="I1:I2"/>
    <mergeCell ref="A15:A16"/>
    <mergeCell ref="B15:B16"/>
    <mergeCell ref="I15:I16"/>
    <mergeCell ref="C1:C2"/>
    <mergeCell ref="G1:G2"/>
    <mergeCell ref="H1:H2"/>
    <mergeCell ref="C15:C16"/>
    <mergeCell ref="H15:H16"/>
    <mergeCell ref="G15:G16"/>
    <mergeCell ref="S31:S32"/>
    <mergeCell ref="A31:A32"/>
    <mergeCell ref="B31:B32"/>
    <mergeCell ref="C31:C32"/>
    <mergeCell ref="G31:G32"/>
    <mergeCell ref="H31:H32"/>
    <mergeCell ref="T31:T32"/>
    <mergeCell ref="U31:U32"/>
    <mergeCell ref="A45:A46"/>
    <mergeCell ref="G45:G46"/>
    <mergeCell ref="H45:H46"/>
    <mergeCell ref="I45:I46"/>
    <mergeCell ref="M45:M46"/>
    <mergeCell ref="N45:N46"/>
    <mergeCell ref="O45:O46"/>
    <mergeCell ref="S45:S46"/>
    <mergeCell ref="T45:T46"/>
    <mergeCell ref="U45:U46"/>
    <mergeCell ref="I31:I32"/>
    <mergeCell ref="M31:M32"/>
    <mergeCell ref="N31:N32"/>
    <mergeCell ref="O31:O3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63C2-F8ED-44DB-8F1C-008E4C577F62}">
  <sheetPr>
    <tabColor rgb="FF7030A0"/>
  </sheetPr>
  <dimension ref="B2:M59"/>
  <sheetViews>
    <sheetView topLeftCell="A67" workbookViewId="0">
      <selection activeCell="A90" sqref="A90:W123"/>
    </sheetView>
  </sheetViews>
  <sheetFormatPr defaultRowHeight="14" x14ac:dyDescent="0.3"/>
  <cols>
    <col min="1" max="1" width="12" bestFit="1" customWidth="1"/>
    <col min="2" max="4" width="25.25" bestFit="1" customWidth="1"/>
    <col min="5" max="5" width="26.08203125" bestFit="1" customWidth="1"/>
    <col min="6" max="6" width="21.83203125" customWidth="1"/>
    <col min="7" max="7" width="15.4140625" customWidth="1"/>
    <col min="9" max="9" width="17.9140625" bestFit="1" customWidth="1"/>
    <col min="10" max="12" width="24.75" bestFit="1" customWidth="1"/>
    <col min="13" max="13" width="16.6640625" bestFit="1" customWidth="1"/>
  </cols>
  <sheetData>
    <row r="2" spans="2:12" x14ac:dyDescent="0.3">
      <c r="J2" t="s">
        <v>10</v>
      </c>
      <c r="K2" t="s">
        <v>11</v>
      </c>
      <c r="L2" t="s">
        <v>28</v>
      </c>
    </row>
    <row r="3" spans="2:12" x14ac:dyDescent="0.3">
      <c r="I3" t="s">
        <v>26</v>
      </c>
      <c r="J3">
        <v>1.15675755</v>
      </c>
      <c r="K3">
        <v>1.1524100500000001</v>
      </c>
      <c r="L3">
        <v>1.1512935500000001</v>
      </c>
    </row>
    <row r="4" spans="2:12" x14ac:dyDescent="0.3">
      <c r="I4" t="s">
        <v>27</v>
      </c>
      <c r="J4">
        <v>1.1109188999999999</v>
      </c>
      <c r="K4">
        <v>1.1065527500000001</v>
      </c>
      <c r="L4">
        <v>1.1051865999999999</v>
      </c>
    </row>
    <row r="5" spans="2:12" x14ac:dyDescent="0.3">
      <c r="C5" t="s">
        <v>40</v>
      </c>
      <c r="D5" t="s">
        <v>21</v>
      </c>
      <c r="E5" t="s">
        <v>22</v>
      </c>
      <c r="F5" t="s">
        <v>23</v>
      </c>
    </row>
    <row r="6" spans="2:12" x14ac:dyDescent="0.3">
      <c r="B6" t="s">
        <v>24</v>
      </c>
      <c r="C6">
        <v>1.1512198</v>
      </c>
      <c r="D6">
        <v>1.1512048500000001</v>
      </c>
      <c r="E6">
        <v>1.1511994000000001</v>
      </c>
      <c r="F6">
        <v>1.1511984</v>
      </c>
    </row>
    <row r="7" spans="2:12" x14ac:dyDescent="0.3">
      <c r="B7" t="s">
        <v>25</v>
      </c>
      <c r="C7">
        <v>1.1752742</v>
      </c>
      <c r="D7">
        <v>1.1660769499999999</v>
      </c>
      <c r="E7">
        <v>1.15885215</v>
      </c>
      <c r="F7">
        <v>1.1511984</v>
      </c>
    </row>
    <row r="34" spans="3:13" x14ac:dyDescent="0.3">
      <c r="D34" t="s">
        <v>34</v>
      </c>
      <c r="E34" t="s">
        <v>32</v>
      </c>
      <c r="F34" t="s">
        <v>33</v>
      </c>
      <c r="G34" t="s">
        <v>30</v>
      </c>
      <c r="J34" t="s">
        <v>34</v>
      </c>
      <c r="K34" t="s">
        <v>32</v>
      </c>
      <c r="L34" t="s">
        <v>33</v>
      </c>
      <c r="M34" t="s">
        <v>30</v>
      </c>
    </row>
    <row r="35" spans="3:13" x14ac:dyDescent="0.3">
      <c r="C35" t="s">
        <v>24</v>
      </c>
      <c r="D35">
        <v>1.1515070999999999</v>
      </c>
      <c r="E35">
        <v>1.1515046</v>
      </c>
      <c r="F35">
        <v>1.1515046</v>
      </c>
      <c r="G35">
        <v>1.1515046</v>
      </c>
      <c r="I35" t="s">
        <v>25</v>
      </c>
      <c r="J35">
        <v>1.1530829</v>
      </c>
      <c r="K35">
        <v>1.1515046</v>
      </c>
      <c r="L35">
        <v>1.1511984</v>
      </c>
      <c r="M35">
        <v>1.1512935500000001</v>
      </c>
    </row>
    <row r="57" spans="3:6" x14ac:dyDescent="0.3">
      <c r="D57" t="s">
        <v>10</v>
      </c>
      <c r="E57" t="s">
        <v>11</v>
      </c>
      <c r="F57" t="s">
        <v>28</v>
      </c>
    </row>
    <row r="58" spans="3:6" x14ac:dyDescent="0.3">
      <c r="C58" t="s">
        <v>17</v>
      </c>
      <c r="D58">
        <v>1.1109188999999999</v>
      </c>
      <c r="E58">
        <v>1.1065527500000001</v>
      </c>
      <c r="F58">
        <v>1.1051865999999999</v>
      </c>
    </row>
    <row r="59" spans="3:6" x14ac:dyDescent="0.3">
      <c r="C59" t="s">
        <v>18</v>
      </c>
      <c r="D59">
        <v>1.07431995</v>
      </c>
      <c r="E59">
        <v>1.0743791</v>
      </c>
      <c r="F59">
        <v>1.0741965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8A4E-2EAD-42BD-910A-EC1B36A593BD}">
  <sheetPr>
    <tabColor theme="5" tint="-0.249977111117893"/>
  </sheetPr>
  <dimension ref="B3:P66"/>
  <sheetViews>
    <sheetView topLeftCell="A25" workbookViewId="0">
      <selection activeCell="N1" sqref="N1:N1048576"/>
    </sheetView>
  </sheetViews>
  <sheetFormatPr defaultRowHeight="14" x14ac:dyDescent="0.3"/>
  <cols>
    <col min="3" max="6" width="16.6640625" bestFit="1" customWidth="1"/>
    <col min="14" max="16" width="24.75" bestFit="1" customWidth="1"/>
  </cols>
  <sheetData>
    <row r="3" spans="2:16" x14ac:dyDescent="0.3">
      <c r="N3" t="s">
        <v>10</v>
      </c>
      <c r="O3" t="s">
        <v>29</v>
      </c>
      <c r="P3" t="s">
        <v>12</v>
      </c>
    </row>
    <row r="4" spans="2:16" x14ac:dyDescent="0.3">
      <c r="M4" t="s">
        <v>37</v>
      </c>
      <c r="N4">
        <v>1.0499276500000001</v>
      </c>
      <c r="O4">
        <v>1.0497336500000001</v>
      </c>
      <c r="P4">
        <v>1.04952815</v>
      </c>
    </row>
    <row r="5" spans="2:16" x14ac:dyDescent="0.3">
      <c r="C5">
        <v>32</v>
      </c>
      <c r="D5">
        <v>64</v>
      </c>
      <c r="E5">
        <v>128</v>
      </c>
      <c r="F5">
        <v>256</v>
      </c>
      <c r="M5" t="s">
        <v>38</v>
      </c>
      <c r="N5">
        <v>1.0275005500000001</v>
      </c>
      <c r="O5">
        <v>1.0273580499999999</v>
      </c>
      <c r="P5">
        <v>1.0272625500000001</v>
      </c>
    </row>
    <row r="6" spans="2:16" x14ac:dyDescent="0.3">
      <c r="B6" t="s">
        <v>35</v>
      </c>
      <c r="C6">
        <v>1.066581</v>
      </c>
      <c r="D6">
        <v>1.0511679</v>
      </c>
      <c r="E6">
        <v>1.0495427500000001</v>
      </c>
      <c r="F6">
        <v>1.0495426999999999</v>
      </c>
    </row>
    <row r="7" spans="2:16" x14ac:dyDescent="0.3">
      <c r="B7" t="s">
        <v>25</v>
      </c>
      <c r="C7">
        <v>1.0503358</v>
      </c>
      <c r="D7">
        <v>1.04991035</v>
      </c>
      <c r="E7">
        <v>1.0496874</v>
      </c>
      <c r="F7">
        <v>1.0495426999999999</v>
      </c>
    </row>
    <row r="30" spans="3:16" x14ac:dyDescent="0.3">
      <c r="C30" t="s">
        <v>34</v>
      </c>
      <c r="D30" t="s">
        <v>32</v>
      </c>
      <c r="E30" t="s">
        <v>33</v>
      </c>
      <c r="F30" t="s">
        <v>30</v>
      </c>
      <c r="M30" t="s">
        <v>34</v>
      </c>
      <c r="N30" t="s">
        <v>32</v>
      </c>
      <c r="O30" t="s">
        <v>33</v>
      </c>
      <c r="P30" t="s">
        <v>30</v>
      </c>
    </row>
    <row r="31" spans="3:16" x14ac:dyDescent="0.3">
      <c r="C31">
        <v>1.0496729</v>
      </c>
      <c r="D31">
        <v>1.0496729</v>
      </c>
      <c r="E31">
        <v>1.0496728</v>
      </c>
      <c r="F31">
        <v>1.0496728</v>
      </c>
      <c r="M31">
        <v>1.0500660500000001</v>
      </c>
      <c r="N31">
        <v>1.0496729</v>
      </c>
      <c r="O31">
        <v>1.0495426999999999</v>
      </c>
      <c r="P31">
        <v>1.0495282500000001</v>
      </c>
    </row>
    <row r="64" spans="3:6" x14ac:dyDescent="0.3">
      <c r="C64" t="s">
        <v>9</v>
      </c>
      <c r="D64" t="s">
        <v>10</v>
      </c>
      <c r="E64" t="s">
        <v>11</v>
      </c>
      <c r="F64" t="s">
        <v>28</v>
      </c>
    </row>
    <row r="65" spans="2:6" ht="14.5" thickBot="1" x14ac:dyDescent="0.35">
      <c r="B65" t="s">
        <v>17</v>
      </c>
      <c r="C65">
        <v>1.02768945</v>
      </c>
      <c r="D65" s="12">
        <v>1.0275005500000001</v>
      </c>
      <c r="E65" s="12">
        <v>1.0273580499999999</v>
      </c>
      <c r="F65" s="6">
        <v>1.0272625500000001</v>
      </c>
    </row>
    <row r="66" spans="2:6" x14ac:dyDescent="0.3">
      <c r="B66" t="s">
        <v>18</v>
      </c>
      <c r="C66">
        <v>1.02366545</v>
      </c>
      <c r="D66">
        <v>1.02358145</v>
      </c>
      <c r="E66">
        <v>1.0235539499999999</v>
      </c>
      <c r="F66">
        <v>1.02360545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ABAB8-E8D4-48A9-882C-D1FA393C2613}">
  <sheetPr>
    <tabColor theme="9" tint="-0.249977111117893"/>
  </sheetPr>
  <dimension ref="A2:O61"/>
  <sheetViews>
    <sheetView topLeftCell="A19" workbookViewId="0">
      <selection activeCell="H61" sqref="H61"/>
    </sheetView>
  </sheetViews>
  <sheetFormatPr defaultRowHeight="14" x14ac:dyDescent="0.3"/>
  <cols>
    <col min="2" max="2" width="10.1640625" bestFit="1" customWidth="1"/>
    <col min="3" max="5" width="24.75" bestFit="1" customWidth="1"/>
    <col min="12" max="14" width="24.75" bestFit="1" customWidth="1"/>
    <col min="15" max="15" width="11.25" bestFit="1" customWidth="1"/>
  </cols>
  <sheetData>
    <row r="2" spans="1:15" x14ac:dyDescent="0.3">
      <c r="B2" t="s">
        <v>40</v>
      </c>
      <c r="C2" t="s">
        <v>21</v>
      </c>
      <c r="D2" t="s">
        <v>22</v>
      </c>
      <c r="E2" t="s">
        <v>23</v>
      </c>
    </row>
    <row r="3" spans="1:15" x14ac:dyDescent="0.3">
      <c r="A3" t="s">
        <v>24</v>
      </c>
      <c r="B3">
        <v>1.0033821999999999</v>
      </c>
      <c r="C3">
        <v>1.0033754500000001</v>
      </c>
      <c r="D3">
        <v>1.003333</v>
      </c>
      <c r="E3">
        <v>1.0033326499999999</v>
      </c>
      <c r="L3" t="s">
        <v>39</v>
      </c>
      <c r="M3" t="s">
        <v>10</v>
      </c>
      <c r="N3" t="s">
        <v>11</v>
      </c>
      <c r="O3" t="s">
        <v>12</v>
      </c>
    </row>
    <row r="4" spans="1:15" ht="14.5" thickBot="1" x14ac:dyDescent="0.35">
      <c r="A4" t="s">
        <v>25</v>
      </c>
      <c r="B4">
        <v>1.0083479500000001</v>
      </c>
      <c r="C4">
        <v>1.0072938</v>
      </c>
      <c r="D4" s="11">
        <v>1.0049322000000001</v>
      </c>
      <c r="E4" s="12">
        <v>1.0033326499999999</v>
      </c>
      <c r="K4" s="26" t="s">
        <v>36</v>
      </c>
      <c r="L4">
        <v>1.0033279500000001</v>
      </c>
      <c r="M4">
        <v>1.0033279500000001</v>
      </c>
      <c r="N4">
        <v>1.0033279500000001</v>
      </c>
      <c r="O4">
        <v>1.0033279500000001</v>
      </c>
    </row>
    <row r="5" spans="1:15" x14ac:dyDescent="0.3">
      <c r="K5" s="26" t="s">
        <v>38</v>
      </c>
      <c r="L5">
        <v>1.00177965</v>
      </c>
      <c r="M5">
        <v>1.00177965</v>
      </c>
      <c r="N5">
        <v>1.00177965</v>
      </c>
      <c r="O5">
        <v>1.00177965</v>
      </c>
    </row>
    <row r="33" spans="2:15" x14ac:dyDescent="0.3">
      <c r="B33" t="s">
        <v>34</v>
      </c>
      <c r="C33" t="s">
        <v>31</v>
      </c>
      <c r="D33" t="s">
        <v>33</v>
      </c>
      <c r="E33" t="s">
        <v>41</v>
      </c>
      <c r="L33" t="s">
        <v>34</v>
      </c>
      <c r="M33" t="s">
        <v>31</v>
      </c>
      <c r="N33" t="s">
        <v>33</v>
      </c>
      <c r="O33" t="s">
        <v>41</v>
      </c>
    </row>
    <row r="34" spans="2:15" x14ac:dyDescent="0.3">
      <c r="B34">
        <v>1.00346365</v>
      </c>
      <c r="C34">
        <v>1.00333425</v>
      </c>
      <c r="D34">
        <v>1.0033341499999999</v>
      </c>
      <c r="E34">
        <v>1.0033341499999999</v>
      </c>
      <c r="L34">
        <v>1.0041746</v>
      </c>
      <c r="M34">
        <v>1.00333425</v>
      </c>
      <c r="N34">
        <v>1.0033326499999999</v>
      </c>
      <c r="O34">
        <v>1.0033280499999999</v>
      </c>
    </row>
    <row r="59" spans="2:5" x14ac:dyDescent="0.3">
      <c r="C59" t="s">
        <v>10</v>
      </c>
      <c r="D59" t="s">
        <v>11</v>
      </c>
      <c r="E59" t="s">
        <v>28</v>
      </c>
    </row>
    <row r="60" spans="2:5" x14ac:dyDescent="0.3">
      <c r="B60" t="s">
        <v>17</v>
      </c>
      <c r="C60">
        <v>1.00177965</v>
      </c>
      <c r="D60">
        <v>1.00177965</v>
      </c>
      <c r="E60">
        <v>1.00177965</v>
      </c>
    </row>
    <row r="61" spans="2:5" ht="14.5" thickBot="1" x14ac:dyDescent="0.35">
      <c r="B61" t="s">
        <v>18</v>
      </c>
      <c r="C61" s="6">
        <v>1.00177965</v>
      </c>
      <c r="D61" s="6">
        <v>1.00177965</v>
      </c>
      <c r="E61" s="6">
        <v>1.00177965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C5A84-55D3-4C8F-A670-0EB8681DE3B8}">
  <sheetPr>
    <tabColor theme="0" tint="-0.34998626667073579"/>
  </sheetPr>
  <dimension ref="A2:O56"/>
  <sheetViews>
    <sheetView topLeftCell="A34" workbookViewId="0">
      <selection activeCell="K60" sqref="K60"/>
    </sheetView>
  </sheetViews>
  <sheetFormatPr defaultRowHeight="14" x14ac:dyDescent="0.3"/>
  <cols>
    <col min="2" max="5" width="16.6640625" bestFit="1" customWidth="1"/>
    <col min="12" max="15" width="24.75" bestFit="1" customWidth="1"/>
  </cols>
  <sheetData>
    <row r="2" spans="1:15" ht="14.5" thickBot="1" x14ac:dyDescent="0.35">
      <c r="B2" t="s">
        <v>40</v>
      </c>
      <c r="C2" t="s">
        <v>21</v>
      </c>
      <c r="D2" t="s">
        <v>22</v>
      </c>
      <c r="E2" t="s">
        <v>23</v>
      </c>
      <c r="L2" t="s">
        <v>9</v>
      </c>
      <c r="M2" t="s">
        <v>10</v>
      </c>
      <c r="N2" t="s">
        <v>11</v>
      </c>
      <c r="O2" t="s">
        <v>28</v>
      </c>
    </row>
    <row r="3" spans="1:15" ht="14.5" thickBot="1" x14ac:dyDescent="0.35">
      <c r="A3" s="26" t="s">
        <v>24</v>
      </c>
      <c r="B3">
        <v>5.5722062000000001</v>
      </c>
      <c r="C3" s="7">
        <v>5.5651051499999999</v>
      </c>
      <c r="D3" s="5">
        <v>5.5632795000000002</v>
      </c>
      <c r="E3" s="6">
        <v>5.5632463999999997</v>
      </c>
      <c r="K3" t="s">
        <v>37</v>
      </c>
      <c r="M3">
        <v>5.5632484</v>
      </c>
      <c r="N3">
        <v>5.5632434000000002</v>
      </c>
      <c r="O3">
        <v>5.5632378999999998</v>
      </c>
    </row>
    <row r="4" spans="1:15" ht="14.5" thickBot="1" x14ac:dyDescent="0.35">
      <c r="A4" s="26" t="s">
        <v>25</v>
      </c>
      <c r="B4">
        <v>5.5644275499999996</v>
      </c>
      <c r="C4">
        <v>5.5636267999999998</v>
      </c>
      <c r="D4" s="5">
        <v>5.5633196500000004</v>
      </c>
      <c r="E4" s="6">
        <v>5.5632463999999997</v>
      </c>
      <c r="K4" t="s">
        <v>38</v>
      </c>
      <c r="M4">
        <v>3.28320145</v>
      </c>
      <c r="N4">
        <v>3.2831739500000001</v>
      </c>
      <c r="O4">
        <v>3.2831644500000001</v>
      </c>
    </row>
    <row r="31" spans="2:15" x14ac:dyDescent="0.3">
      <c r="B31" t="s">
        <v>34</v>
      </c>
      <c r="C31" t="s">
        <v>31</v>
      </c>
      <c r="D31" t="s">
        <v>33</v>
      </c>
      <c r="E31" t="s">
        <v>41</v>
      </c>
    </row>
    <row r="32" spans="2:15" x14ac:dyDescent="0.3">
      <c r="B32">
        <v>5.5633081500000001</v>
      </c>
      <c r="C32">
        <v>5.5632707999999997</v>
      </c>
      <c r="D32">
        <v>5.5632707999999997</v>
      </c>
      <c r="E32">
        <v>5.5632707999999997</v>
      </c>
      <c r="L32" t="s">
        <v>34</v>
      </c>
      <c r="M32" t="s">
        <v>31</v>
      </c>
      <c r="N32" t="s">
        <v>33</v>
      </c>
      <c r="O32" t="s">
        <v>41</v>
      </c>
    </row>
    <row r="33" spans="12:15" ht="14.5" thickBot="1" x14ac:dyDescent="0.35">
      <c r="L33">
        <v>5.5636868000000002</v>
      </c>
      <c r="M33" s="6">
        <v>5.5632707999999997</v>
      </c>
      <c r="N33" s="6">
        <v>5.5632463999999997</v>
      </c>
      <c r="O33" s="6">
        <v>5.5632378999999998</v>
      </c>
    </row>
    <row r="54" spans="2:5" x14ac:dyDescent="0.3">
      <c r="C54" t="s">
        <v>10</v>
      </c>
      <c r="D54" t="s">
        <v>11</v>
      </c>
      <c r="E54" t="s">
        <v>28</v>
      </c>
    </row>
    <row r="55" spans="2:5" x14ac:dyDescent="0.3">
      <c r="B55" t="s">
        <v>17</v>
      </c>
      <c r="C55">
        <v>3.28320145</v>
      </c>
      <c r="D55">
        <v>3.2831739500000001</v>
      </c>
      <c r="E55">
        <v>3.2831644500000001</v>
      </c>
    </row>
    <row r="56" spans="2:5" ht="14.5" thickBot="1" x14ac:dyDescent="0.35">
      <c r="B56" t="s">
        <v>18</v>
      </c>
      <c r="C56" s="6">
        <v>3.2830674499999999</v>
      </c>
      <c r="D56" s="6">
        <v>3.28306795</v>
      </c>
      <c r="E56" s="6">
        <v>3.28307145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k l Z U e W C v H q k A A A A 9 Q A A A B I A H A B D b 2 5 m a W c v U G F j a 2 F n Z S 5 4 b W w g o h g A K K A U A A A A A A A A A A A A A A A A A A A A A A A A A A A A h Y 8 x D o I w G I W v Q r r T A m o k 5 K c M r G J M T I x r U 2 p p h G J o s c S r O X g k r y B G U T f H 9 7 5 v e O 9 + v U E 2 N L V 3 F p 1 R r U 5 R i A P k C c 3 b U m m Z o t 4 e / B h l F D a M H 5 k U 3 i h r k w y m T F F l 7 S k h x D m H 3 Q y 3 n S R R E I R k X 6 y 2 v B I N Q x 9 Z / Z d 9 p Y 1 l m g t E Y f c a Q y M c L / B y P k 4 C M n V Q K P 3 l 0 c i e 9 K e E v K 9 t 3 w l 6 q f x 8 D W S K Q N 4 X 6 A N Q S w M E F A A C A A g A G k l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J W V E o i k e 4 D g A A A B E A A A A T A B w A R m 9 y b X V s Y X M v U 2 V j d G l v b j E u b S C i G A A o o B Q A A A A A A A A A A A A A A A A A A A A A A A A A A A A r T k 0 u y c z P U w i G 0 I b W A F B L A Q I t A B Q A A g A I A B p J W V H l g r x 6 p A A A A P U A A A A S A A A A A A A A A A A A A A A A A A A A A A B D b 2 5 m a W c v U G F j a 2 F n Z S 5 4 b W x Q S w E C L Q A U A A I A C A A a S V l R D 8 r p q 6 Q A A A D p A A A A E w A A A A A A A A A A A A A A A A D w A A A A W 0 N v b n R l b n R f V H l w Z X N d L n h t b F B L A Q I t A B Q A A g A I A B p J W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t G A d / j f q 3 T L 5 j w 6 s j E / I V A A A A A A I A A A A A A B B m A A A A A Q A A I A A A A H l 8 + + 1 4 v 7 l R s u q m 2 Z u 6 y T X t b u / z k 3 f P O f B n / J o + s O Z f A A A A A A 6 A A A A A A g A A I A A A A O B q O r K J i r d f i i l u O 1 s 9 m O t H 0 J m U u n w Y Z 5 j W 4 w d h d g S + U A A A A M K e 6 M 0 A j Z e u 8 F K e R C B 6 V L y A S T I + B w Z A s C j X a 6 E z h 0 I L e C M e x R 1 Z 5 B v O Z N v O w s 3 J z o / p I O x 3 + Z Z s M C R e g 9 9 Q M f o I y y 9 C w 6 b 2 f O A m G R 0 h V C A w Q A A A A K I 9 F c / L f G T 3 W i I u Z 7 + a Z z H 7 L 7 u B e y l 9 s M 3 R S 3 a E I 4 S x t Y e v L d 5 z e K M W H K 6 / d Z W X w r s n 8 l r 3 M G T b 7 U I 3 4 B c U N m Q = < / D a t a M a s h u p > 
</file>

<file path=customXml/itemProps1.xml><?xml version="1.0" encoding="utf-8"?>
<ds:datastoreItem xmlns:ds="http://schemas.openxmlformats.org/officeDocument/2006/customXml" ds:itemID="{C09D5C56-8C13-4E0B-83D8-247B69F805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401.bzip2</vt:lpstr>
      <vt:lpstr>429.mcf</vt:lpstr>
      <vt:lpstr>456.hmmer</vt:lpstr>
      <vt:lpstr>458.sjeng</vt:lpstr>
      <vt:lpstr>470.lbm</vt:lpstr>
      <vt:lpstr>Chart401</vt:lpstr>
      <vt:lpstr>Chart429</vt:lpstr>
      <vt:lpstr>Chart456</vt:lpstr>
      <vt:lpstr>Chart458</vt:lpstr>
      <vt:lpstr>Chart470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YY-Surface Pro 7</dc:creator>
  <cp:lastModifiedBy>YY-PC</cp:lastModifiedBy>
  <dcterms:created xsi:type="dcterms:W3CDTF">2015-06-05T18:19:34Z</dcterms:created>
  <dcterms:modified xsi:type="dcterms:W3CDTF">2020-10-25T14:27:36Z</dcterms:modified>
</cp:coreProperties>
</file>