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iggs\Desktop\"/>
    </mc:Choice>
  </mc:AlternateContent>
  <xr:revisionPtr revIDLastSave="0" documentId="13_ncr:1_{7E06D9CA-EE8A-4304-825A-728A805438E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Założenia" sheetId="1" r:id="rId1"/>
    <sheet name="PRZYCHODY" sheetId="2" r:id="rId2"/>
    <sheet name="CAPEX" sheetId="3" r:id="rId3"/>
    <sheet name="OPEX" sheetId="4" r:id="rId4"/>
    <sheet name="MODEL" sheetId="5" r:id="rId5"/>
    <sheet name="SKALOWANIE" sheetId="6" r:id="rId6"/>
    <sheet name="Wskaźnik" sheetId="7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C5" i="7"/>
  <c r="G18" i="5"/>
  <c r="S4" i="5"/>
  <c r="C4" i="6"/>
  <c r="C11" i="5"/>
  <c r="R4" i="5"/>
  <c r="Q4" i="5"/>
  <c r="P4" i="5"/>
  <c r="O4" i="5"/>
  <c r="E6" i="4"/>
  <c r="C17" i="2"/>
  <c r="B19" i="2"/>
  <c r="C4" i="5"/>
  <c r="E19" i="4"/>
  <c r="C5" i="5"/>
  <c r="D4" i="5"/>
  <c r="D5" i="5"/>
  <c r="D11" i="5"/>
  <c r="E4" i="5"/>
  <c r="E5" i="5"/>
  <c r="E11" i="5"/>
  <c r="F4" i="5"/>
  <c r="F5" i="5"/>
  <c r="F11" i="5"/>
  <c r="G4" i="5"/>
  <c r="G5" i="5"/>
  <c r="G11" i="5"/>
  <c r="H4" i="5"/>
  <c r="H5" i="5"/>
  <c r="H11" i="5"/>
  <c r="I4" i="5"/>
  <c r="I5" i="5"/>
  <c r="I11" i="5"/>
  <c r="J4" i="5"/>
  <c r="J5" i="5"/>
  <c r="J11" i="5"/>
  <c r="K4" i="5"/>
  <c r="K5" i="5"/>
  <c r="K11" i="5"/>
  <c r="N4" i="5"/>
  <c r="L4" i="5"/>
  <c r="M4" i="5"/>
  <c r="C3" i="6"/>
  <c r="C5" i="6"/>
  <c r="C6" i="6"/>
  <c r="C7" i="6"/>
  <c r="N5" i="5"/>
  <c r="S5" i="5"/>
  <c r="S11" i="5"/>
  <c r="S13" i="5"/>
  <c r="S14" i="5"/>
  <c r="C13" i="5"/>
  <c r="C14" i="5"/>
  <c r="C15" i="5"/>
  <c r="D18" i="5"/>
  <c r="M5" i="5"/>
  <c r="L5" i="5"/>
  <c r="L11" i="5"/>
  <c r="M11" i="5"/>
  <c r="N11" i="5"/>
  <c r="O5" i="5"/>
  <c r="O11" i="5"/>
  <c r="P5" i="5"/>
  <c r="P11" i="5"/>
  <c r="Q5" i="5"/>
  <c r="Q11" i="5"/>
  <c r="R5" i="5"/>
  <c r="R11" i="5"/>
  <c r="S8" i="5"/>
  <c r="P8" i="5"/>
  <c r="Q8" i="5"/>
  <c r="R8" i="5"/>
  <c r="O8" i="5"/>
  <c r="S9" i="5"/>
  <c r="P9" i="5"/>
  <c r="Q9" i="5"/>
  <c r="R9" i="5"/>
  <c r="O9" i="5"/>
  <c r="C9" i="5"/>
  <c r="D9" i="5"/>
  <c r="E9" i="5"/>
  <c r="F9" i="5"/>
  <c r="G9" i="5"/>
  <c r="H9" i="5"/>
  <c r="I9" i="5"/>
  <c r="J9" i="5"/>
  <c r="K9" i="5"/>
  <c r="L9" i="5"/>
  <c r="M9" i="5"/>
  <c r="N9" i="5"/>
  <c r="B9" i="5"/>
  <c r="S7" i="5"/>
  <c r="P7" i="5"/>
  <c r="Q7" i="5"/>
  <c r="R7" i="5"/>
  <c r="O7" i="5"/>
  <c r="C3" i="2"/>
  <c r="E20" i="4"/>
  <c r="E9" i="4"/>
  <c r="C16" i="2"/>
  <c r="E5" i="4"/>
  <c r="E11" i="4"/>
  <c r="E13" i="4"/>
  <c r="E18" i="4"/>
  <c r="C15" i="2"/>
  <c r="B4" i="5"/>
  <c r="C4" i="2"/>
  <c r="C5" i="2"/>
  <c r="C6" i="2"/>
  <c r="C7" i="2"/>
  <c r="C8" i="2"/>
  <c r="C9" i="2"/>
  <c r="C10" i="2"/>
  <c r="C11" i="2"/>
  <c r="C12" i="2"/>
  <c r="C13" i="2"/>
  <c r="C14" i="2"/>
  <c r="B15" i="2"/>
  <c r="B11" i="5"/>
  <c r="B13" i="5"/>
  <c r="B14" i="5"/>
  <c r="B15" i="5"/>
  <c r="C8" i="6"/>
  <c r="S15" i="5"/>
  <c r="R13" i="5"/>
  <c r="R14" i="5"/>
  <c r="R15" i="5"/>
  <c r="Q13" i="5"/>
  <c r="Q14" i="5"/>
  <c r="Q15" i="5"/>
  <c r="P13" i="5"/>
  <c r="P14" i="5"/>
  <c r="P15" i="5"/>
  <c r="O13" i="5"/>
  <c r="O14" i="5"/>
  <c r="O15" i="5"/>
  <c r="N13" i="5"/>
  <c r="N14" i="5"/>
  <c r="N15" i="5"/>
  <c r="M13" i="5"/>
  <c r="M14" i="5"/>
  <c r="M15" i="5"/>
  <c r="L13" i="5"/>
  <c r="L14" i="5"/>
  <c r="L15" i="5"/>
  <c r="K13" i="5"/>
  <c r="K14" i="5"/>
  <c r="K15" i="5"/>
  <c r="J13" i="5"/>
  <c r="J14" i="5"/>
  <c r="J15" i="5"/>
  <c r="I13" i="5"/>
  <c r="I14" i="5"/>
  <c r="I15" i="5"/>
  <c r="H13" i="5"/>
  <c r="H14" i="5"/>
  <c r="H15" i="5"/>
  <c r="G13" i="5"/>
  <c r="G14" i="5"/>
  <c r="G15" i="5"/>
  <c r="F13" i="5"/>
  <c r="F14" i="5"/>
  <c r="F15" i="5"/>
  <c r="E13" i="5"/>
  <c r="E14" i="5"/>
  <c r="E15" i="5"/>
  <c r="D13" i="5"/>
  <c r="D14" i="5"/>
  <c r="D15" i="5"/>
</calcChain>
</file>

<file path=xl/sharedStrings.xml><?xml version="1.0" encoding="utf-8"?>
<sst xmlns="http://schemas.openxmlformats.org/spreadsheetml/2006/main" count="102" uniqueCount="85">
  <si>
    <t>Tabela 1</t>
  </si>
  <si>
    <t>Przychody</t>
  </si>
  <si>
    <t>Okres 3 lat</t>
  </si>
  <si>
    <t>1 rok - miesiącami</t>
  </si>
  <si>
    <t>2 rok - kwartałami</t>
  </si>
  <si>
    <t>3 rok - rocznie</t>
  </si>
  <si>
    <t>Wolumen, cena, kategorie</t>
  </si>
  <si>
    <t>Koszty CAPEX</t>
  </si>
  <si>
    <t>Koszty OPEX</t>
  </si>
  <si>
    <t>Wynik</t>
  </si>
  <si>
    <t>zł</t>
  </si>
  <si>
    <t>Rentowność</t>
  </si>
  <si>
    <t>%</t>
  </si>
  <si>
    <t>Miesiąc</t>
  </si>
  <si>
    <t>Ilość Użytkowników</t>
  </si>
  <si>
    <t>Generowane reklamy</t>
  </si>
  <si>
    <t>cena</t>
  </si>
  <si>
    <t>Reklamy</t>
  </si>
  <si>
    <t>Ilość kontrahentów</t>
  </si>
  <si>
    <t>Przychód</t>
  </si>
  <si>
    <t>AMORTYZACJI</t>
  </si>
  <si>
    <t>Y</t>
  </si>
  <si>
    <t>ZMiE</t>
  </si>
  <si>
    <t>Energia elektryczna</t>
  </si>
  <si>
    <t>100 zł/mc</t>
  </si>
  <si>
    <t>Licencje na programy</t>
  </si>
  <si>
    <t>Model językowy (Copilot)</t>
  </si>
  <si>
    <t>80 zł/developer</t>
  </si>
  <si>
    <t>Usługi obce</t>
  </si>
  <si>
    <t>Marketing</t>
  </si>
  <si>
    <t>Model językowy</t>
  </si>
  <si>
    <t>120zł/mc</t>
  </si>
  <si>
    <t>Telefon</t>
  </si>
  <si>
    <t>50 zł/mc</t>
  </si>
  <si>
    <t>Wykup serwera</t>
  </si>
  <si>
    <t>55000 zł/3 lata</t>
  </si>
  <si>
    <t>Biuro Rachunkowe</t>
  </si>
  <si>
    <t>300 zł/mc</t>
  </si>
  <si>
    <t>Wynagrodzenia</t>
  </si>
  <si>
    <t>CEO/CTO</t>
  </si>
  <si>
    <t>2 000zł/mc</t>
  </si>
  <si>
    <t>Support Techniczny</t>
  </si>
  <si>
    <t>4000 zł/mc</t>
  </si>
  <si>
    <t>Programiści</t>
  </si>
  <si>
    <t>18 000 zł/mc</t>
  </si>
  <si>
    <t>Pozostałe koszty</t>
  </si>
  <si>
    <t>Ubezpieczenia społeczne</t>
  </si>
  <si>
    <t>Zabezpieczenie danych klientów</t>
  </si>
  <si>
    <t>500zł/mc</t>
  </si>
  <si>
    <t>netto</t>
  </si>
  <si>
    <t>brutto</t>
  </si>
  <si>
    <t>Brutto/brutto</t>
  </si>
  <si>
    <t>Koszt Miesięczny</t>
  </si>
  <si>
    <t>Koszt Roczny</t>
  </si>
  <si>
    <t>1Y</t>
  </si>
  <si>
    <t>2Y</t>
  </si>
  <si>
    <t>3Y</t>
  </si>
  <si>
    <t>1Q</t>
  </si>
  <si>
    <t>2Q</t>
  </si>
  <si>
    <t>3Q</t>
  </si>
  <si>
    <t>4Q</t>
  </si>
  <si>
    <t>PRZYCHODY</t>
  </si>
  <si>
    <t>KOSZTY</t>
  </si>
  <si>
    <t>AMORTYZACJA</t>
  </si>
  <si>
    <t>ZUŻYCIE MATERIAŁÓW I ENERGII</t>
  </si>
  <si>
    <t>USŁUGI OBCE</t>
  </si>
  <si>
    <t xml:space="preserve">WYNAGRODZENIA </t>
  </si>
  <si>
    <t>POZOSTAŁE KOSZTY</t>
  </si>
  <si>
    <t>WYNIK OPERACYJNY (EBIT)</t>
  </si>
  <si>
    <t>Podatek</t>
  </si>
  <si>
    <t>WYNIK NETTO</t>
  </si>
  <si>
    <t>RENTOWNOŚĆ</t>
  </si>
  <si>
    <t>SPRZEDAZ</t>
  </si>
  <si>
    <t>WYNIK OPERCYJNY</t>
  </si>
  <si>
    <t>PODATEK</t>
  </si>
  <si>
    <t>RENTOWNOŚC</t>
  </si>
  <si>
    <t>60 000 zł/rok</t>
  </si>
  <si>
    <t>329,553</t>
  </si>
  <si>
    <t>Wskaźnik</t>
  </si>
  <si>
    <t>cena firmy</t>
  </si>
  <si>
    <t>margines</t>
  </si>
  <si>
    <t>od inwestora</t>
  </si>
  <si>
    <t>procent dla inwestora</t>
  </si>
  <si>
    <t>zaczynamy negocjacje od:</t>
  </si>
  <si>
    <t>kacper chj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</si>
</sst>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%"/>
    <numFmt numFmtId="166" formatCode="#,##0.0#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49" fontId="0" fillId="0" borderId="3" xfId="0" applyNumberFormat="1" applyBorder="1">
      <alignment vertical="top" wrapText="1"/>
    </xf>
    <xf numFmtId="49" fontId="0" fillId="0" borderId="4" xfId="0" applyNumberFormat="1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49" fontId="0" fillId="0" borderId="6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0" fontId="2" fillId="3" borderId="5" xfId="0" applyFont="1" applyFill="1" applyBorder="1">
      <alignment vertical="top" wrapText="1"/>
    </xf>
    <xf numFmtId="0" fontId="0" fillId="0" borderId="6" xfId="0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3" fontId="0" fillId="0" borderId="3" xfId="0" applyNumberFormat="1" applyBorder="1">
      <alignment vertical="top" wrapText="1"/>
    </xf>
    <xf numFmtId="0" fontId="0" fillId="0" borderId="4" xfId="0" applyBorder="1">
      <alignment vertical="top" wrapText="1"/>
    </xf>
    <xf numFmtId="3" fontId="0" fillId="0" borderId="6" xfId="0" applyNumberFormat="1" applyBorder="1">
      <alignment vertical="top" wrapText="1"/>
    </xf>
    <xf numFmtId="3" fontId="2" fillId="2" borderId="1" xfId="0" applyNumberFormat="1" applyFont="1" applyFill="1" applyBorder="1">
      <alignment vertical="top" wrapText="1"/>
    </xf>
    <xf numFmtId="3" fontId="0" fillId="0" borderId="4" xfId="0" applyNumberFormat="1" applyBorder="1">
      <alignment vertical="top" wrapText="1"/>
    </xf>
    <xf numFmtId="3" fontId="0" fillId="0" borderId="7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0" fontId="2" fillId="2" borderId="7" xfId="0" applyFont="1" applyFill="1" applyBorder="1">
      <alignment vertical="top" wrapText="1"/>
    </xf>
    <xf numFmtId="49" fontId="2" fillId="2" borderId="7" xfId="0" applyNumberFormat="1" applyFont="1" applyFill="1" applyBorder="1">
      <alignment vertical="top" wrapText="1"/>
    </xf>
    <xf numFmtId="0" fontId="2" fillId="2" borderId="1" xfId="0" applyNumberFormat="1" applyFont="1" applyFill="1" applyBorder="1">
      <alignment vertical="top" wrapText="1"/>
    </xf>
    <xf numFmtId="0" fontId="2" fillId="0" borderId="7" xfId="0" applyFont="1" applyBorder="1">
      <alignment vertical="top" wrapText="1"/>
    </xf>
    <xf numFmtId="49" fontId="0" fillId="3" borderId="5" xfId="0" applyNumberFormat="1" applyFill="1" applyBorder="1">
      <alignment vertical="top" wrapText="1"/>
    </xf>
    <xf numFmtId="9" fontId="0" fillId="0" borderId="6" xfId="0" applyNumberFormat="1" applyBorder="1">
      <alignment vertical="top" wrapText="1"/>
    </xf>
    <xf numFmtId="165" fontId="0" fillId="0" borderId="6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166" fontId="0" fillId="0" borderId="7" xfId="0" applyNumberFormat="1" applyBorder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0" fillId="0" borderId="6" xfId="0" applyNumberFormat="1" applyBorder="1" applyAlignment="1">
      <alignment horizontal="right" vertical="top" wrapText="1"/>
    </xf>
    <xf numFmtId="3" fontId="2" fillId="0" borderId="7" xfId="0" applyNumberFormat="1" applyFont="1" applyBorder="1">
      <alignment vertical="top" wrapText="1"/>
    </xf>
    <xf numFmtId="165" fontId="0" fillId="4" borderId="6" xfId="0" applyNumberFormat="1" applyFill="1" applyBorder="1">
      <alignment vertical="top" wrapText="1"/>
    </xf>
    <xf numFmtId="166" fontId="0" fillId="4" borderId="7" xfId="0" applyNumberFormat="1" applyFill="1" applyBorder="1">
      <alignment vertical="top" wrapText="1"/>
    </xf>
    <xf numFmtId="3" fontId="0" fillId="0" borderId="0" xfId="0" applyNumberFormat="1">
      <alignment vertical="top" wrapText="1"/>
    </xf>
    <xf numFmtId="4" fontId="0" fillId="0" borderId="4" xfId="0" applyNumberFormat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7" sqref="F7"/>
    </sheetView>
  </sheetViews>
  <sheetFormatPr defaultColWidth="16.33203125" defaultRowHeight="19.95" customHeight="1"/>
  <cols>
    <col min="1" max="5" width="16.33203125" style="1" customWidth="1"/>
    <col min="6" max="6" width="22.6640625" style="1" customWidth="1"/>
    <col min="7" max="7" width="16.33203125" style="1" customWidth="1"/>
    <col min="8" max="16384" width="16.33203125" style="1"/>
  </cols>
  <sheetData>
    <row r="1" spans="1:6" ht="27.6" customHeight="1">
      <c r="A1" s="43" t="s">
        <v>0</v>
      </c>
      <c r="B1" s="43"/>
      <c r="C1" s="43"/>
      <c r="D1" s="43"/>
      <c r="E1" s="43"/>
      <c r="F1" s="43"/>
    </row>
    <row r="2" spans="1:6" ht="20.25" customHeight="1">
      <c r="A2" s="2"/>
      <c r="B2" s="2"/>
      <c r="C2" s="2"/>
      <c r="D2" s="2"/>
      <c r="E2" s="2"/>
      <c r="F2" s="2"/>
    </row>
    <row r="3" spans="1:6" ht="20.25" customHeight="1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>
      <c r="A4" s="6" t="s">
        <v>7</v>
      </c>
      <c r="B4" s="7" t="s">
        <v>2</v>
      </c>
      <c r="C4" s="8" t="s">
        <v>3</v>
      </c>
      <c r="D4" s="8" t="s">
        <v>4</v>
      </c>
      <c r="E4" s="8" t="s">
        <v>5</v>
      </c>
      <c r="F4" s="9"/>
    </row>
    <row r="5" spans="1:6" ht="20.100000000000001" customHeight="1">
      <c r="A5" s="6" t="s">
        <v>8</v>
      </c>
      <c r="B5" s="7" t="s">
        <v>2</v>
      </c>
      <c r="C5" s="8" t="s">
        <v>3</v>
      </c>
      <c r="D5" s="8" t="s">
        <v>4</v>
      </c>
      <c r="E5" s="8" t="s">
        <v>5</v>
      </c>
      <c r="F5" s="9"/>
    </row>
    <row r="6" spans="1:6" ht="20.100000000000001" customHeight="1">
      <c r="A6" s="6" t="s">
        <v>9</v>
      </c>
      <c r="B6" s="7" t="s">
        <v>10</v>
      </c>
      <c r="C6" s="9"/>
      <c r="D6" s="9"/>
      <c r="E6" s="9"/>
      <c r="F6" s="9"/>
    </row>
    <row r="7" spans="1:6" ht="20.100000000000001" customHeight="1">
      <c r="A7" s="6" t="s">
        <v>11</v>
      </c>
      <c r="B7" s="7" t="s">
        <v>12</v>
      </c>
      <c r="C7" s="9"/>
      <c r="D7" s="9"/>
      <c r="E7" s="9"/>
      <c r="F7" s="9"/>
    </row>
    <row r="8" spans="1:6" ht="20.100000000000001" customHeight="1">
      <c r="A8" s="10"/>
      <c r="B8" s="11"/>
      <c r="C8" s="9"/>
      <c r="D8" s="9"/>
      <c r="E8" s="9"/>
      <c r="F8" s="9"/>
    </row>
    <row r="9" spans="1:6" ht="20.100000000000001" customHeight="1">
      <c r="A9" s="10"/>
      <c r="B9" s="11"/>
      <c r="C9" s="9"/>
      <c r="D9" s="9"/>
      <c r="E9" s="9"/>
      <c r="F9" s="9"/>
    </row>
    <row r="10" spans="1:6" ht="20.100000000000001" customHeight="1">
      <c r="A10" s="10"/>
      <c r="B10" s="11"/>
      <c r="C10" s="9"/>
      <c r="D10" s="9"/>
      <c r="E10" s="9"/>
      <c r="F10" s="9"/>
    </row>
    <row r="11" spans="1:6" ht="20.100000000000001" customHeight="1">
      <c r="A11" s="10"/>
      <c r="B11" s="11"/>
      <c r="C11" s="9"/>
      <c r="D11" s="9"/>
      <c r="E11" s="9"/>
      <c r="F11" s="9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3203125" defaultRowHeight="19.95" customHeight="1"/>
  <cols>
    <col min="1" max="1" width="19.33203125" style="1" customWidth="1"/>
    <col min="2" max="2" width="19.88671875" style="1" customWidth="1"/>
    <col min="3" max="3" width="20.109375" style="1" customWidth="1"/>
    <col min="4" max="8" width="16.33203125" style="1" customWidth="1"/>
    <col min="9" max="16384" width="16.33203125" style="1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20.25" customHeight="1">
      <c r="A2" s="2" t="s">
        <v>13</v>
      </c>
      <c r="B2" s="31" t="s">
        <v>14</v>
      </c>
      <c r="C2" s="36" t="s">
        <v>15</v>
      </c>
      <c r="D2" s="2"/>
      <c r="E2" s="2"/>
      <c r="F2" s="2"/>
      <c r="G2" s="2"/>
    </row>
    <row r="3" spans="1:7" ht="20.25" customHeight="1">
      <c r="A3" s="33">
        <v>1</v>
      </c>
      <c r="B3" s="13">
        <v>100</v>
      </c>
      <c r="C3" s="14">
        <f>2*30*SUM(B3)</f>
        <v>6000</v>
      </c>
      <c r="D3" s="14"/>
      <c r="E3" s="14"/>
      <c r="F3" s="14"/>
      <c r="G3" s="14"/>
    </row>
    <row r="4" spans="1:7" ht="20.100000000000001" customHeight="1">
      <c r="A4" s="34">
        <v>2</v>
      </c>
      <c r="B4" s="15">
        <v>150</v>
      </c>
      <c r="C4" s="14">
        <f>2*30*SUM(B3:B4)</f>
        <v>15000</v>
      </c>
      <c r="D4" s="9"/>
      <c r="E4" s="9"/>
      <c r="F4" s="9"/>
      <c r="G4" s="9"/>
    </row>
    <row r="5" spans="1:7" ht="20.100000000000001" customHeight="1">
      <c r="A5" s="34">
        <v>3</v>
      </c>
      <c r="B5" s="15">
        <v>200</v>
      </c>
      <c r="C5" s="14">
        <f>2*30*SUM(B3:B5)</f>
        <v>27000</v>
      </c>
      <c r="D5" s="9"/>
      <c r="E5" s="9"/>
      <c r="F5" s="9"/>
      <c r="G5" s="9"/>
    </row>
    <row r="6" spans="1:7" ht="20.100000000000001" customHeight="1">
      <c r="A6" s="34">
        <v>4</v>
      </c>
      <c r="B6" s="15">
        <v>250</v>
      </c>
      <c r="C6" s="14">
        <f>2*30*SUM(B3:B6)</f>
        <v>42000</v>
      </c>
      <c r="D6" s="9"/>
      <c r="E6" s="9"/>
      <c r="F6" s="9"/>
      <c r="G6" s="9"/>
    </row>
    <row r="7" spans="1:7" ht="20.100000000000001" customHeight="1">
      <c r="A7" s="34">
        <v>5</v>
      </c>
      <c r="B7" s="15">
        <v>300</v>
      </c>
      <c r="C7" s="14">
        <f>2*30*SUM(B3:B7)</f>
        <v>60000</v>
      </c>
      <c r="D7" s="9"/>
      <c r="E7" s="9"/>
      <c r="F7" s="9"/>
      <c r="G7" s="9"/>
    </row>
    <row r="8" spans="1:7" ht="20.100000000000001" customHeight="1">
      <c r="A8" s="34">
        <v>6</v>
      </c>
      <c r="B8" s="15">
        <v>300</v>
      </c>
      <c r="C8" s="14">
        <f>2*30*SUM(B3:B8)</f>
        <v>78000</v>
      </c>
      <c r="D8" s="9"/>
      <c r="E8" s="9"/>
      <c r="F8" s="9"/>
      <c r="G8" s="9"/>
    </row>
    <row r="9" spans="1:7" ht="20.100000000000001" customHeight="1">
      <c r="A9" s="34">
        <v>7</v>
      </c>
      <c r="B9" s="15">
        <v>350</v>
      </c>
      <c r="C9" s="14">
        <f>2*30*SUM(B3:B9)</f>
        <v>99000</v>
      </c>
      <c r="D9" s="9"/>
      <c r="E9" s="9"/>
      <c r="F9" s="9"/>
      <c r="G9" s="9"/>
    </row>
    <row r="10" spans="1:7" ht="20.100000000000001" customHeight="1">
      <c r="A10" s="34">
        <v>8</v>
      </c>
      <c r="B10" s="15">
        <v>350</v>
      </c>
      <c r="C10" s="14">
        <f>2*30*SUM(B3:B10)</f>
        <v>120000</v>
      </c>
      <c r="D10" s="9"/>
      <c r="E10" s="9"/>
      <c r="F10" s="9"/>
      <c r="G10" s="9"/>
    </row>
    <row r="11" spans="1:7" ht="20.100000000000001" customHeight="1">
      <c r="A11" s="34">
        <v>9</v>
      </c>
      <c r="B11" s="15">
        <v>400</v>
      </c>
      <c r="C11" s="14">
        <f>2*30*SUM(B3:B11)</f>
        <v>144000</v>
      </c>
      <c r="D11" s="9"/>
      <c r="E11" s="9"/>
      <c r="F11" s="9"/>
      <c r="G11" s="9"/>
    </row>
    <row r="12" spans="1:7" ht="20.100000000000001" customHeight="1">
      <c r="A12" s="34">
        <v>10</v>
      </c>
      <c r="B12" s="15">
        <v>600</v>
      </c>
      <c r="C12" s="14">
        <f>2*30*SUM(B3:B12)</f>
        <v>180000</v>
      </c>
      <c r="D12" s="9"/>
      <c r="E12" s="9"/>
      <c r="F12" s="9"/>
      <c r="G12" s="9"/>
    </row>
    <row r="13" spans="1:7" ht="20.100000000000001" customHeight="1">
      <c r="A13" s="34">
        <v>11</v>
      </c>
      <c r="B13" s="15">
        <v>1000</v>
      </c>
      <c r="C13" s="14">
        <f>2*30*SUM(B3:B13)</f>
        <v>240000</v>
      </c>
      <c r="D13" s="9"/>
      <c r="E13" s="9"/>
      <c r="F13" s="9"/>
      <c r="G13" s="9"/>
    </row>
    <row r="14" spans="1:7" ht="20.100000000000001" customHeight="1">
      <c r="A14" s="34">
        <v>12</v>
      </c>
      <c r="B14" s="15">
        <v>1200</v>
      </c>
      <c r="C14" s="14">
        <f>2*30*SUM(B3:B14)</f>
        <v>312000</v>
      </c>
      <c r="D14" s="9"/>
      <c r="E14" s="9"/>
      <c r="F14" s="9"/>
      <c r="G14" s="9"/>
    </row>
    <row r="15" spans="1:7" ht="20.100000000000001" customHeight="1">
      <c r="A15" s="10"/>
      <c r="B15" s="15">
        <f>SUM(B3:B14)</f>
        <v>5200</v>
      </c>
      <c r="C15" s="14">
        <f>SUM(C3:C14)</f>
        <v>1323000</v>
      </c>
      <c r="D15" s="9"/>
      <c r="E15" s="9"/>
      <c r="F15" s="9"/>
      <c r="G15" s="9"/>
    </row>
    <row r="16" spans="1:7" ht="20.100000000000001" customHeight="1">
      <c r="A16" s="32" t="s">
        <v>16</v>
      </c>
      <c r="B16" s="15">
        <v>8</v>
      </c>
      <c r="C16" s="9">
        <f>0.0075*4</f>
        <v>0.03</v>
      </c>
      <c r="D16" s="9"/>
      <c r="E16" s="9"/>
      <c r="F16" s="9"/>
      <c r="G16" s="9"/>
    </row>
    <row r="17" spans="1:7" ht="19.2" customHeight="1">
      <c r="A17" s="32" t="s">
        <v>17</v>
      </c>
      <c r="B17" s="15">
        <v>2</v>
      </c>
      <c r="C17" s="9">
        <f>C16*C15</f>
        <v>39690</v>
      </c>
      <c r="D17" s="9"/>
      <c r="E17" s="9"/>
      <c r="F17" s="9"/>
      <c r="G17" s="9"/>
    </row>
    <row r="18" spans="1:7" ht="20.100000000000001" customHeight="1">
      <c r="A18" s="32" t="s">
        <v>18</v>
      </c>
      <c r="B18" s="15">
        <v>3</v>
      </c>
      <c r="C18" s="9"/>
      <c r="D18" s="9"/>
      <c r="E18" s="9"/>
      <c r="F18" s="9"/>
      <c r="G18" s="9"/>
    </row>
    <row r="19" spans="1:7" ht="20.100000000000001" customHeight="1">
      <c r="A19" s="32" t="s">
        <v>19</v>
      </c>
      <c r="B19" s="15">
        <f>B16*B15*B18+C17</f>
        <v>164490</v>
      </c>
      <c r="C19" s="9"/>
      <c r="D19" s="9"/>
      <c r="E19" s="9"/>
      <c r="F19" s="9"/>
      <c r="G19" s="9"/>
    </row>
    <row r="20" spans="1:7" ht="20.100000000000001" customHeight="1">
      <c r="A20" s="10"/>
      <c r="B20" s="15"/>
      <c r="C20" s="9"/>
      <c r="D20" s="9"/>
      <c r="E20" s="9"/>
      <c r="F20" s="9"/>
      <c r="G20" s="9"/>
    </row>
    <row r="21" spans="1:7" ht="20.100000000000001" customHeight="1">
      <c r="A21" s="10"/>
      <c r="B21" s="15"/>
      <c r="C21" s="9"/>
      <c r="D21" s="9"/>
      <c r="E21" s="9"/>
      <c r="F21" s="9"/>
      <c r="G21" s="9"/>
    </row>
    <row r="22" spans="1:7" ht="20.100000000000001" customHeight="1">
      <c r="A22" s="10"/>
      <c r="B22" s="15"/>
      <c r="C22" s="9"/>
      <c r="D22" s="9"/>
      <c r="E22" s="9"/>
      <c r="F22" s="9"/>
      <c r="G22" s="9"/>
    </row>
    <row r="23" spans="1:7" ht="20.100000000000001" customHeight="1">
      <c r="A23" s="10"/>
      <c r="B23" s="15"/>
      <c r="C23" s="9"/>
      <c r="D23" s="9"/>
      <c r="E23" s="9"/>
      <c r="F23" s="9"/>
      <c r="G23" s="9"/>
    </row>
    <row r="24" spans="1:7" ht="20.100000000000001" customHeight="1">
      <c r="A24" s="10"/>
      <c r="B24" s="15"/>
      <c r="C24" s="9"/>
      <c r="D24" s="9"/>
      <c r="E24" s="9"/>
      <c r="F24" s="9"/>
      <c r="G24" s="9"/>
    </row>
    <row r="25" spans="1:7" ht="20.100000000000001" customHeight="1">
      <c r="A25" s="10"/>
      <c r="B25" s="15"/>
      <c r="C25" s="9"/>
      <c r="D25" s="9"/>
      <c r="E25" s="9"/>
      <c r="F25" s="9"/>
      <c r="G25" s="9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4" sqref="E4"/>
    </sheetView>
  </sheetViews>
  <sheetFormatPr defaultColWidth="16.33203125" defaultRowHeight="19.95" customHeight="1"/>
  <cols>
    <col min="1" max="6" width="16.33203125" style="1" customWidth="1"/>
    <col min="7" max="16384" width="16.33203125" style="1"/>
  </cols>
  <sheetData>
    <row r="1" spans="1:5" ht="27.6" customHeight="1">
      <c r="A1" s="43" t="s">
        <v>0</v>
      </c>
      <c r="B1" s="43"/>
      <c r="C1" s="43"/>
      <c r="D1" s="43"/>
      <c r="E1" s="43"/>
    </row>
    <row r="2" spans="1:5" ht="20.25" customHeight="1">
      <c r="A2" s="2"/>
      <c r="B2" s="16"/>
      <c r="C2" s="16"/>
      <c r="D2" s="16"/>
      <c r="E2" s="2"/>
    </row>
    <row r="3" spans="1:5" ht="30.6" customHeight="1">
      <c r="A3" s="3"/>
      <c r="B3" s="13"/>
      <c r="C3" s="5"/>
      <c r="D3" s="17"/>
      <c r="E3" s="14"/>
    </row>
    <row r="4" spans="1:5" ht="20.100000000000001" customHeight="1">
      <c r="A4" s="10"/>
      <c r="B4" s="15"/>
      <c r="C4" s="18"/>
      <c r="D4" s="18"/>
      <c r="E4" s="9"/>
    </row>
    <row r="5" spans="1:5" ht="20.100000000000001" customHeight="1">
      <c r="A5" s="6" t="s">
        <v>20</v>
      </c>
      <c r="B5" s="15"/>
      <c r="C5" s="18"/>
      <c r="D5" s="18"/>
      <c r="E5" s="9"/>
    </row>
    <row r="6" spans="1:5" ht="20.100000000000001" customHeight="1">
      <c r="A6" s="10"/>
      <c r="B6" s="15"/>
      <c r="C6" s="18"/>
      <c r="D6" s="18"/>
      <c r="E6" s="9"/>
    </row>
    <row r="7" spans="1:5" ht="20.100000000000001" customHeight="1">
      <c r="A7" s="10"/>
      <c r="B7" s="15"/>
      <c r="C7" s="18"/>
      <c r="D7" s="18"/>
      <c r="E7" s="9"/>
    </row>
    <row r="8" spans="1:5" ht="20.100000000000001" customHeight="1">
      <c r="A8" s="10"/>
      <c r="B8" s="15"/>
      <c r="C8" s="18"/>
      <c r="D8" s="18"/>
      <c r="E8" s="9"/>
    </row>
    <row r="9" spans="1:5" ht="20.100000000000001" customHeight="1">
      <c r="A9" s="10"/>
      <c r="B9" s="15"/>
      <c r="C9" s="18"/>
      <c r="D9" s="18"/>
      <c r="E9" s="9"/>
    </row>
    <row r="10" spans="1:5" ht="20.100000000000001" customHeight="1">
      <c r="A10" s="10"/>
      <c r="B10" s="15"/>
      <c r="C10" s="18"/>
      <c r="D10" s="18"/>
      <c r="E10" s="9"/>
    </row>
    <row r="11" spans="1:5" ht="20.100000000000001" customHeight="1">
      <c r="A11" s="10"/>
      <c r="B11" s="15"/>
      <c r="C11" s="18"/>
      <c r="D11" s="18"/>
      <c r="E11" s="9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8" sqref="G8"/>
    </sheetView>
  </sheetViews>
  <sheetFormatPr defaultColWidth="16.33203125" defaultRowHeight="19.95" customHeight="1"/>
  <cols>
    <col min="1" max="1" width="16.33203125" style="1" customWidth="1"/>
    <col min="2" max="2" width="23.44140625" style="1" customWidth="1"/>
    <col min="3" max="3" width="16.33203125" style="1" customWidth="1"/>
    <col min="4" max="4" width="22.5546875" style="1" customWidth="1"/>
    <col min="5" max="9" width="16.33203125" style="1" customWidth="1"/>
    <col min="10" max="16384" width="16.33203125" style="1"/>
  </cols>
  <sheetData>
    <row r="1" spans="1:8" ht="27.6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20.25" customHeight="1">
      <c r="A2" s="2"/>
      <c r="B2" s="2"/>
      <c r="C2" s="2"/>
      <c r="D2" s="2"/>
      <c r="E2" s="12" t="s">
        <v>21</v>
      </c>
      <c r="F2" s="2"/>
      <c r="G2" s="2"/>
      <c r="H2" s="2"/>
    </row>
    <row r="3" spans="1:8" ht="20.25" customHeight="1">
      <c r="A3" s="3" t="s">
        <v>22</v>
      </c>
      <c r="B3" s="4" t="s">
        <v>23</v>
      </c>
      <c r="C3" s="5" t="s">
        <v>24</v>
      </c>
      <c r="D3" s="14"/>
      <c r="E3" s="17">
        <v>100</v>
      </c>
      <c r="F3" s="14"/>
      <c r="G3" s="14">
        <v>2000</v>
      </c>
      <c r="H3" s="14">
        <v>35</v>
      </c>
    </row>
    <row r="4" spans="1:8" ht="20.100000000000001" customHeight="1">
      <c r="A4" s="10"/>
      <c r="B4" s="7" t="s">
        <v>25</v>
      </c>
      <c r="C4" s="8" t="s">
        <v>24</v>
      </c>
      <c r="D4" s="9"/>
      <c r="E4" s="18">
        <v>25</v>
      </c>
      <c r="F4" s="9"/>
      <c r="G4" s="9"/>
      <c r="H4" s="9"/>
    </row>
    <row r="5" spans="1:8" ht="18" customHeight="1">
      <c r="A5" s="10"/>
      <c r="B5" s="7" t="s">
        <v>26</v>
      </c>
      <c r="C5" s="8" t="s">
        <v>27</v>
      </c>
      <c r="D5" s="9"/>
      <c r="E5" s="18">
        <f>80*3</f>
        <v>240</v>
      </c>
      <c r="F5" s="19"/>
      <c r="G5" s="19"/>
      <c r="H5" s="20"/>
    </row>
    <row r="6" spans="1:8" ht="20.100000000000001" customHeight="1">
      <c r="A6" s="6" t="s">
        <v>28</v>
      </c>
      <c r="B6" s="7" t="s">
        <v>29</v>
      </c>
      <c r="C6" s="8" t="s">
        <v>76</v>
      </c>
      <c r="D6" s="9"/>
      <c r="E6" s="18">
        <f>60000/12</f>
        <v>5000</v>
      </c>
      <c r="F6" s="9"/>
      <c r="G6" s="9"/>
      <c r="H6" s="9"/>
    </row>
    <row r="7" spans="1:8" ht="20.100000000000001" customHeight="1">
      <c r="A7" s="10"/>
      <c r="B7" s="7" t="s">
        <v>30</v>
      </c>
      <c r="C7" s="8" t="s">
        <v>31</v>
      </c>
      <c r="D7" s="9"/>
      <c r="E7" s="18">
        <v>120</v>
      </c>
      <c r="F7" s="9"/>
      <c r="G7" s="9"/>
      <c r="H7" s="9"/>
    </row>
    <row r="8" spans="1:8" ht="20.100000000000001" customHeight="1">
      <c r="A8" s="10"/>
      <c r="B8" s="7" t="s">
        <v>32</v>
      </c>
      <c r="C8" s="8" t="s">
        <v>33</v>
      </c>
      <c r="D8" s="9"/>
      <c r="E8" s="18">
        <v>50</v>
      </c>
      <c r="F8" s="9"/>
      <c r="G8" s="9">
        <v>100000</v>
      </c>
      <c r="H8" s="9"/>
    </row>
    <row r="9" spans="1:8" ht="20.100000000000001" customHeight="1">
      <c r="A9" s="10"/>
      <c r="B9" s="7" t="s">
        <v>34</v>
      </c>
      <c r="C9" s="13" t="s">
        <v>35</v>
      </c>
      <c r="D9" s="9"/>
      <c r="E9" s="18">
        <f>55000/36</f>
        <v>1527.7777777777778</v>
      </c>
      <c r="F9" s="9"/>
      <c r="G9" s="9"/>
      <c r="H9" s="9"/>
    </row>
    <row r="10" spans="1:8" ht="20.100000000000001" customHeight="1">
      <c r="A10" s="10"/>
      <c r="B10" s="7" t="s">
        <v>36</v>
      </c>
      <c r="C10" s="8" t="s">
        <v>37</v>
      </c>
      <c r="D10" s="9"/>
      <c r="E10" s="18">
        <v>300</v>
      </c>
      <c r="F10" s="9"/>
      <c r="G10" s="9"/>
      <c r="H10" s="9"/>
    </row>
    <row r="11" spans="1:8" ht="20.100000000000001" customHeight="1">
      <c r="A11" s="6" t="s">
        <v>38</v>
      </c>
      <c r="B11" s="7" t="s">
        <v>39</v>
      </c>
      <c r="C11" s="8" t="s">
        <v>40</v>
      </c>
      <c r="D11" s="9"/>
      <c r="E11" s="18">
        <f>2*1000</f>
        <v>2000</v>
      </c>
      <c r="F11" s="18"/>
      <c r="G11" s="9"/>
      <c r="H11" s="9"/>
    </row>
    <row r="12" spans="1:8" ht="20.100000000000001" customHeight="1">
      <c r="A12" s="10"/>
      <c r="B12" s="7" t="s">
        <v>41</v>
      </c>
      <c r="C12" s="8" t="s">
        <v>42</v>
      </c>
      <c r="D12" s="8"/>
      <c r="E12" s="18">
        <v>4000</v>
      </c>
      <c r="F12" s="19"/>
      <c r="G12" s="19"/>
      <c r="H12" s="19"/>
    </row>
    <row r="13" spans="1:8" ht="20.100000000000001" customHeight="1">
      <c r="A13" s="10"/>
      <c r="B13" s="7" t="s">
        <v>43</v>
      </c>
      <c r="C13" s="8" t="s">
        <v>44</v>
      </c>
      <c r="D13" s="8"/>
      <c r="E13" s="18">
        <f>3*4500</f>
        <v>13500</v>
      </c>
      <c r="F13" s="9"/>
      <c r="G13" s="9"/>
      <c r="H13" s="9"/>
    </row>
    <row r="14" spans="1:8" ht="20.100000000000001" customHeight="1">
      <c r="A14" s="6" t="s">
        <v>45</v>
      </c>
      <c r="B14" s="7"/>
      <c r="C14" s="8"/>
      <c r="D14" s="9"/>
      <c r="E14" s="18"/>
      <c r="F14" s="9"/>
      <c r="G14" s="9"/>
      <c r="H14" s="9"/>
    </row>
    <row r="15" spans="1:8" ht="20.100000000000001" customHeight="1">
      <c r="A15" s="10"/>
      <c r="B15" s="7"/>
      <c r="C15" s="8"/>
      <c r="D15" s="9"/>
      <c r="E15" s="18"/>
      <c r="F15" s="9"/>
      <c r="G15" s="9"/>
      <c r="H15" s="9"/>
    </row>
    <row r="16" spans="1:8" ht="32.1" customHeight="1">
      <c r="A16" s="6" t="s">
        <v>46</v>
      </c>
      <c r="B16" s="11" t="s">
        <v>47</v>
      </c>
      <c r="C16" s="9" t="s">
        <v>48</v>
      </c>
      <c r="D16" s="9"/>
      <c r="F16" s="18"/>
      <c r="G16" s="9"/>
      <c r="H16" s="9"/>
    </row>
    <row r="17" spans="1:8" ht="20.100000000000001" customHeight="1">
      <c r="A17" s="10"/>
      <c r="B17" s="7" t="s">
        <v>49</v>
      </c>
      <c r="C17" s="8" t="s">
        <v>50</v>
      </c>
      <c r="D17" s="8" t="s">
        <v>51</v>
      </c>
      <c r="F17" s="9"/>
      <c r="G17" s="9"/>
      <c r="H17" s="9"/>
    </row>
    <row r="18" spans="1:8" ht="20.100000000000001" customHeight="1">
      <c r="A18" s="10"/>
      <c r="B18" s="21">
        <v>720</v>
      </c>
      <c r="C18" s="19">
        <v>1000</v>
      </c>
      <c r="D18" s="19">
        <v>1200</v>
      </c>
      <c r="E18" s="18">
        <f>C18*(B18/D18)</f>
        <v>600</v>
      </c>
      <c r="F18" s="9"/>
      <c r="G18" s="9"/>
      <c r="H18" s="9"/>
    </row>
    <row r="19" spans="1:8" ht="20.100000000000001" customHeight="1">
      <c r="A19" s="35" t="s">
        <v>52</v>
      </c>
      <c r="B19" s="21"/>
      <c r="C19" s="19"/>
      <c r="D19" s="19"/>
      <c r="E19" s="18">
        <f>SUM(E3:E18)</f>
        <v>27462.777777777777</v>
      </c>
      <c r="F19" s="9"/>
      <c r="G19" s="9"/>
      <c r="H19" s="9"/>
    </row>
    <row r="20" spans="1:8" ht="20.100000000000001" customHeight="1">
      <c r="A20" s="35" t="s">
        <v>53</v>
      </c>
      <c r="B20" s="21"/>
      <c r="C20" s="19"/>
      <c r="D20" s="19"/>
      <c r="E20" s="18">
        <f>12*E19</f>
        <v>329553.33333333331</v>
      </c>
      <c r="F20" s="9"/>
      <c r="G20" s="9"/>
      <c r="H20" s="9"/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8"/>
  <sheetViews>
    <sheetView showGridLines="0" workbookViewId="0">
      <pane xSplit="1" ySplit="3" topLeftCell="B6" activePane="bottomRight" state="frozen"/>
      <selection pane="topRight"/>
      <selection pane="bottomLeft"/>
      <selection pane="bottomRight" activeCell="K20" sqref="K20"/>
    </sheetView>
  </sheetViews>
  <sheetFormatPr defaultColWidth="16.33203125" defaultRowHeight="19.95" customHeight="1"/>
  <cols>
    <col min="1" max="1" width="35.6640625" style="1" customWidth="1"/>
    <col min="2" max="2" width="12" style="1" customWidth="1"/>
    <col min="3" max="3" width="10.6640625" style="1" customWidth="1"/>
    <col min="4" max="4" width="10.5546875" style="1" customWidth="1"/>
    <col min="5" max="5" width="9.88671875" style="1" customWidth="1"/>
    <col min="6" max="6" width="8.33203125" style="1" customWidth="1"/>
    <col min="7" max="7" width="9.109375" style="1" customWidth="1"/>
    <col min="8" max="8" width="9.6640625" style="1" customWidth="1"/>
    <col min="9" max="9" width="8.44140625" style="1" customWidth="1"/>
    <col min="10" max="10" width="7.5546875" style="1" customWidth="1"/>
    <col min="11" max="11" width="9.33203125" style="1" customWidth="1"/>
    <col min="12" max="12" width="7.6640625" style="1" customWidth="1"/>
    <col min="13" max="13" width="8.33203125" style="1" customWidth="1"/>
    <col min="14" max="14" width="7.44140625" style="1" customWidth="1"/>
    <col min="15" max="15" width="8.5546875" style="1" customWidth="1"/>
    <col min="16" max="16" width="8.33203125" style="1" customWidth="1"/>
    <col min="17" max="17" width="7.6640625" style="1" customWidth="1"/>
    <col min="18" max="18" width="8.5546875" style="1" customWidth="1"/>
    <col min="19" max="19" width="8.44140625" style="1" customWidth="1"/>
    <col min="20" max="20" width="16.33203125" style="1" customWidth="1"/>
    <col min="21" max="16384" width="16.33203125" style="1"/>
  </cols>
  <sheetData>
    <row r="1" spans="1:19" ht="27.6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20.10000000000000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 t="s">
        <v>54</v>
      </c>
      <c r="O2" s="22"/>
      <c r="P2" s="22"/>
      <c r="Q2" s="22"/>
      <c r="R2" s="23" t="s">
        <v>55</v>
      </c>
      <c r="S2" s="23" t="s">
        <v>56</v>
      </c>
    </row>
    <row r="3" spans="1:19" ht="20.25" customHeight="1">
      <c r="A3" s="2"/>
      <c r="B3" s="12" t="s">
        <v>21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12" t="s">
        <v>57</v>
      </c>
      <c r="P3" s="12" t="s">
        <v>58</v>
      </c>
      <c r="Q3" s="12" t="s">
        <v>59</v>
      </c>
      <c r="R3" s="12" t="s">
        <v>60</v>
      </c>
      <c r="S3" s="2"/>
    </row>
    <row r="4" spans="1:19" ht="20.25" customHeight="1">
      <c r="A4" s="3" t="s">
        <v>61</v>
      </c>
      <c r="B4" s="13">
        <f>PRZYCHODY!B19</f>
        <v>164490</v>
      </c>
      <c r="C4" s="14">
        <f>PRZYCHODY!C3*PRZYCHODY!C16+(PRZYCHODY!B16*PRZYCHODY!B18*PRZYCHODY!B3)/4</f>
        <v>780</v>
      </c>
      <c r="D4" s="14">
        <f>PRZYCHODY!C4*PRZYCHODY!C16+(PRZYCHODY!B16*PRZYCHODY!B18*SUM(PRZYCHODY!B3:B4))/4</f>
        <v>1950</v>
      </c>
      <c r="E4" s="14">
        <f>PRZYCHODY!$C5*PRZYCHODY!$C$16++(PRZYCHODY!B16*PRZYCHODY!B18*SUM(PRZYCHODY!B3:B5))/4</f>
        <v>3510</v>
      </c>
      <c r="F4" s="14">
        <f>PRZYCHODY!$C6*PRZYCHODY!$C$16+(PRZYCHODY!B16*PRZYCHODY!B18*SUM(PRZYCHODY!B3:B6))/4</f>
        <v>5460</v>
      </c>
      <c r="G4" s="14">
        <f>PRZYCHODY!$C7*PRZYCHODY!$C$16+(PRZYCHODY!B16*PRZYCHODY!B18*SUM(PRZYCHODY!B3:B7))/4</f>
        <v>7800</v>
      </c>
      <c r="H4" s="14">
        <f>PRZYCHODY!$C8*PRZYCHODY!$C$16++(PRZYCHODY!B16*PRZYCHODY!B18*SUM(PRZYCHODY!B3:B8))/4</f>
        <v>10140</v>
      </c>
      <c r="I4" s="14">
        <f>PRZYCHODY!$C9*PRZYCHODY!$C$16+(PRZYCHODY!B16*PRZYCHODY!B18*SUM(PRZYCHODY!B3:B9))/4</f>
        <v>12870</v>
      </c>
      <c r="J4" s="14">
        <f>PRZYCHODY!$C10*PRZYCHODY!$C$16+(PRZYCHODY!B16*PRZYCHODY!B18*SUM(PRZYCHODY!B3:B10))/4</f>
        <v>15600</v>
      </c>
      <c r="K4" s="14">
        <f>PRZYCHODY!$C11*PRZYCHODY!$C$16++(PRZYCHODY!B16*PRZYCHODY!B18*SUM(PRZYCHODY!B3:B11))/4</f>
        <v>18720</v>
      </c>
      <c r="L4" s="14">
        <f>PRZYCHODY!$C12*PRZYCHODY!$C$16+(PRZYCHODY!B16*PRZYCHODY!B18*SUM(PRZYCHODY!B3:B12))/4</f>
        <v>23400</v>
      </c>
      <c r="M4" s="14">
        <f>PRZYCHODY!$C13*PRZYCHODY!$C$16+(PRZYCHODY!B16*PRZYCHODY!B18*SUM(PRZYCHODY!B3:B13))/4</f>
        <v>31200</v>
      </c>
      <c r="N4" s="14">
        <f>PRZYCHODY!$C14*PRZYCHODY!$C$16+(PRZYCHODY!B16*PRZYCHODY!B18*SUM(PRZYCHODY!B3:B14))/5</f>
        <v>34320</v>
      </c>
      <c r="O4" s="14">
        <f>N$4*3*1.1</f>
        <v>113256.00000000001</v>
      </c>
      <c r="P4" s="14">
        <f>O$4*1.1</f>
        <v>124581.60000000002</v>
      </c>
      <c r="Q4" s="14">
        <f>P$4*1.1</f>
        <v>137039.76000000004</v>
      </c>
      <c r="R4" s="14">
        <f>Q$4*1.1</f>
        <v>150743.73600000006</v>
      </c>
      <c r="S4" s="14">
        <f>R4*4*1.2</f>
        <v>723569.9328000003</v>
      </c>
    </row>
    <row r="5" spans="1:19" ht="20.100000000000001" customHeight="1">
      <c r="A5" s="6" t="s">
        <v>62</v>
      </c>
      <c r="B5" s="37" t="s">
        <v>77</v>
      </c>
      <c r="C5" s="38">
        <f>OPEX!$E$19</f>
        <v>27462.777777777777</v>
      </c>
      <c r="D5" s="38">
        <f>OPEX!$E$19</f>
        <v>27462.777777777777</v>
      </c>
      <c r="E5" s="38">
        <f>OPEX!$E$19</f>
        <v>27462.777777777777</v>
      </c>
      <c r="F5" s="38">
        <f>OPEX!$E$19</f>
        <v>27462.777777777777</v>
      </c>
      <c r="G5" s="38">
        <f>OPEX!$E$19</f>
        <v>27462.777777777777</v>
      </c>
      <c r="H5" s="38">
        <f>OPEX!$E$19</f>
        <v>27462.777777777777</v>
      </c>
      <c r="I5" s="38">
        <f>OPEX!$E$19</f>
        <v>27462.777777777777</v>
      </c>
      <c r="J5" s="38">
        <f>OPEX!$E$19</f>
        <v>27462.777777777777</v>
      </c>
      <c r="K5" s="38">
        <f>OPEX!$E$19</f>
        <v>27462.777777777777</v>
      </c>
      <c r="L5" s="38">
        <f>OPEX!$E$19</f>
        <v>27462.777777777777</v>
      </c>
      <c r="M5" s="38">
        <f>OPEX!$E$19</f>
        <v>27462.777777777777</v>
      </c>
      <c r="N5" s="38">
        <f>OPEX!$E$19</f>
        <v>27462.777777777777</v>
      </c>
      <c r="O5" s="25">
        <f>C5*3</f>
        <v>82388.333333333328</v>
      </c>
      <c r="P5" s="25">
        <f t="shared" ref="P5:R5" si="0">D5*3</f>
        <v>82388.333333333328</v>
      </c>
      <c r="Q5" s="25">
        <f t="shared" si="0"/>
        <v>82388.333333333328</v>
      </c>
      <c r="R5" s="25">
        <f t="shared" si="0"/>
        <v>82388.333333333328</v>
      </c>
      <c r="S5" s="18">
        <f>N5*12</f>
        <v>329553.33333333331</v>
      </c>
    </row>
    <row r="6" spans="1:19" ht="20.100000000000001" customHeight="1">
      <c r="A6" s="26" t="s">
        <v>63</v>
      </c>
      <c r="B6" s="1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20.100000000000001" customHeight="1">
      <c r="A7" s="26" t="s">
        <v>64</v>
      </c>
      <c r="B7" s="15">
        <v>375</v>
      </c>
      <c r="C7" s="15">
        <v>375</v>
      </c>
      <c r="D7" s="15">
        <v>375</v>
      </c>
      <c r="E7" s="15">
        <v>375</v>
      </c>
      <c r="F7" s="15">
        <v>375</v>
      </c>
      <c r="G7" s="15">
        <v>375</v>
      </c>
      <c r="H7" s="15">
        <v>375</v>
      </c>
      <c r="I7" s="15">
        <v>375</v>
      </c>
      <c r="J7" s="15">
        <v>375</v>
      </c>
      <c r="K7" s="15">
        <v>375</v>
      </c>
      <c r="L7" s="15">
        <v>375</v>
      </c>
      <c r="M7" s="15">
        <v>375</v>
      </c>
      <c r="N7" s="15">
        <v>375</v>
      </c>
      <c r="O7" s="9">
        <f>B7*3</f>
        <v>1125</v>
      </c>
      <c r="P7" s="9">
        <f t="shared" ref="P7:R7" si="1">C7*3</f>
        <v>1125</v>
      </c>
      <c r="Q7" s="9">
        <f t="shared" si="1"/>
        <v>1125</v>
      </c>
      <c r="R7" s="9">
        <f t="shared" si="1"/>
        <v>1125</v>
      </c>
      <c r="S7" s="9">
        <f>B7*12</f>
        <v>4500</v>
      </c>
    </row>
    <row r="8" spans="1:19" ht="20.100000000000001" customHeight="1">
      <c r="A8" s="26" t="s">
        <v>65</v>
      </c>
      <c r="B8" s="15">
        <v>2839</v>
      </c>
      <c r="C8" s="15">
        <v>2839</v>
      </c>
      <c r="D8" s="15">
        <v>2839</v>
      </c>
      <c r="E8" s="15">
        <v>2839</v>
      </c>
      <c r="F8" s="15">
        <v>2839</v>
      </c>
      <c r="G8" s="15">
        <v>2839</v>
      </c>
      <c r="H8" s="15">
        <v>2839</v>
      </c>
      <c r="I8" s="15">
        <v>2839</v>
      </c>
      <c r="J8" s="15">
        <v>2839</v>
      </c>
      <c r="K8" s="15">
        <v>2839</v>
      </c>
      <c r="L8" s="15">
        <v>2839</v>
      </c>
      <c r="M8" s="15">
        <v>2839</v>
      </c>
      <c r="N8" s="15">
        <v>2839</v>
      </c>
      <c r="O8" s="9">
        <f>$N8*3</f>
        <v>8517</v>
      </c>
      <c r="P8" s="9">
        <f t="shared" ref="P8:R8" si="2">$N8*3</f>
        <v>8517</v>
      </c>
      <c r="Q8" s="9">
        <f t="shared" si="2"/>
        <v>8517</v>
      </c>
      <c r="R8" s="9">
        <f t="shared" si="2"/>
        <v>8517</v>
      </c>
      <c r="S8" s="9">
        <f>N8*12</f>
        <v>34068</v>
      </c>
    </row>
    <row r="9" spans="1:19" ht="20.100000000000001" customHeight="1">
      <c r="A9" s="26" t="s">
        <v>66</v>
      </c>
      <c r="B9" s="15">
        <f>OPEX!$E$11+OPEX!$E$12+OPEX!$E$13</f>
        <v>19500</v>
      </c>
      <c r="C9" s="15">
        <f>OPEX!$E$11+OPEX!$E$12+OPEX!$E$13</f>
        <v>19500</v>
      </c>
      <c r="D9" s="15">
        <f>OPEX!$E$11+OPEX!$E$12+OPEX!$E$13</f>
        <v>19500</v>
      </c>
      <c r="E9" s="15">
        <f>OPEX!$E$11+OPEX!$E$12+OPEX!$E$13</f>
        <v>19500</v>
      </c>
      <c r="F9" s="15">
        <f>OPEX!$E$11+OPEX!$E$12+OPEX!$E$13</f>
        <v>19500</v>
      </c>
      <c r="G9" s="15">
        <f>OPEX!$E$11+OPEX!$E$12+OPEX!$E$13</f>
        <v>19500</v>
      </c>
      <c r="H9" s="15">
        <f>OPEX!$E$11+OPEX!$E$12+OPEX!$E$13</f>
        <v>19500</v>
      </c>
      <c r="I9" s="15">
        <f>OPEX!$E$11+OPEX!$E$12+OPEX!$E$13</f>
        <v>19500</v>
      </c>
      <c r="J9" s="15">
        <f>OPEX!$E$11+OPEX!$E$12+OPEX!$E$13</f>
        <v>19500</v>
      </c>
      <c r="K9" s="15">
        <f>OPEX!$E$11+OPEX!$E$12+OPEX!$E$13</f>
        <v>19500</v>
      </c>
      <c r="L9" s="15">
        <f>OPEX!$E$11+OPEX!$E$12+OPEX!$E$13</f>
        <v>19500</v>
      </c>
      <c r="M9" s="15">
        <f>OPEX!$E$11+OPEX!$E$12+OPEX!$E$13</f>
        <v>19500</v>
      </c>
      <c r="N9" s="15">
        <f>OPEX!$E$11+OPEX!$E$12+OPEX!$E$13</f>
        <v>19500</v>
      </c>
      <c r="O9" s="9">
        <f>$N$9*3</f>
        <v>58500</v>
      </c>
      <c r="P9" s="9">
        <f t="shared" ref="P9:R9" si="3">$N$9*3</f>
        <v>58500</v>
      </c>
      <c r="Q9" s="9">
        <f t="shared" si="3"/>
        <v>58500</v>
      </c>
      <c r="R9" s="9">
        <f t="shared" si="3"/>
        <v>58500</v>
      </c>
      <c r="S9" s="9">
        <f>N9*12</f>
        <v>234000</v>
      </c>
    </row>
    <row r="10" spans="1:19" ht="20.100000000000001" customHeight="1">
      <c r="A10" s="26" t="s">
        <v>67</v>
      </c>
      <c r="B10" s="15"/>
      <c r="C10" s="9">
        <v>100000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0.100000000000001" customHeight="1">
      <c r="A11" s="6" t="s">
        <v>68</v>
      </c>
      <c r="B11" s="15">
        <f>B4-B5</f>
        <v>-165063</v>
      </c>
      <c r="C11" s="15">
        <f>C4-C5-C10</f>
        <v>-126682.77777777778</v>
      </c>
      <c r="D11" s="15">
        <f t="shared" ref="D11:S11" si="4">D4-D5</f>
        <v>-25512.777777777777</v>
      </c>
      <c r="E11" s="15">
        <f t="shared" si="4"/>
        <v>-23952.777777777777</v>
      </c>
      <c r="F11" s="15">
        <f t="shared" si="4"/>
        <v>-22002.777777777777</v>
      </c>
      <c r="G11" s="15">
        <f t="shared" si="4"/>
        <v>-19662.777777777777</v>
      </c>
      <c r="H11" s="15">
        <f t="shared" si="4"/>
        <v>-17322.777777777777</v>
      </c>
      <c r="I11" s="15">
        <f t="shared" si="4"/>
        <v>-14592.777777777777</v>
      </c>
      <c r="J11" s="15">
        <f t="shared" si="4"/>
        <v>-11862.777777777777</v>
      </c>
      <c r="K11" s="15">
        <f t="shared" si="4"/>
        <v>-8742.7777777777774</v>
      </c>
      <c r="L11" s="15">
        <f t="shared" si="4"/>
        <v>-4062.7777777777774</v>
      </c>
      <c r="M11" s="15">
        <f t="shared" si="4"/>
        <v>3737.2222222222226</v>
      </c>
      <c r="N11" s="15">
        <f t="shared" si="4"/>
        <v>6857.2222222222226</v>
      </c>
      <c r="O11" s="15">
        <f t="shared" si="4"/>
        <v>30867.666666666686</v>
      </c>
      <c r="P11" s="15">
        <f t="shared" si="4"/>
        <v>42193.266666666692</v>
      </c>
      <c r="Q11" s="15">
        <f t="shared" si="4"/>
        <v>54651.42666666671</v>
      </c>
      <c r="R11" s="15">
        <f t="shared" si="4"/>
        <v>68355.402666666734</v>
      </c>
      <c r="S11" s="15">
        <f t="shared" si="4"/>
        <v>394016.59946666699</v>
      </c>
    </row>
    <row r="12" spans="1:19" ht="20.100000000000001" customHeight="1">
      <c r="A12" s="6" t="s">
        <v>69</v>
      </c>
      <c r="B12" s="27">
        <v>0.09</v>
      </c>
      <c r="C12" s="27">
        <v>0.09</v>
      </c>
      <c r="D12" s="27">
        <v>0.09</v>
      </c>
      <c r="E12" s="27">
        <v>0.09</v>
      </c>
      <c r="F12" s="27">
        <v>0.09</v>
      </c>
      <c r="G12" s="27">
        <v>0.09</v>
      </c>
      <c r="H12" s="27">
        <v>0.09</v>
      </c>
      <c r="I12" s="27">
        <v>0.09</v>
      </c>
      <c r="J12" s="27">
        <v>0.09</v>
      </c>
      <c r="K12" s="27">
        <v>0.09</v>
      </c>
      <c r="L12" s="27">
        <v>0.09</v>
      </c>
      <c r="M12" s="27">
        <v>0.09</v>
      </c>
      <c r="N12" s="27">
        <v>0.09</v>
      </c>
      <c r="O12" s="27">
        <v>0.09</v>
      </c>
      <c r="P12" s="27">
        <v>0.09</v>
      </c>
      <c r="Q12" s="27">
        <v>0.09</v>
      </c>
      <c r="R12" s="27">
        <v>0.09</v>
      </c>
      <c r="S12" s="27">
        <v>0.09</v>
      </c>
    </row>
    <row r="13" spans="1:19" ht="20.100000000000001" customHeight="1">
      <c r="A13" s="10"/>
      <c r="B13" s="15">
        <f>B12*B11</f>
        <v>-14855.67</v>
      </c>
      <c r="C13" s="15">
        <f t="shared" ref="C13:S13" si="5">C12*C11</f>
        <v>-11401.45</v>
      </c>
      <c r="D13" s="15">
        <f t="shared" si="5"/>
        <v>-2296.15</v>
      </c>
      <c r="E13" s="15">
        <f t="shared" si="5"/>
        <v>-2155.75</v>
      </c>
      <c r="F13" s="15">
        <f t="shared" si="5"/>
        <v>-1980.25</v>
      </c>
      <c r="G13" s="15">
        <f t="shared" si="5"/>
        <v>-1769.6499999999999</v>
      </c>
      <c r="H13" s="15">
        <f t="shared" si="5"/>
        <v>-1559.05</v>
      </c>
      <c r="I13" s="15">
        <f t="shared" si="5"/>
        <v>-1313.35</v>
      </c>
      <c r="J13" s="15">
        <f t="shared" si="5"/>
        <v>-1067.6499999999999</v>
      </c>
      <c r="K13" s="15">
        <f t="shared" si="5"/>
        <v>-786.84999999999991</v>
      </c>
      <c r="L13" s="15">
        <f t="shared" si="5"/>
        <v>-365.65</v>
      </c>
      <c r="M13" s="15">
        <f t="shared" si="5"/>
        <v>336.35</v>
      </c>
      <c r="N13" s="15">
        <f t="shared" si="5"/>
        <v>617.15</v>
      </c>
      <c r="O13" s="15">
        <f t="shared" si="5"/>
        <v>2778.0900000000015</v>
      </c>
      <c r="P13" s="15">
        <f t="shared" si="5"/>
        <v>3797.3940000000021</v>
      </c>
      <c r="Q13" s="15">
        <f t="shared" si="5"/>
        <v>4918.6284000000041</v>
      </c>
      <c r="R13" s="15">
        <f t="shared" si="5"/>
        <v>6151.9862400000056</v>
      </c>
      <c r="S13" s="15">
        <f t="shared" si="5"/>
        <v>35461.493952000026</v>
      </c>
    </row>
    <row r="14" spans="1:19" ht="20.100000000000001" customHeight="1">
      <c r="A14" s="6" t="s">
        <v>70</v>
      </c>
      <c r="B14" s="15">
        <f>B11-B13</f>
        <v>-150207.32999999999</v>
      </c>
      <c r="C14" s="15">
        <f t="shared" ref="C14:R14" si="6">C11-C13</f>
        <v>-115281.32777777778</v>
      </c>
      <c r="D14" s="15">
        <f t="shared" si="6"/>
        <v>-23216.627777777776</v>
      </c>
      <c r="E14" s="15">
        <f t="shared" si="6"/>
        <v>-21797.027777777777</v>
      </c>
      <c r="F14" s="15">
        <f t="shared" si="6"/>
        <v>-20022.527777777777</v>
      </c>
      <c r="G14" s="15">
        <f t="shared" si="6"/>
        <v>-17893.127777777776</v>
      </c>
      <c r="H14" s="15">
        <f t="shared" si="6"/>
        <v>-15763.727777777778</v>
      </c>
      <c r="I14" s="15">
        <f t="shared" si="6"/>
        <v>-13279.427777777777</v>
      </c>
      <c r="J14" s="15">
        <f t="shared" si="6"/>
        <v>-10795.127777777778</v>
      </c>
      <c r="K14" s="15">
        <f t="shared" si="6"/>
        <v>-7955.927777777777</v>
      </c>
      <c r="L14" s="15">
        <f t="shared" si="6"/>
        <v>-3697.1277777777773</v>
      </c>
      <c r="M14" s="15">
        <f t="shared" si="6"/>
        <v>3400.8722222222227</v>
      </c>
      <c r="N14" s="15">
        <f t="shared" si="6"/>
        <v>6240.072222222223</v>
      </c>
      <c r="O14" s="15">
        <f t="shared" si="6"/>
        <v>28089.576666666686</v>
      </c>
      <c r="P14" s="15">
        <f t="shared" si="6"/>
        <v>38395.872666666692</v>
      </c>
      <c r="Q14" s="15">
        <f t="shared" si="6"/>
        <v>49732.798266666709</v>
      </c>
      <c r="R14" s="15">
        <f t="shared" si="6"/>
        <v>62203.416426666729</v>
      </c>
      <c r="S14" s="15">
        <f>S11-S13</f>
        <v>358555.10551466694</v>
      </c>
    </row>
    <row r="15" spans="1:19" ht="20.100000000000001" customHeight="1">
      <c r="A15" s="6" t="s">
        <v>71</v>
      </c>
      <c r="B15" s="28">
        <f>B14/B4</f>
        <v>-0.9131699799379901</v>
      </c>
      <c r="C15" s="39">
        <f>C14/C4</f>
        <v>-147.79657407407407</v>
      </c>
      <c r="D15" s="39">
        <f t="shared" ref="D15:R15" si="7">D14/D4</f>
        <v>-11.905962962962962</v>
      </c>
      <c r="E15" s="39">
        <f t="shared" si="7"/>
        <v>-6.2099794238683126</v>
      </c>
      <c r="F15" s="39">
        <f t="shared" si="7"/>
        <v>-3.6671296296296294</v>
      </c>
      <c r="G15" s="39">
        <f t="shared" si="7"/>
        <v>-2.2939907407407407</v>
      </c>
      <c r="H15" s="39">
        <f t="shared" si="7"/>
        <v>-1.5546082621082622</v>
      </c>
      <c r="I15" s="39">
        <f t="shared" si="7"/>
        <v>-1.0318125701459033</v>
      </c>
      <c r="J15" s="39">
        <f t="shared" si="7"/>
        <v>-0.6919953703703704</v>
      </c>
      <c r="K15" s="39">
        <f t="shared" si="7"/>
        <v>-0.42499614197530861</v>
      </c>
      <c r="L15" s="39">
        <f t="shared" si="7"/>
        <v>-0.15799691358024689</v>
      </c>
      <c r="M15" s="39">
        <f t="shared" si="7"/>
        <v>0.10900231481481483</v>
      </c>
      <c r="N15" s="39">
        <f t="shared" si="7"/>
        <v>0.18182028619528623</v>
      </c>
      <c r="O15" s="39">
        <f t="shared" si="7"/>
        <v>0.24801844199571485</v>
      </c>
      <c r="P15" s="39">
        <f t="shared" si="7"/>
        <v>0.3081985836324681</v>
      </c>
      <c r="Q15" s="39">
        <f t="shared" si="7"/>
        <v>0.36290780330224376</v>
      </c>
      <c r="R15" s="39">
        <f t="shared" si="7"/>
        <v>0.41264345754749437</v>
      </c>
      <c r="S15" s="39">
        <f>S14/S4</f>
        <v>0.49553621462291197</v>
      </c>
    </row>
    <row r="18" spans="4:7" ht="19.95" customHeight="1">
      <c r="D18" s="1">
        <f>SUM(C4:N4)</f>
        <v>165750</v>
      </c>
      <c r="G18" s="41">
        <f>SUM(C7:N10)</f>
        <v>372568</v>
      </c>
    </row>
  </sheetData>
  <mergeCells count="1">
    <mergeCell ref="A1:S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5" sqref="C5"/>
    </sheetView>
  </sheetViews>
  <sheetFormatPr defaultColWidth="16.33203125" defaultRowHeight="19.95" customHeight="1"/>
  <cols>
    <col min="1" max="1" width="21.44140625" style="1" customWidth="1"/>
    <col min="2" max="2" width="16.33203125" style="1" customWidth="1"/>
    <col min="3" max="3" width="19.44140625" style="1" customWidth="1"/>
    <col min="4" max="6" width="16.33203125" style="1" customWidth="1"/>
    <col min="7" max="16384" width="16.33203125" style="1"/>
  </cols>
  <sheetData>
    <row r="1" spans="1:5" ht="27.6" customHeight="1">
      <c r="A1" s="43" t="s">
        <v>0</v>
      </c>
      <c r="B1" s="43"/>
      <c r="C1" s="43"/>
      <c r="D1" s="43"/>
      <c r="E1" s="43"/>
    </row>
    <row r="2" spans="1:5" ht="20.25" customHeight="1">
      <c r="A2" s="2"/>
      <c r="B2" s="2"/>
      <c r="C2" s="2"/>
      <c r="D2" s="2"/>
      <c r="E2" s="2"/>
    </row>
    <row r="3" spans="1:5" ht="20.25" customHeight="1">
      <c r="A3" s="3" t="s">
        <v>72</v>
      </c>
      <c r="B3" s="29"/>
      <c r="C3" s="42">
        <f>SUM(MODEL!C4:S4)</f>
        <v>1414941.0288000004</v>
      </c>
      <c r="D3" s="14"/>
      <c r="E3" s="14"/>
    </row>
    <row r="4" spans="1:5" ht="20.100000000000001" customHeight="1">
      <c r="A4" s="6" t="s">
        <v>62</v>
      </c>
      <c r="B4" s="11"/>
      <c r="C4" s="18">
        <f>SUM(MODEL!C7:S10)</f>
        <v>917704</v>
      </c>
      <c r="D4" s="9"/>
      <c r="E4" s="9"/>
    </row>
    <row r="5" spans="1:5" ht="20.100000000000001" customHeight="1">
      <c r="A5" s="6" t="s">
        <v>73</v>
      </c>
      <c r="B5" s="11"/>
      <c r="C5" s="18">
        <f>C3-C4</f>
        <v>497237.02880000044</v>
      </c>
      <c r="D5" s="9"/>
      <c r="E5" s="9"/>
    </row>
    <row r="6" spans="1:5" ht="20.100000000000001" customHeight="1">
      <c r="A6" s="6" t="s">
        <v>74</v>
      </c>
      <c r="B6" s="11"/>
      <c r="C6" s="30">
        <f>C5*15%</f>
        <v>74585.554320000068</v>
      </c>
      <c r="D6" s="9"/>
      <c r="E6" s="9"/>
    </row>
    <row r="7" spans="1:5" ht="20.100000000000001" customHeight="1">
      <c r="A7" s="6" t="s">
        <v>70</v>
      </c>
      <c r="B7" s="11"/>
      <c r="C7" s="40">
        <f>C5-C6</f>
        <v>422651.47448000038</v>
      </c>
      <c r="D7" s="9"/>
      <c r="E7" s="9"/>
    </row>
    <row r="8" spans="1:5" ht="20.100000000000001" customHeight="1">
      <c r="A8" s="6" t="s">
        <v>75</v>
      </c>
      <c r="B8" s="11"/>
      <c r="C8" s="19">
        <f>C7/C3</f>
        <v>0.29870607034304997</v>
      </c>
      <c r="D8" s="9"/>
      <c r="E8" s="9"/>
    </row>
    <row r="9" spans="1:5" ht="20.100000000000001" customHeight="1">
      <c r="A9" s="10"/>
      <c r="B9" s="11"/>
      <c r="C9" s="9"/>
      <c r="D9" s="9"/>
      <c r="E9" s="9"/>
    </row>
    <row r="10" spans="1:5" ht="20.100000000000001" customHeight="1">
      <c r="A10" s="10"/>
      <c r="B10" s="11"/>
      <c r="C10" s="9"/>
      <c r="D10" s="9"/>
      <c r="E10" s="9"/>
    </row>
    <row r="11" spans="1:5" ht="20.100000000000001" customHeight="1">
      <c r="A11" s="10"/>
      <c r="B11" s="11"/>
      <c r="C11" s="9"/>
      <c r="D11" s="9"/>
      <c r="E11" s="9"/>
    </row>
  </sheetData>
  <mergeCells count="1">
    <mergeCell ref="A1:E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CA4F-37BC-4712-99C9-D13AF89BEF13}">
  <dimension ref="A1:G8"/>
  <sheetViews>
    <sheetView tabSelected="1" workbookViewId="0">
      <selection activeCell="G8" sqref="G8"/>
    </sheetView>
  </sheetViews>
  <sheetFormatPr defaultRowHeight="13.2"/>
  <cols>
    <col min="1" max="2" width="10.88671875" customWidth="1"/>
    <col min="3" max="3" width="11.77734375" customWidth="1"/>
    <col min="4" max="4" width="14" customWidth="1"/>
    <col min="5" max="5" width="21.21875" customWidth="1"/>
    <col min="6" max="6" width="23.44140625" customWidth="1"/>
  </cols>
  <sheetData>
    <row r="1" spans="1:7" ht="16.8" customHeight="1">
      <c r="A1" t="s">
        <v>78</v>
      </c>
      <c r="B1" t="s">
        <v>80</v>
      </c>
      <c r="C1" t="s">
        <v>79</v>
      </c>
      <c r="D1" t="s">
        <v>81</v>
      </c>
      <c r="E1" t="s">
        <v>82</v>
      </c>
      <c r="F1" t="s">
        <v>83</v>
      </c>
    </row>
    <row r="2" spans="1:7">
      <c r="A2">
        <v>11.8</v>
      </c>
    </row>
    <row r="5" spans="1:7">
      <c r="B5">
        <v>400000</v>
      </c>
      <c r="C5">
        <f>497000*Wskaźnik!A2</f>
        <v>5864600</v>
      </c>
      <c r="D5">
        <v>400000</v>
      </c>
      <c r="E5">
        <f>B5/C5*100 * 1.25</f>
        <v>8.5257306551171439</v>
      </c>
      <c r="F5">
        <v>9</v>
      </c>
    </row>
    <row r="8" spans="1:7" ht="26.4">
      <c r="G8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55852FED8E0E4AAB394732C6B5C0D5" ma:contentTypeVersion="0" ma:contentTypeDescription="Utwórz nowy dokument." ma:contentTypeScope="" ma:versionID="4adac2126c32d35ba29ff8c63472c31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5D9BB6-234D-4BDC-8504-2E63401601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B6EA0E-F1D5-4C04-AF4A-8960C955FA3B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099CA1-F5E6-4346-861B-641331893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Założenia</vt:lpstr>
      <vt:lpstr>PRZYCHODY</vt:lpstr>
      <vt:lpstr>CAPEX</vt:lpstr>
      <vt:lpstr>OPEX</vt:lpstr>
      <vt:lpstr>MODEL</vt:lpstr>
      <vt:lpstr>SKALOWANIE</vt:lpstr>
      <vt:lpstr>Wskaźnik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WiktorZ</dc:creator>
  <cp:keywords/>
  <dc:description/>
  <cp:lastModifiedBy>Wiktor Zmiendak</cp:lastModifiedBy>
  <cp:revision/>
  <dcterms:created xsi:type="dcterms:W3CDTF">2024-10-31T07:27:27Z</dcterms:created>
  <dcterms:modified xsi:type="dcterms:W3CDTF">2024-11-13T19:31:11Z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0x0101009155852FED8E0E4AAB394732C6B5C0D5</vt:lpwstr>
  </property>
</Properties>
</file>