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ori\Desktop\"/>
    </mc:Choice>
  </mc:AlternateContent>
  <xr:revisionPtr revIDLastSave="0" documentId="13_ncr:1_{4A8AD7F5-F7CC-4C03-AD2B-62B0E2EA9393}" xr6:coauthVersionLast="47" xr6:coauthVersionMax="47" xr10:uidLastSave="{00000000-0000-0000-0000-000000000000}"/>
  <bookViews>
    <workbookView xWindow="14295" yWindow="7740" windowWidth="14610" windowHeight="7845" firstSheet="3" activeTab="6" xr2:uid="{00000000-000D-0000-FFFF-FFFF00000000}"/>
  </bookViews>
  <sheets>
    <sheet name="O'Connell Efficiency" sheetId="4" r:id="rId1"/>
    <sheet name="Sizing" sheetId="1" r:id="rId2"/>
    <sheet name="Costing" sheetId="5" r:id="rId3"/>
    <sheet name="TDC &amp; TCI" sheetId="6" r:id="rId4"/>
    <sheet name="Total product cost" sheetId="7" r:id="rId5"/>
    <sheet name="Revenue" sheetId="8" r:id="rId6"/>
    <sheet name="Profit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G14" i="5"/>
  <c r="B59" i="5"/>
  <c r="C7" i="5"/>
  <c r="D7" i="5"/>
  <c r="E7" i="5"/>
  <c r="F7" i="5"/>
  <c r="G7" i="5"/>
  <c r="B7" i="5"/>
  <c r="C49" i="1"/>
  <c r="D49" i="1"/>
  <c r="D59" i="5" s="1"/>
  <c r="B49" i="1"/>
  <c r="C2" i="10"/>
  <c r="G23" i="7"/>
  <c r="F23" i="7"/>
  <c r="E13" i="7"/>
  <c r="F24" i="7"/>
  <c r="F25" i="7"/>
  <c r="E24" i="7"/>
  <c r="E9" i="8"/>
  <c r="B9" i="8"/>
  <c r="D7" i="8"/>
  <c r="E7" i="8" s="1"/>
  <c r="D8" i="8"/>
  <c r="E8" i="8" s="1"/>
  <c r="B7" i="8"/>
  <c r="B8" i="8"/>
  <c r="B6" i="8"/>
  <c r="E6" i="8" s="1"/>
  <c r="D6" i="8"/>
  <c r="E25" i="7"/>
  <c r="E22" i="7"/>
  <c r="D14" i="7"/>
  <c r="D15" i="7" s="1"/>
  <c r="E15" i="7" s="1"/>
  <c r="F5" i="7"/>
  <c r="E5" i="7"/>
  <c r="D8" i="7"/>
  <c r="E3" i="1"/>
  <c r="D40" i="6"/>
  <c r="D38" i="6"/>
  <c r="D34" i="6"/>
  <c r="D41" i="6"/>
  <c r="C34" i="6"/>
  <c r="D29" i="6"/>
  <c r="C29" i="6"/>
  <c r="C23" i="6"/>
  <c r="C25" i="6" s="1"/>
  <c r="C125" i="5"/>
  <c r="D125" i="5" s="1"/>
  <c r="C52" i="6" s="1"/>
  <c r="C120" i="5"/>
  <c r="D120" i="5" s="1"/>
  <c r="C51" i="6" s="1"/>
  <c r="B111" i="5"/>
  <c r="C11" i="6"/>
  <c r="C12" i="6" s="1"/>
  <c r="C5" i="6"/>
  <c r="B103" i="5"/>
  <c r="B112" i="5" s="1"/>
  <c r="H7" i="5"/>
  <c r="I7" i="5"/>
  <c r="C4" i="5"/>
  <c r="C5" i="5" s="1"/>
  <c r="D4" i="5"/>
  <c r="D5" i="5" s="1"/>
  <c r="F4" i="5"/>
  <c r="F5" i="5" s="1"/>
  <c r="F14" i="5" s="1"/>
  <c r="G4" i="5"/>
  <c r="G5" i="5" s="1"/>
  <c r="H4" i="5"/>
  <c r="H5" i="5" s="1"/>
  <c r="I4" i="5"/>
  <c r="I5" i="5" s="1"/>
  <c r="B4" i="5"/>
  <c r="B5" i="5" s="1"/>
  <c r="D51" i="5"/>
  <c r="D52" i="5" s="1"/>
  <c r="C51" i="5"/>
  <c r="C52" i="5" s="1"/>
  <c r="B51" i="5"/>
  <c r="B52" i="5" s="1"/>
  <c r="B54" i="5"/>
  <c r="C69" i="5"/>
  <c r="D69" i="5"/>
  <c r="B69" i="5"/>
  <c r="B10" i="1"/>
  <c r="B17" i="1" s="1"/>
  <c r="C59" i="5"/>
  <c r="C54" i="5"/>
  <c r="C68" i="5" s="1"/>
  <c r="D54" i="5"/>
  <c r="D68" i="5" s="1"/>
  <c r="I91" i="5"/>
  <c r="D92" i="5"/>
  <c r="D93" i="5" s="1"/>
  <c r="C91" i="5"/>
  <c r="D91" i="5"/>
  <c r="E91" i="5"/>
  <c r="F91" i="5"/>
  <c r="G91" i="5"/>
  <c r="H91" i="5"/>
  <c r="J91" i="5"/>
  <c r="C92" i="5"/>
  <c r="F92" i="5"/>
  <c r="F93" i="5" s="1"/>
  <c r="H92" i="5"/>
  <c r="H93" i="5" s="1"/>
  <c r="J92" i="5"/>
  <c r="C96" i="5"/>
  <c r="D96" i="5"/>
  <c r="E96" i="5"/>
  <c r="F96" i="5"/>
  <c r="G96" i="5"/>
  <c r="H96" i="5"/>
  <c r="I96" i="5"/>
  <c r="J96" i="5"/>
  <c r="B96" i="5"/>
  <c r="B92" i="5"/>
  <c r="B93" i="5" s="1"/>
  <c r="C36" i="1"/>
  <c r="D36" i="1"/>
  <c r="F36" i="1"/>
  <c r="H36" i="1"/>
  <c r="J36" i="1"/>
  <c r="B36" i="1"/>
  <c r="B91" i="5"/>
  <c r="B83" i="5"/>
  <c r="B84" i="5" s="1"/>
  <c r="B85" i="5" s="1"/>
  <c r="B89" i="5" s="1"/>
  <c r="D83" i="5"/>
  <c r="D84" i="5" s="1"/>
  <c r="D85" i="5" s="1"/>
  <c r="D89" i="5" s="1"/>
  <c r="F83" i="5"/>
  <c r="F84" i="5" s="1"/>
  <c r="F85" i="5" s="1"/>
  <c r="F89" i="5" s="1"/>
  <c r="H83" i="5"/>
  <c r="H84" i="5" s="1"/>
  <c r="H85" i="5" s="1"/>
  <c r="H89" i="5" s="1"/>
  <c r="J83" i="5"/>
  <c r="J84" i="5" s="1"/>
  <c r="J85" i="5" s="1"/>
  <c r="J89" i="5" s="1"/>
  <c r="C83" i="5"/>
  <c r="C84" i="5" s="1"/>
  <c r="C85" i="5" s="1"/>
  <c r="C89" i="5" s="1"/>
  <c r="C33" i="5"/>
  <c r="C39" i="5"/>
  <c r="C37" i="5"/>
  <c r="D33" i="5"/>
  <c r="D35" i="5" s="1"/>
  <c r="E33" i="5"/>
  <c r="E35" i="5" s="1"/>
  <c r="F33" i="5"/>
  <c r="F45" i="5" s="1"/>
  <c r="D39" i="5"/>
  <c r="E39" i="5"/>
  <c r="F39" i="5"/>
  <c r="E37" i="5"/>
  <c r="D36" i="5"/>
  <c r="D37" i="5" s="1"/>
  <c r="G39" i="5"/>
  <c r="G36" i="5"/>
  <c r="G37" i="5" s="1"/>
  <c r="G33" i="5"/>
  <c r="G45" i="5" s="1"/>
  <c r="G28" i="5"/>
  <c r="G29" i="5" s="1"/>
  <c r="C28" i="5"/>
  <c r="C29" i="5" s="1"/>
  <c r="G31" i="5"/>
  <c r="F37" i="5"/>
  <c r="C31" i="5"/>
  <c r="B39" i="5"/>
  <c r="B37" i="5"/>
  <c r="B33" i="5"/>
  <c r="B45" i="5" s="1"/>
  <c r="B31" i="5"/>
  <c r="B28" i="5"/>
  <c r="B29" i="5" s="1"/>
  <c r="E68" i="1"/>
  <c r="E69" i="1" s="1"/>
  <c r="E70" i="1" s="1"/>
  <c r="E66" i="1"/>
  <c r="E65" i="1"/>
  <c r="C20" i="5"/>
  <c r="C19" i="5"/>
  <c r="C24" i="5" s="1"/>
  <c r="B19" i="5"/>
  <c r="B24" i="5" s="1"/>
  <c r="B20" i="5"/>
  <c r="G24" i="7" l="1"/>
  <c r="G25" i="7"/>
  <c r="E14" i="7"/>
  <c r="E16" i="7" s="1"/>
  <c r="G5" i="7"/>
  <c r="C15" i="6"/>
  <c r="C38" i="6"/>
  <c r="C40" i="6" s="1"/>
  <c r="C41" i="6" s="1"/>
  <c r="C112" i="5"/>
  <c r="D112" i="5" s="1"/>
  <c r="B14" i="5"/>
  <c r="J7" i="5" s="1"/>
  <c r="K7" i="5" s="1"/>
  <c r="C44" i="6" s="1"/>
  <c r="D14" i="5"/>
  <c r="I14" i="5"/>
  <c r="C14" i="5"/>
  <c r="D24" i="5"/>
  <c r="E24" i="5" s="1"/>
  <c r="C45" i="6" s="1"/>
  <c r="H14" i="5"/>
  <c r="D55" i="5"/>
  <c r="D57" i="5" s="1"/>
  <c r="D63" i="5" s="1"/>
  <c r="D64" i="5" s="1"/>
  <c r="B55" i="5"/>
  <c r="B57" i="5" s="1"/>
  <c r="B63" i="5" s="1"/>
  <c r="B64" i="5" s="1"/>
  <c r="B66" i="5" s="1"/>
  <c r="C55" i="5"/>
  <c r="C57" i="5" s="1"/>
  <c r="C63" i="5" s="1"/>
  <c r="C64" i="5" s="1"/>
  <c r="B65" i="5"/>
  <c r="C75" i="5"/>
  <c r="D75" i="5"/>
  <c r="B68" i="5"/>
  <c r="B75" i="5" s="1"/>
  <c r="E45" i="5"/>
  <c r="B35" i="5"/>
  <c r="C43" i="5"/>
  <c r="C44" i="5" s="1"/>
  <c r="D65" i="5"/>
  <c r="C65" i="5"/>
  <c r="J93" i="5"/>
  <c r="J94" i="5" s="1"/>
  <c r="J95" i="5" s="1"/>
  <c r="J97" i="5" s="1"/>
  <c r="J98" i="5" s="1"/>
  <c r="C93" i="5"/>
  <c r="C94" i="5" s="1"/>
  <c r="C95" i="5" s="1"/>
  <c r="C97" i="5" s="1"/>
  <c r="C98" i="5" s="1"/>
  <c r="H94" i="5"/>
  <c r="H95" i="5" s="1"/>
  <c r="H97" i="5" s="1"/>
  <c r="H98" i="5" s="1"/>
  <c r="D94" i="5"/>
  <c r="D95" i="5" s="1"/>
  <c r="D97" i="5" s="1"/>
  <c r="D98" i="5" s="1"/>
  <c r="C35" i="5"/>
  <c r="B94" i="5"/>
  <c r="B95" i="5" s="1"/>
  <c r="B97" i="5" s="1"/>
  <c r="B98" i="5" s="1"/>
  <c r="F94" i="5"/>
  <c r="F95" i="5" s="1"/>
  <c r="F97" i="5" s="1"/>
  <c r="F98" i="5" s="1"/>
  <c r="B43" i="5"/>
  <c r="B44" i="5" s="1"/>
  <c r="B46" i="5" s="1"/>
  <c r="E43" i="5"/>
  <c r="E44" i="5" s="1"/>
  <c r="C45" i="5"/>
  <c r="D43" i="5"/>
  <c r="D44" i="5" s="1"/>
  <c r="D45" i="5"/>
  <c r="F43" i="5"/>
  <c r="F44" i="5" s="1"/>
  <c r="F46" i="5" s="1"/>
  <c r="F35" i="5"/>
  <c r="G43" i="5"/>
  <c r="G44" i="5" s="1"/>
  <c r="G46" i="5" s="1"/>
  <c r="G35" i="5"/>
  <c r="H3" i="1"/>
  <c r="H4" i="1" s="1"/>
  <c r="F3" i="1"/>
  <c r="F4" i="1" s="1"/>
  <c r="D3" i="1"/>
  <c r="D4" i="1" s="1"/>
  <c r="C6" i="1"/>
  <c r="D6" i="1"/>
  <c r="E6" i="1"/>
  <c r="F6" i="1"/>
  <c r="F10" i="1" s="1"/>
  <c r="F17" i="1" s="1"/>
  <c r="G6" i="1"/>
  <c r="H6" i="1"/>
  <c r="H10" i="1" s="1"/>
  <c r="H17" i="1" s="1"/>
  <c r="I6" i="1"/>
  <c r="B6" i="1"/>
  <c r="C4" i="1"/>
  <c r="B4" i="1"/>
  <c r="I3" i="1"/>
  <c r="I4" i="1" s="1"/>
  <c r="G3" i="1"/>
  <c r="G4" i="1" s="1"/>
  <c r="E4" i="1"/>
  <c r="D65" i="1"/>
  <c r="D68" i="1" s="1"/>
  <c r="D69" i="1" s="1"/>
  <c r="D70" i="1" s="1"/>
  <c r="C65" i="1"/>
  <c r="C68" i="1" s="1"/>
  <c r="C69" i="1" s="1"/>
  <c r="C70" i="1" s="1"/>
  <c r="B65" i="1"/>
  <c r="B68" i="1" s="1"/>
  <c r="B69" i="1" s="1"/>
  <c r="B70" i="1" s="1"/>
  <c r="D53" i="1"/>
  <c r="D54" i="1"/>
  <c r="D51" i="1"/>
  <c r="C54" i="1"/>
  <c r="C53" i="1"/>
  <c r="C51" i="1"/>
  <c r="D55" i="1"/>
  <c r="C55" i="1"/>
  <c r="B55" i="1"/>
  <c r="B54" i="1"/>
  <c r="B53" i="1"/>
  <c r="D52" i="1"/>
  <c r="C52" i="1"/>
  <c r="B51" i="1"/>
  <c r="B52" i="1"/>
  <c r="J30" i="1"/>
  <c r="I30" i="1"/>
  <c r="H30" i="1"/>
  <c r="G30" i="1"/>
  <c r="J29" i="1"/>
  <c r="J34" i="1" s="1"/>
  <c r="H29" i="1"/>
  <c r="H34" i="1" s="1"/>
  <c r="H35" i="1" s="1"/>
  <c r="E30" i="1"/>
  <c r="F30" i="1"/>
  <c r="F29" i="1"/>
  <c r="F34" i="1" s="1"/>
  <c r="D29" i="1"/>
  <c r="D31" i="1"/>
  <c r="C31" i="1"/>
  <c r="D30" i="1"/>
  <c r="C30" i="1"/>
  <c r="B31" i="1"/>
  <c r="B30" i="1"/>
  <c r="N46" i="4"/>
  <c r="I63" i="4"/>
  <c r="I65" i="4" s="1"/>
  <c r="N26" i="4"/>
  <c r="M26" i="4"/>
  <c r="N32" i="4"/>
  <c r="N48" i="4" s="1"/>
  <c r="I43" i="4"/>
  <c r="H43" i="4"/>
  <c r="I49" i="4"/>
  <c r="D106" i="4"/>
  <c r="D108" i="4" s="1"/>
  <c r="D92" i="4"/>
  <c r="D86" i="4"/>
  <c r="C86" i="4"/>
  <c r="H36" i="5" l="1"/>
  <c r="K84" i="5"/>
  <c r="L84" i="5" s="1"/>
  <c r="C48" i="6" s="1"/>
  <c r="D38" i="7"/>
  <c r="C49" i="6"/>
  <c r="C65" i="7"/>
  <c r="D19" i="7"/>
  <c r="D35" i="7"/>
  <c r="E10" i="1"/>
  <c r="E75" i="5"/>
  <c r="F75" i="5" s="1"/>
  <c r="C14" i="6"/>
  <c r="C13" i="6"/>
  <c r="D53" i="7" s="1"/>
  <c r="D66" i="5"/>
  <c r="D76" i="5" s="1"/>
  <c r="C66" i="5"/>
  <c r="C76" i="5" s="1"/>
  <c r="E46" i="5"/>
  <c r="C46" i="5"/>
  <c r="D46" i="5"/>
  <c r="B42" i="1"/>
  <c r="E29" i="1" s="1"/>
  <c r="E34" i="1" s="1"/>
  <c r="C42" i="1"/>
  <c r="G29" i="1" s="1"/>
  <c r="G34" i="1" s="1"/>
  <c r="D42" i="1"/>
  <c r="I29" i="1" s="1"/>
  <c r="I34" i="1" s="1"/>
  <c r="I36" i="1" s="1"/>
  <c r="I92" i="5" s="1"/>
  <c r="I93" i="5" s="1"/>
  <c r="I94" i="5" s="1"/>
  <c r="I95" i="5" s="1"/>
  <c r="I97" i="5" s="1"/>
  <c r="D10" i="1"/>
  <c r="D17" i="1" s="1"/>
  <c r="I10" i="1"/>
  <c r="I17" i="1" s="1"/>
  <c r="G10" i="1"/>
  <c r="G17" i="1" s="1"/>
  <c r="C10" i="1"/>
  <c r="C17" i="1" s="1"/>
  <c r="B58" i="1"/>
  <c r="B59" i="1" s="1"/>
  <c r="B61" i="1" s="1"/>
  <c r="D58" i="1"/>
  <c r="D59" i="1" s="1"/>
  <c r="D61" i="1" s="1"/>
  <c r="C56" i="1"/>
  <c r="C58" i="1"/>
  <c r="C59" i="1" s="1"/>
  <c r="C61" i="1" s="1"/>
  <c r="B56" i="1"/>
  <c r="D56" i="1"/>
  <c r="C29" i="1"/>
  <c r="C34" i="1" s="1"/>
  <c r="C35" i="1" s="1"/>
  <c r="D34" i="1"/>
  <c r="D35" i="1" s="1"/>
  <c r="J35" i="1"/>
  <c r="F35" i="1"/>
  <c r="B29" i="1"/>
  <c r="B34" i="1" s="1"/>
  <c r="I36" i="5" l="1"/>
  <c r="C46" i="6" s="1"/>
  <c r="G35" i="1"/>
  <c r="G83" i="5" s="1"/>
  <c r="G84" i="5" s="1"/>
  <c r="G85" i="5" s="1"/>
  <c r="G89" i="5" s="1"/>
  <c r="G36" i="1"/>
  <c r="G92" i="5" s="1"/>
  <c r="I35" i="1"/>
  <c r="I83" i="5" s="1"/>
  <c r="I84" i="5" s="1"/>
  <c r="I85" i="5" s="1"/>
  <c r="I89" i="5" s="1"/>
  <c r="I98" i="5" s="1"/>
  <c r="H57" i="5" s="1"/>
  <c r="I57" i="5" s="1"/>
  <c r="E35" i="1"/>
  <c r="E83" i="5" s="1"/>
  <c r="E84" i="5" s="1"/>
  <c r="E85" i="5" s="1"/>
  <c r="E89" i="5" s="1"/>
  <c r="E36" i="1"/>
  <c r="E92" i="5" s="1"/>
  <c r="E93" i="5" s="1"/>
  <c r="E94" i="5" s="1"/>
  <c r="E17" i="1"/>
  <c r="E4" i="5"/>
  <c r="E5" i="5" s="1"/>
  <c r="H46" i="5"/>
  <c r="I46" i="5" s="1"/>
  <c r="C16" i="6"/>
  <c r="B76" i="5"/>
  <c r="E66" i="5"/>
  <c r="F66" i="5" s="1"/>
  <c r="B35" i="1"/>
  <c r="J14" i="5" l="1"/>
  <c r="K14" i="5" s="1"/>
  <c r="E14" i="5"/>
  <c r="G93" i="5"/>
  <c r="G94" i="5"/>
  <c r="G95" i="5" s="1"/>
  <c r="G97" i="5" s="1"/>
  <c r="G98" i="5" s="1"/>
  <c r="H56" i="5" s="1"/>
  <c r="I56" i="5" s="1"/>
  <c r="K89" i="5"/>
  <c r="L89" i="5" s="1"/>
  <c r="E95" i="5"/>
  <c r="E97" i="5" s="1"/>
  <c r="F22" i="7"/>
  <c r="G22" i="7" s="1"/>
  <c r="G26" i="7" s="1"/>
  <c r="E76" i="5"/>
  <c r="C18" i="6"/>
  <c r="C19" i="6" s="1"/>
  <c r="C20" i="6" s="1"/>
  <c r="E98" i="5" l="1"/>
  <c r="K97" i="5"/>
  <c r="L97" i="5" s="1"/>
  <c r="F76" i="5"/>
  <c r="K98" i="5" l="1"/>
  <c r="H55" i="5"/>
  <c r="I55" i="5" s="1"/>
  <c r="C47" i="6" l="1"/>
  <c r="C53" i="6" s="1"/>
  <c r="B116" i="5"/>
  <c r="L98" i="5"/>
  <c r="C116" i="5" s="1"/>
  <c r="C50" i="6" s="1"/>
  <c r="C57" i="6" l="1"/>
  <c r="C59" i="6"/>
  <c r="D29" i="7" l="1"/>
  <c r="D51" i="7"/>
  <c r="D49" i="7"/>
  <c r="D32" i="7" l="1"/>
  <c r="D59" i="7"/>
  <c r="B75" i="7" l="1"/>
  <c r="C68" i="7" s="1"/>
  <c r="C3" i="10"/>
  <c r="C71" i="7" l="1"/>
  <c r="C6" i="10"/>
  <c r="C7" i="10" s="1"/>
  <c r="C9" i="10" s="1"/>
  <c r="C12" i="10" s="1"/>
  <c r="C14" i="10" s="1"/>
</calcChain>
</file>

<file path=xl/sharedStrings.xml><?xml version="1.0" encoding="utf-8"?>
<sst xmlns="http://schemas.openxmlformats.org/spreadsheetml/2006/main" count="628" uniqueCount="357">
  <si>
    <t>HEAT EXCHANGERS</t>
  </si>
  <si>
    <t>E2</t>
  </si>
  <si>
    <t>E4</t>
  </si>
  <si>
    <t>T1_COND</t>
  </si>
  <si>
    <t>T1_REB</t>
  </si>
  <si>
    <t>T2_COND</t>
  </si>
  <si>
    <t>T2_REB</t>
  </si>
  <si>
    <t>T3_COND</t>
  </si>
  <si>
    <t>T3_REB</t>
  </si>
  <si>
    <t>LMTD [°C]</t>
  </si>
  <si>
    <t>Q (DUTY) [kJ/h]</t>
  </si>
  <si>
    <t>DISTILLATION COLUMNS</t>
  </si>
  <si>
    <t>STAGE</t>
  </si>
  <si>
    <t>PRESSURE [kPa]</t>
  </si>
  <si>
    <t>TEMP [°C]</t>
  </si>
  <si>
    <t>T1 Styrene Column</t>
  </si>
  <si>
    <t>Average</t>
  </si>
  <si>
    <t>Vapour viscosity</t>
  </si>
  <si>
    <t>@Average Temp</t>
  </si>
  <si>
    <t>Liquid viscosity</t>
  </si>
  <si>
    <t>Vapour Phase</t>
  </si>
  <si>
    <t>Liquid Phase</t>
  </si>
  <si>
    <t xml:space="preserve">Molar average viscosity [cP] = </t>
  </si>
  <si>
    <t>E-Benzene</t>
  </si>
  <si>
    <t>Hydrogen</t>
  </si>
  <si>
    <t>Styrene</t>
  </si>
  <si>
    <t>Benzene</t>
  </si>
  <si>
    <t>Ethylene</t>
  </si>
  <si>
    <t>Toluene</t>
  </si>
  <si>
    <t>Methane</t>
  </si>
  <si>
    <t>H2O</t>
  </si>
  <si>
    <t>CO</t>
  </si>
  <si>
    <t>CO2</t>
  </si>
  <si>
    <t>K Values in Feed @Average Temp</t>
  </si>
  <si>
    <t>&lt;-- Heavy Key</t>
  </si>
  <si>
    <t>&lt;-- Light Key</t>
  </si>
  <si>
    <t>α=</t>
  </si>
  <si>
    <t>T2 EB Column</t>
  </si>
  <si>
    <t>T3 Toluene Column</t>
  </si>
  <si>
    <t>O'Connell Efficiency</t>
  </si>
  <si>
    <t>E_0=</t>
  </si>
  <si>
    <t>K Values in Feed @142°C</t>
  </si>
  <si>
    <t>FIRED HEATERS</t>
  </si>
  <si>
    <t>E1</t>
  </si>
  <si>
    <t>E3</t>
  </si>
  <si>
    <t>REFLUX</t>
  </si>
  <si>
    <t>THEORETICAL STAGES</t>
  </si>
  <si>
    <t>FEED STAGE</t>
  </si>
  <si>
    <t>ACTUAL STAGES (O'CONNELL)</t>
  </si>
  <si>
    <t>TRAY TYPE</t>
  </si>
  <si>
    <t>SIEVE</t>
  </si>
  <si>
    <t>PUMPS</t>
  </si>
  <si>
    <t>P-100</t>
  </si>
  <si>
    <t>P-101</t>
  </si>
  <si>
    <t>P-102</t>
  </si>
  <si>
    <t>P-T1-COND</t>
  </si>
  <si>
    <t>P-T1-REB</t>
  </si>
  <si>
    <t>P-T2-COND</t>
  </si>
  <si>
    <t>P-T2-REB</t>
  </si>
  <si>
    <t>P-T3-COND</t>
  </si>
  <si>
    <t>P-T3-REB</t>
  </si>
  <si>
    <t>η_p</t>
  </si>
  <si>
    <t>η_m</t>
  </si>
  <si>
    <t>ΔP_FLOW [kPa]</t>
  </si>
  <si>
    <t>MASS FLOWRATE [kg/s]</t>
  </si>
  <si>
    <t>MASS AVG FLUID DENSITY [kg/m^3]</t>
  </si>
  <si>
    <t>T1</t>
  </si>
  <si>
    <t>T2</t>
  </si>
  <si>
    <t>T3</t>
  </si>
  <si>
    <t>ΔHEIGHT [m]</t>
  </si>
  <si>
    <t>HEAD [m]</t>
  </si>
  <si>
    <t>ΔP_TOTAL [kPa]</t>
  </si>
  <si>
    <t>VESSELS</t>
  </si>
  <si>
    <t>R1</t>
  </si>
  <si>
    <t>R2</t>
  </si>
  <si>
    <t>DECANTER</t>
  </si>
  <si>
    <t>T1-REFLUXDRUM</t>
  </si>
  <si>
    <t>T2-REFLUXDRUM</t>
  </si>
  <si>
    <t>T3-REFLUXDRUM</t>
  </si>
  <si>
    <t>F_lv</t>
  </si>
  <si>
    <t>V' [kg/s]</t>
  </si>
  <si>
    <t>L' [kg/s]</t>
  </si>
  <si>
    <t>ρ_L [kg/m^3]</t>
  </si>
  <si>
    <t>ρ_G [kg/m^3]</t>
  </si>
  <si>
    <t>U_nf [ft/s]</t>
  </si>
  <si>
    <t>Diameter [m]</t>
  </si>
  <si>
    <t>ρ_G (AVERAGE) [kg/m^3]</t>
  </si>
  <si>
    <t>ρ_L (AVERAGE) [kg/m^3]</t>
  </si>
  <si>
    <t>σ (AVERAGE) [dyne/cm]</t>
  </si>
  <si>
    <t>TRAY SPACING [m]</t>
  </si>
  <si>
    <t>EXTRA FEED SPACE [m]</t>
  </si>
  <si>
    <t>DISENGAGEMENT SPACE [m]</t>
  </si>
  <si>
    <t>SKIRT HEIGHT [m]</t>
  </si>
  <si>
    <t>TOTAL HEIGHT [m]</t>
  </si>
  <si>
    <t>= 22 in. SPACING</t>
  </si>
  <si>
    <t>C_sb,f [ft/s]</t>
  </si>
  <si>
    <t>U [m/s]</t>
  </si>
  <si>
    <t>ε (FOR SIEVE TRAYS)</t>
  </si>
  <si>
    <t>ΔP_TUBE [kPa]</t>
  </si>
  <si>
    <t>F_L [kg/min]</t>
  </si>
  <si>
    <t>τ [min]</t>
  </si>
  <si>
    <t>V [m^3]</t>
  </si>
  <si>
    <t>Length [m]</t>
  </si>
  <si>
    <t>Horizontal</t>
  </si>
  <si>
    <t>Vertical</t>
  </si>
  <si>
    <t>Placement (D&gt;1.2m ==&gt; Horizontal)</t>
  </si>
  <si>
    <t xml:space="preserve">Mat. of Cnstrct. (based on T &amp; P) </t>
  </si>
  <si>
    <t>Carbon Steel</t>
  </si>
  <si>
    <t>LMTD [°F]</t>
  </si>
  <si>
    <t>Q (DUTY) [BTU/h]</t>
  </si>
  <si>
    <t>U [BTU/°F*h*ft^2] [SIEDER]</t>
  </si>
  <si>
    <t>35-62</t>
  </si>
  <si>
    <t>ΔP_SHELL [kPa]</t>
  </si>
  <si>
    <t>A [ft^2]</t>
  </si>
  <si>
    <t>200-300</t>
  </si>
  <si>
    <t>PITCH</t>
  </si>
  <si>
    <t>TEMA STANDARD</t>
  </si>
  <si>
    <t>¾</t>
  </si>
  <si>
    <t>TUBES INNER DIAMETER [in.]</t>
  </si>
  <si>
    <t>TUBES OUTER DIAMETER [in.]</t>
  </si>
  <si>
    <t>1 in. triangular</t>
  </si>
  <si>
    <t>TUBES LENGTH [ft.]</t>
  </si>
  <si>
    <t>SHELL DIAMETER [ft.]</t>
  </si>
  <si>
    <t>50-120</t>
  </si>
  <si>
    <t>100-200</t>
  </si>
  <si>
    <t>400-1000</t>
  </si>
  <si>
    <t>NO. TUBES</t>
  </si>
  <si>
    <t>NO. SHELL-TUBE PASS</t>
  </si>
  <si>
    <t>SHELL-SIDE PRESSURE [psig]</t>
  </si>
  <si>
    <t>PRESSURE [psig]</t>
  </si>
  <si>
    <t>TYPE</t>
  </si>
  <si>
    <t>C_B</t>
  </si>
  <si>
    <t>F_P</t>
  </si>
  <si>
    <t>MATERIAL OF CONSTRUCTION</t>
  </si>
  <si>
    <t>a</t>
  </si>
  <si>
    <t>b</t>
  </si>
  <si>
    <t>F_M</t>
  </si>
  <si>
    <t>F_L</t>
  </si>
  <si>
    <t>C_P</t>
  </si>
  <si>
    <t>DESIGN PRESSURE [psig]</t>
  </si>
  <si>
    <t>DESIGN TEMPERATURE [°F]</t>
  </si>
  <si>
    <t>MAXIMUM ALLOWABLE STRESS [psi]</t>
  </si>
  <si>
    <t>INSIDE SHELL DIAMETER [in.]</t>
  </si>
  <si>
    <t>FRACTIONAL WELD EFF.</t>
  </si>
  <si>
    <t>PLACEMENT</t>
  </si>
  <si>
    <t>t_s (SHELL THICKNESS-CORROSION)</t>
  </si>
  <si>
    <t>C_V</t>
  </si>
  <si>
    <t>t_p (SHELL THICKNESS) [in.]</t>
  </si>
  <si>
    <t>t_p CRITERIA [in.]</t>
  </si>
  <si>
    <t>ρ CARBON STEEL</t>
  </si>
  <si>
    <t>LENGTH [in.]</t>
  </si>
  <si>
    <t>C_PL</t>
  </si>
  <si>
    <t>-------PLATES-------</t>
  </si>
  <si>
    <t>-------BODY-------</t>
  </si>
  <si>
    <t>C_BT</t>
  </si>
  <si>
    <t>NO. TRAYS</t>
  </si>
  <si>
    <t>F_NT</t>
  </si>
  <si>
    <t>F_TT</t>
  </si>
  <si>
    <t>F_TM</t>
  </si>
  <si>
    <t>C_T</t>
  </si>
  <si>
    <t>VOLUMETRIC FLOW RATE [gpm]</t>
  </si>
  <si>
    <t>HEAD [ft.]</t>
  </si>
  <si>
    <t>SIZE FACTOR</t>
  </si>
  <si>
    <t>F_T</t>
  </si>
  <si>
    <t>--------ELECTRIC MOTOR-------</t>
  </si>
  <si>
    <t>η_M</t>
  </si>
  <si>
    <t>η_P</t>
  </si>
  <si>
    <t>stainless steel</t>
  </si>
  <si>
    <t>TEMPERATURE [°F]</t>
  </si>
  <si>
    <t>horizontal</t>
  </si>
  <si>
    <t>ρ CARBON STEEL [lb/in^3]</t>
  </si>
  <si>
    <t>carbon steel</t>
  </si>
  <si>
    <t>VESSEL WEIGHT [lb.]</t>
  </si>
  <si>
    <t>centrifugal</t>
  </si>
  <si>
    <t>cast iron</t>
  </si>
  <si>
    <t>LOAD (W) [W]</t>
  </si>
  <si>
    <t>vertical</t>
  </si>
  <si>
    <t>COLUMN WEIGHT [lb.]</t>
  </si>
  <si>
    <t>INSIDE SHELL DIAMETER [ft.]</t>
  </si>
  <si>
    <t>HEIGHT [ft.]</t>
  </si>
  <si>
    <t>t_w (SHELL THICKNESS) [in.]</t>
  </si>
  <si>
    <t>U-Tube</t>
  </si>
  <si>
    <t>Kettle Vaporizer</t>
  </si>
  <si>
    <t>Fixed Head</t>
  </si>
  <si>
    <t>P_B [Hp]</t>
  </si>
  <si>
    <t>P_C [Hp]</t>
  </si>
  <si>
    <t>TOTAL</t>
  </si>
  <si>
    <t>C_TP (TOTAL TOWER)</t>
  </si>
  <si>
    <t>C_PP (TOTAL PUMPS)</t>
  </si>
  <si>
    <t>--------BODY-------</t>
  </si>
  <si>
    <t>TOTAL (2020, CE=596)</t>
  </si>
  <si>
    <t>TOTAL (2013, CE=567)</t>
  </si>
  <si>
    <t>TOTAL COLUMN WITH PUMPS, REBS, CONDS</t>
  </si>
  <si>
    <t>DENSITY [kg/m^3]</t>
  </si>
  <si>
    <t>SOLID FRACTION IN REACTOR</t>
  </si>
  <si>
    <t>NO. REACTORS</t>
  </si>
  <si>
    <t>REACTORS VOLUME [m^3]</t>
  </si>
  <si>
    <t>COMMODITY CHEMICAL</t>
  </si>
  <si>
    <t>CAPITAL INVESTMENT FACTOR C_b</t>
  </si>
  <si>
    <t>n IN POWER LAW (PETROCHEMICAL)</t>
  </si>
  <si>
    <t>TABLE 16.8 SIEDER (year 2005)</t>
  </si>
  <si>
    <t>CEPCI (CE) IN 2005 [SIEDER]</t>
  </si>
  <si>
    <t>CEPCI (CE) IN 2020 [TA SESSION 8]</t>
  </si>
  <si>
    <t>SIM. STYRENE CAPACITY [lb/year]</t>
  </si>
  <si>
    <t>PRODUCTION RATE [lb/year]</t>
  </si>
  <si>
    <t>C_TDC (TOTAL DEPRECIABLE CAP.)</t>
  </si>
  <si>
    <t>C_land (COST OF LAND)</t>
  </si>
  <si>
    <t>C_royal (COST OF ROYALTIES)</t>
  </si>
  <si>
    <t>C_startup (COST OF PLANT STARTUP)</t>
  </si>
  <si>
    <t>C_TPI (TOTAL PERM. INVESTMENT)</t>
  </si>
  <si>
    <t>C_WC (WORKING CAPITAL)</t>
  </si>
  <si>
    <t>C_TCI (TOTAL CAPITAL INVESTMENT)</t>
  </si>
  <si>
    <t>2% TDC</t>
  </si>
  <si>
    <t xml:space="preserve"> </t>
  </si>
  <si>
    <t>15% TCI</t>
  </si>
  <si>
    <t>C_TPI (CORRECTED)</t>
  </si>
  <si>
    <t>F_ISF (ASSUMED U.S. GULF COAST)</t>
  </si>
  <si>
    <t>-----LANG METHOD-----</t>
  </si>
  <si>
    <t>C_CATALYST</t>
  </si>
  <si>
    <t>SHELL 105 CATALYST</t>
  </si>
  <si>
    <t>COMPOSITION</t>
  </si>
  <si>
    <t>Fe2O3</t>
  </si>
  <si>
    <t>CrO3</t>
  </si>
  <si>
    <t>K2CO3</t>
  </si>
  <si>
    <t>PURE PRICE [per kg]</t>
  </si>
  <si>
    <t>APPROX. CATALYST PRICE [per kg]</t>
  </si>
  <si>
    <t>TOTAL (2024, CE=794)</t>
  </si>
  <si>
    <t>BASED ON SIM.</t>
  </si>
  <si>
    <t>ASSUMED</t>
  </si>
  <si>
    <t>PUMP SPARES</t>
  </si>
  <si>
    <t>INITIAL CATALYST CHARGE</t>
  </si>
  <si>
    <t>TOTAL BARE-MODULE COMPUTERS</t>
  </si>
  <si>
    <t>C_COMP</t>
  </si>
  <si>
    <t>-</t>
  </si>
  <si>
    <t>C_SPARE = C_PP (TOTAL)</t>
  </si>
  <si>
    <t>F.O.B</t>
  </si>
  <si>
    <t>F.O.B FOR HEAT EXCHANGERS</t>
  </si>
  <si>
    <t>F.O.B FOR FIRED HEATERS</t>
  </si>
  <si>
    <t>F.O.B FOR VESSELS</t>
  </si>
  <si>
    <t>F.O.B FOR DISTILLATION COLUMNS</t>
  </si>
  <si>
    <t>F.O.B FOR PUMPS</t>
  </si>
  <si>
    <t>WITHOUT DISTILLATION PARTS</t>
  </si>
  <si>
    <t>INITIAL CHARGE CATALYST</t>
  </si>
  <si>
    <t>F.O.B FOR PUMP SPARES</t>
  </si>
  <si>
    <t>F.O.B FOR SURGE TANKS</t>
  </si>
  <si>
    <t>F.O.B FOR COMPUTERS (CONTROL SYSTEMS)</t>
  </si>
  <si>
    <t>C_STORAGE ,NO TANKS IN SIM.</t>
  </si>
  <si>
    <t>&lt;== NO DATA</t>
  </si>
  <si>
    <t>TOTAL C_P IN 2020 (NO C.I. NEEDED)</t>
  </si>
  <si>
    <t>PROCCESSING PLANT</t>
  </si>
  <si>
    <t>FLUIDS</t>
  </si>
  <si>
    <t>f_L_TCI (LANG FACTOR)</t>
  </si>
  <si>
    <t>C_TCI</t>
  </si>
  <si>
    <t>10% TDC</t>
  </si>
  <si>
    <t>-----POWER LAW (ECONOMY OF SCALE)-----</t>
  </si>
  <si>
    <t>-----POWER LAW (ORDER OF MAGNIRUDE ESTIMATE)-----</t>
  </si>
  <si>
    <t>SIM. MAIN PROD. FLOW RATE [lb/year]</t>
  </si>
  <si>
    <t>F_PR (PRODUCTION RATE FACTOR)</t>
  </si>
  <si>
    <t>F_M (MATERIAL FACTOR)</t>
  </si>
  <si>
    <t>C_M (MODULE COST)</t>
  </si>
  <si>
    <t>F_PI (PIPING, INSTRUMENTATION, ETC.)</t>
  </si>
  <si>
    <t>&lt;== FLUIDS HANDLING</t>
  </si>
  <si>
    <t>&lt;== NO DATA FOR MS INDEX</t>
  </si>
  <si>
    <t>F_1 (OUTDOOR CONSTRUCTION)</t>
  </si>
  <si>
    <t>F_2 (GRASS-ROOTS PLANT)</t>
  </si>
  <si>
    <t>C_TBM (TOTAL BARE-MODULE)</t>
  </si>
  <si>
    <t>C_DPI (DIRECT PERMANENT INVESTMENT)</t>
  </si>
  <si>
    <t>C_TPI (TOTAL PERMANENT INVESTMENT)</t>
  </si>
  <si>
    <t>for carbon steel</t>
  </si>
  <si>
    <t>for stainless steel</t>
  </si>
  <si>
    <t>MANUFACTURING COSTS</t>
  </si>
  <si>
    <t>GENERAL EXPENSES</t>
  </si>
  <si>
    <t>VARIABLE PRODUCTION COSTS</t>
  </si>
  <si>
    <t>RAW MATERIALS</t>
  </si>
  <si>
    <t>OPERATING LABOR</t>
  </si>
  <si>
    <t>OPERATING SUPERVISION &amp; CLERICAL</t>
  </si>
  <si>
    <t>UTILITIES</t>
  </si>
  <si>
    <t>MAINTENANCE AND REPAIRS</t>
  </si>
  <si>
    <t>OPERATING SUPPLIES</t>
  </si>
  <si>
    <t>LABORATORY CHARGES</t>
  </si>
  <si>
    <t>PATENTS AND ROYALTIES</t>
  </si>
  <si>
    <t>CATALYSTS AND SOLVENTS</t>
  </si>
  <si>
    <t>plant capacity [kg/day]</t>
  </si>
  <si>
    <t>line</t>
  </si>
  <si>
    <t>C</t>
  </si>
  <si>
    <t>approx workers [employee-hours/day]</t>
  </si>
  <si>
    <t>labor cost [per year]</t>
  </si>
  <si>
    <t>15% of labor cost [per year]</t>
  </si>
  <si>
    <t>ELECTRICITY [per kWh]</t>
  </si>
  <si>
    <t>ETHYL BENZENE</t>
  </si>
  <si>
    <t>U.S. price (2018) [per ton]</t>
  </si>
  <si>
    <t>U.S. price (2020) [per ton]</t>
  </si>
  <si>
    <t>feed rate [ton/year]</t>
  </si>
  <si>
    <t>total yearly cost</t>
  </si>
  <si>
    <t>wages &amp; benefits [per employee-hour]</t>
  </si>
  <si>
    <t>2020 price</t>
  </si>
  <si>
    <t>salaries &amp; benefits (15% wages)</t>
  </si>
  <si>
    <t>operating supplies &amp; services (6% wages)</t>
  </si>
  <si>
    <t>unit cost (in 2020)</t>
  </si>
  <si>
    <t>LP STEAM [per 1000 lb]</t>
  </si>
  <si>
    <t>COOLING WATER [per 1000 gal]</t>
  </si>
  <si>
    <t>rate [unit per year]</t>
  </si>
  <si>
    <t>total=</t>
  </si>
  <si>
    <t>&lt;== both utility (reboilers) and feed</t>
  </si>
  <si>
    <t>&lt;== heat ex. And condensers</t>
  </si>
  <si>
    <t>7% of fixed capital investment</t>
  </si>
  <si>
    <t>f_L_TPI (LANG FACTOR)</t>
  </si>
  <si>
    <t>C_TPI</t>
  </si>
  <si>
    <t>15% of maintenance and repairs</t>
  </si>
  <si>
    <t>10% of operating labor</t>
  </si>
  <si>
    <t>calculated in costing (yearly change)</t>
  </si>
  <si>
    <t>FIXED CHARGES</t>
  </si>
  <si>
    <t>DEPRECIATION</t>
  </si>
  <si>
    <t>FINANCING INTEREST</t>
  </si>
  <si>
    <t>LOCAL TAXES</t>
  </si>
  <si>
    <t>PROPERTY INSURANCE</t>
  </si>
  <si>
    <t>RENT</t>
  </si>
  <si>
    <t>2% OF TPI</t>
  </si>
  <si>
    <t>1% OF TPI</t>
  </si>
  <si>
    <t>8% OF C_LAND (based on power law)</t>
  </si>
  <si>
    <t>PLANT OVERHEAD COST</t>
  </si>
  <si>
    <t>CHEMICAL PLANTS</t>
  </si>
  <si>
    <t>50% of total expenses for operating labor, supervision and maintenance</t>
  </si>
  <si>
    <t>yearly cost</t>
  </si>
  <si>
    <t>ADMINISTRATIVE COSTS</t>
  </si>
  <si>
    <t>DISTRIBUTION AND MARKETING</t>
  </si>
  <si>
    <t>R &amp; D</t>
  </si>
  <si>
    <t>20% of operating labor</t>
  </si>
  <si>
    <t>2% of total product cost</t>
  </si>
  <si>
    <t>TOTAL PRODUCT COST</t>
  </si>
  <si>
    <t>[PER YEAR]</t>
  </si>
  <si>
    <t>PRODUCTS</t>
  </si>
  <si>
    <t>STYRENE</t>
  </si>
  <si>
    <t>TOLUENE</t>
  </si>
  <si>
    <t>BENZENE</t>
  </si>
  <si>
    <t>YEARLY REVENUE</t>
  </si>
  <si>
    <t>PRODUCED [ton/year]</t>
  </si>
  <si>
    <t>HYSYS</t>
  </si>
  <si>
    <t>blue fill: other references</t>
  </si>
  <si>
    <t>unit cost (in 1995) [sieder]</t>
  </si>
  <si>
    <t xml:space="preserve"> 2022 price [US Bureau of labor]</t>
  </si>
  <si>
    <t>FUEL (GAS) [per MMBTU]</t>
  </si>
  <si>
    <t>1% of total product cost</t>
  </si>
  <si>
    <t>3% of profit (to be calculated with taxes)</t>
  </si>
  <si>
    <t>GROSS PROFIT</t>
  </si>
  <si>
    <t>SALES REVENUE</t>
  </si>
  <si>
    <t>TAXABLE GROSS PROFIT</t>
  </si>
  <si>
    <t>PATENTS &amp; ROYALTIES</t>
  </si>
  <si>
    <t>INCOME TAX RATE</t>
  </si>
  <si>
    <t>NET PROFIT</t>
  </si>
  <si>
    <t>ANNUAL CASH FLOW</t>
  </si>
  <si>
    <t>&lt;== 3% OF PROFIT</t>
  </si>
  <si>
    <t>YEARLY &amp; WITHOUT INTREST</t>
  </si>
  <si>
    <t>Relative volatility</t>
  </si>
  <si>
    <t>NOMINAL TUBE SIZE [in.]</t>
  </si>
  <si>
    <t>ASSUMED 16 YEAR STRAIGHT-LINE</t>
  </si>
  <si>
    <t>DEPRECIATION (16 YR 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</si>
</sst>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0.00000"/>
    <numFmt numFmtId="165" formatCode="0.000"/>
    <numFmt numFmtId="166" formatCode="0.00\ \[\A\]"/>
    <numFmt numFmtId="167" formatCode="&quot;$&quot;#,##0.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left"/>
    </xf>
    <xf numFmtId="167" fontId="0" fillId="2" borderId="0" xfId="0" applyNumberFormat="1" applyFill="1" applyAlignment="1">
      <alignment horizontal="left"/>
    </xf>
    <xf numFmtId="0" fontId="0" fillId="0" borderId="10" xfId="0" applyBorder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2" borderId="0" xfId="0" applyNumberFormat="1" applyFont="1" applyFill="1" applyAlignment="1">
      <alignment horizontal="left"/>
    </xf>
    <xf numFmtId="0" fontId="2" fillId="0" borderId="0" xfId="0" quotePrefix="1" applyFont="1" applyAlignment="1">
      <alignment horizontal="left"/>
    </xf>
    <xf numFmtId="9" fontId="0" fillId="0" borderId="0" xfId="2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167" fontId="0" fillId="2" borderId="7" xfId="0" applyNumberFormat="1" applyFill="1" applyBorder="1" applyAlignment="1">
      <alignment horizontal="center"/>
    </xf>
    <xf numFmtId="167" fontId="3" fillId="0" borderId="0" xfId="0" applyNumberFormat="1" applyFont="1" applyAlignment="1">
      <alignment horizontal="left"/>
    </xf>
    <xf numFmtId="11" fontId="0" fillId="0" borderId="0" xfId="1" applyNumberFormat="1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167" fontId="0" fillId="2" borderId="0" xfId="0" applyNumberFormat="1" applyFill="1"/>
    <xf numFmtId="0" fontId="7" fillId="0" borderId="0" xfId="0" applyFont="1"/>
    <xf numFmtId="167" fontId="3" fillId="0" borderId="0" xfId="0" applyNumberFormat="1" applyFont="1"/>
    <xf numFmtId="167" fontId="2" fillId="0" borderId="0" xfId="0" applyNumberFormat="1" applyFont="1"/>
    <xf numFmtId="0" fontId="2" fillId="0" borderId="0" xfId="0" quotePrefix="1" applyFont="1"/>
    <xf numFmtId="1" fontId="1" fillId="0" borderId="0" xfId="0" applyNumberFormat="1" applyFont="1"/>
    <xf numFmtId="167" fontId="0" fillId="0" borderId="10" xfId="0" applyNumberFormat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0" fontId="6" fillId="0" borderId="0" xfId="0" quotePrefix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7" fontId="0" fillId="0" borderId="0" xfId="0" quotePrefix="1" applyNumberFormat="1" applyAlignment="1">
      <alignment horizontal="center"/>
    </xf>
    <xf numFmtId="167" fontId="0" fillId="0" borderId="0" xfId="0" applyNumberFormat="1" applyAlignment="1">
      <alignment horizontal="right"/>
    </xf>
    <xf numFmtId="0" fontId="0" fillId="2" borderId="11" xfId="0" applyFill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167" fontId="0" fillId="2" borderId="1" xfId="0" applyNumberForma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0" borderId="0" xfId="0" applyAlignment="1">
      <alignment horizontal="center" readingOrder="1"/>
    </xf>
    <xf numFmtId="165" fontId="0" fillId="2" borderId="0" xfId="0" applyNumberFormat="1" applyFill="1" applyAlignment="1">
      <alignment horizontal="center" readingOrder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6" fillId="0" borderId="10" xfId="0" quotePrefix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116D-BDBC-4986-BD03-562104D7973B}">
  <sheetPr codeName="Sheet1"/>
  <dimension ref="B2:N111"/>
  <sheetViews>
    <sheetView topLeftCell="E46" workbookViewId="0">
      <selection activeCell="J39" sqref="J39"/>
    </sheetView>
  </sheetViews>
  <sheetFormatPr defaultColWidth="15.5703125" defaultRowHeight="15" x14ac:dyDescent="0.25"/>
  <cols>
    <col min="1" max="1" width="7.140625" customWidth="1"/>
    <col min="5" max="6" width="7.140625" customWidth="1"/>
    <col min="10" max="11" width="7.140625" customWidth="1"/>
  </cols>
  <sheetData>
    <row r="2" spans="2:14" x14ac:dyDescent="0.25">
      <c r="B2" s="71" t="s">
        <v>15</v>
      </c>
      <c r="C2" s="71"/>
      <c r="D2" s="71"/>
      <c r="G2" s="71" t="s">
        <v>37</v>
      </c>
      <c r="H2" s="71"/>
      <c r="I2" s="71"/>
      <c r="L2" s="71" t="s">
        <v>38</v>
      </c>
      <c r="M2" s="71"/>
      <c r="N2" s="71"/>
    </row>
    <row r="3" spans="2:14" x14ac:dyDescent="0.25">
      <c r="B3" t="s">
        <v>12</v>
      </c>
      <c r="C3" t="s">
        <v>13</v>
      </c>
      <c r="D3" t="s">
        <v>14</v>
      </c>
      <c r="G3" t="s">
        <v>12</v>
      </c>
      <c r="H3" t="s">
        <v>13</v>
      </c>
      <c r="I3" t="s">
        <v>14</v>
      </c>
      <c r="L3" t="s">
        <v>12</v>
      </c>
      <c r="M3" t="s">
        <v>13</v>
      </c>
      <c r="N3" t="s">
        <v>14</v>
      </c>
    </row>
    <row r="4" spans="2:14" x14ac:dyDescent="0.25">
      <c r="B4" s="1">
        <v>0</v>
      </c>
      <c r="C4" s="2">
        <v>10</v>
      </c>
      <c r="D4" s="2">
        <v>56.734269285768697</v>
      </c>
      <c r="G4" s="1">
        <v>0</v>
      </c>
      <c r="H4" s="2">
        <v>120</v>
      </c>
      <c r="I4" s="2">
        <v>82</v>
      </c>
      <c r="L4" s="1">
        <v>0</v>
      </c>
      <c r="M4" s="2">
        <v>290</v>
      </c>
      <c r="N4" s="2">
        <v>116.76301083724201</v>
      </c>
    </row>
    <row r="5" spans="2:14" x14ac:dyDescent="0.25">
      <c r="B5" s="1">
        <v>1</v>
      </c>
      <c r="C5" s="2">
        <v>10</v>
      </c>
      <c r="D5" s="2">
        <v>66.573118395948896</v>
      </c>
      <c r="G5" s="1">
        <v>1</v>
      </c>
      <c r="H5" s="2">
        <v>120</v>
      </c>
      <c r="I5" s="2">
        <v>110.97946008275299</v>
      </c>
      <c r="L5" s="1">
        <v>1</v>
      </c>
      <c r="M5" s="2">
        <v>290</v>
      </c>
      <c r="N5" s="2">
        <v>119.153068763392</v>
      </c>
    </row>
    <row r="6" spans="2:14" x14ac:dyDescent="0.25">
      <c r="B6" s="1">
        <v>2</v>
      </c>
      <c r="C6" s="2">
        <v>10.506329113924</v>
      </c>
      <c r="D6" s="2">
        <v>70.352061591354001</v>
      </c>
      <c r="G6" s="1">
        <v>2</v>
      </c>
      <c r="H6" s="2">
        <v>120.5</v>
      </c>
      <c r="I6" s="2">
        <v>114.69638839720101</v>
      </c>
      <c r="L6" s="1">
        <v>2</v>
      </c>
      <c r="M6" s="2">
        <v>291.052631578947</v>
      </c>
      <c r="N6" s="2">
        <v>119.467605722709</v>
      </c>
    </row>
    <row r="7" spans="2:14" x14ac:dyDescent="0.25">
      <c r="B7" s="1">
        <v>3</v>
      </c>
      <c r="C7" s="2">
        <v>11.0126582278481</v>
      </c>
      <c r="D7" s="2">
        <v>72.515310279033699</v>
      </c>
      <c r="G7" s="1">
        <v>3</v>
      </c>
      <c r="H7" s="2">
        <v>121</v>
      </c>
      <c r="I7" s="2">
        <v>117.334927272762</v>
      </c>
      <c r="L7" s="1">
        <v>3</v>
      </c>
      <c r="M7" s="2">
        <v>292.10526315789502</v>
      </c>
      <c r="N7" s="2">
        <v>119.861961184677</v>
      </c>
    </row>
    <row r="8" spans="2:14" x14ac:dyDescent="0.25">
      <c r="B8" s="1">
        <v>4</v>
      </c>
      <c r="C8" s="2">
        <v>11.5189873417721</v>
      </c>
      <c r="D8" s="2">
        <v>74.170420003439105</v>
      </c>
      <c r="G8" s="1">
        <v>4</v>
      </c>
      <c r="H8" s="2">
        <v>121.5</v>
      </c>
      <c r="I8" s="2">
        <v>119.748872226776</v>
      </c>
      <c r="L8" s="1">
        <v>4</v>
      </c>
      <c r="M8" s="2">
        <v>293.15789473684202</v>
      </c>
      <c r="N8" s="2">
        <v>120.44834162723799</v>
      </c>
    </row>
    <row r="9" spans="2:14" x14ac:dyDescent="0.25">
      <c r="B9" s="1">
        <v>5</v>
      </c>
      <c r="C9" s="2">
        <v>12.025316455696199</v>
      </c>
      <c r="D9" s="2">
        <v>75.594729340492606</v>
      </c>
      <c r="G9" s="1">
        <v>5</v>
      </c>
      <c r="H9" s="2">
        <v>122</v>
      </c>
      <c r="I9" s="2">
        <v>122.25658601926401</v>
      </c>
      <c r="L9" s="1">
        <v>5</v>
      </c>
      <c r="M9" s="2">
        <v>294.21052631578902</v>
      </c>
      <c r="N9" s="2">
        <v>121.361895140633</v>
      </c>
    </row>
    <row r="10" spans="2:14" x14ac:dyDescent="0.25">
      <c r="B10" s="1">
        <v>6</v>
      </c>
      <c r="C10" s="2">
        <v>12.531645569620199</v>
      </c>
      <c r="D10" s="2">
        <v>76.877193629447504</v>
      </c>
      <c r="G10" s="1">
        <v>6</v>
      </c>
      <c r="H10" s="2">
        <v>122.5</v>
      </c>
      <c r="I10" s="2">
        <v>124.818021880236</v>
      </c>
      <c r="L10" s="1">
        <v>6</v>
      </c>
      <c r="M10" s="2">
        <v>295.26315789473699</v>
      </c>
      <c r="N10" s="2">
        <v>122.797162704854</v>
      </c>
    </row>
    <row r="11" spans="2:14" x14ac:dyDescent="0.25">
      <c r="B11" s="1">
        <v>7</v>
      </c>
      <c r="C11" s="2">
        <v>13.0379746835443</v>
      </c>
      <c r="D11" s="2">
        <v>78.056745928100099</v>
      </c>
      <c r="G11" s="1">
        <v>7</v>
      </c>
      <c r="H11" s="2">
        <v>123</v>
      </c>
      <c r="I11" s="2">
        <v>127.23408955785099</v>
      </c>
      <c r="L11" s="1">
        <v>7</v>
      </c>
      <c r="M11" s="2">
        <v>296.31578947368399</v>
      </c>
      <c r="N11" s="2">
        <v>124.977567749811</v>
      </c>
    </row>
    <row r="12" spans="2:14" x14ac:dyDescent="0.25">
      <c r="B12" s="1">
        <v>8</v>
      </c>
      <c r="C12" s="2">
        <v>13.5443037974683</v>
      </c>
      <c r="D12" s="2">
        <v>79.156017088594297</v>
      </c>
      <c r="G12" s="1">
        <v>8</v>
      </c>
      <c r="H12" s="2">
        <v>123.5</v>
      </c>
      <c r="I12" s="2">
        <v>129.32285051999901</v>
      </c>
      <c r="L12" s="1">
        <v>8</v>
      </c>
      <c r="M12" s="2">
        <v>297.36842105263099</v>
      </c>
      <c r="N12" s="2">
        <v>128.041808364638</v>
      </c>
    </row>
    <row r="13" spans="2:14" x14ac:dyDescent="0.25">
      <c r="B13" s="1">
        <v>9</v>
      </c>
      <c r="C13" s="2">
        <v>14.0506329113924</v>
      </c>
      <c r="D13" s="2">
        <v>80.190640027471105</v>
      </c>
      <c r="G13" s="1">
        <v>9</v>
      </c>
      <c r="H13" s="2">
        <v>124</v>
      </c>
      <c r="I13" s="2">
        <v>131.01109419818599</v>
      </c>
      <c r="L13" s="1">
        <v>9</v>
      </c>
      <c r="M13" s="2">
        <v>298.42105263157902</v>
      </c>
      <c r="N13" s="2">
        <v>131.86771820138401</v>
      </c>
    </row>
    <row r="14" spans="2:14" x14ac:dyDescent="0.25">
      <c r="B14" s="1">
        <v>10</v>
      </c>
      <c r="C14" s="2">
        <v>14.5569620253164</v>
      </c>
      <c r="D14" s="2">
        <v>81.172218748405697</v>
      </c>
      <c r="G14" s="1">
        <v>10</v>
      </c>
      <c r="H14" s="2">
        <v>124.5</v>
      </c>
      <c r="I14" s="2">
        <v>132.32883671464199</v>
      </c>
      <c r="L14" s="1">
        <v>10</v>
      </c>
      <c r="M14" s="2">
        <v>299.47368421052602</v>
      </c>
      <c r="N14" s="2">
        <v>136.01330028755399</v>
      </c>
    </row>
    <row r="15" spans="2:14" x14ac:dyDescent="0.25">
      <c r="B15" s="1">
        <v>11</v>
      </c>
      <c r="C15" s="2">
        <v>15.0632911392405</v>
      </c>
      <c r="D15" s="2">
        <v>82.109564113427098</v>
      </c>
      <c r="G15" s="1">
        <v>11</v>
      </c>
      <c r="H15" s="2">
        <v>125</v>
      </c>
      <c r="I15" s="2">
        <v>133.35917859296001</v>
      </c>
      <c r="L15" s="1">
        <v>11</v>
      </c>
      <c r="M15" s="2">
        <v>300.52631578947302</v>
      </c>
      <c r="N15" s="2">
        <v>137.64804132780901</v>
      </c>
    </row>
    <row r="16" spans="2:14" x14ac:dyDescent="0.25">
      <c r="B16" s="1">
        <v>12</v>
      </c>
      <c r="C16" s="2">
        <v>15.5696202531645</v>
      </c>
      <c r="D16" s="2">
        <v>83.009410615174403</v>
      </c>
      <c r="G16" s="1">
        <v>12</v>
      </c>
      <c r="H16" s="2">
        <v>125.5</v>
      </c>
      <c r="I16" s="2">
        <v>134.19402204221501</v>
      </c>
      <c r="L16" s="1">
        <v>12</v>
      </c>
      <c r="M16" s="2">
        <v>301.57894736842098</v>
      </c>
      <c r="N16" s="2">
        <v>139.65128718088499</v>
      </c>
    </row>
    <row r="17" spans="2:14" x14ac:dyDescent="0.25">
      <c r="B17" s="1">
        <v>13</v>
      </c>
      <c r="C17" s="2">
        <v>16.075949367088601</v>
      </c>
      <c r="D17" s="2">
        <v>83.876928465980995</v>
      </c>
      <c r="G17" s="1">
        <v>13</v>
      </c>
      <c r="H17" s="2">
        <v>126</v>
      </c>
      <c r="I17" s="2">
        <v>134.91142389213701</v>
      </c>
      <c r="L17" s="1">
        <v>13</v>
      </c>
      <c r="M17" s="2">
        <v>302.63157894736798</v>
      </c>
      <c r="N17" s="2">
        <v>141.95656932799699</v>
      </c>
    </row>
    <row r="18" spans="2:14" x14ac:dyDescent="0.25">
      <c r="B18" s="1">
        <v>14</v>
      </c>
      <c r="C18" s="2">
        <v>16.582278481012601</v>
      </c>
      <c r="D18" s="2">
        <v>84.716114033943001</v>
      </c>
      <c r="G18" s="1">
        <v>14</v>
      </c>
      <c r="H18" s="2">
        <v>126.5</v>
      </c>
      <c r="I18" s="2">
        <v>135.569222240979</v>
      </c>
      <c r="L18" s="1">
        <v>14</v>
      </c>
      <c r="M18" s="2">
        <v>303.68421052631498</v>
      </c>
      <c r="N18" s="2">
        <v>144.41160534760201</v>
      </c>
    </row>
    <row r="19" spans="2:14" x14ac:dyDescent="0.25">
      <c r="B19" s="1">
        <v>15</v>
      </c>
      <c r="C19" s="2">
        <v>17.0886075949367</v>
      </c>
      <c r="D19" s="2">
        <v>85.530088059118299</v>
      </c>
      <c r="G19" s="1">
        <v>15</v>
      </c>
      <c r="H19" s="2">
        <v>127</v>
      </c>
      <c r="I19" s="2">
        <v>136.20627848116899</v>
      </c>
      <c r="L19" s="1">
        <v>15</v>
      </c>
      <c r="M19" s="2">
        <v>304.73684210526301</v>
      </c>
      <c r="N19" s="2">
        <v>146.81973334545199</v>
      </c>
    </row>
    <row r="20" spans="2:14" x14ac:dyDescent="0.25">
      <c r="B20" s="1">
        <v>16</v>
      </c>
      <c r="C20" s="2">
        <v>17.5949367088607</v>
      </c>
      <c r="D20" s="2">
        <v>86.321320268260905</v>
      </c>
      <c r="G20" s="1">
        <v>16</v>
      </c>
      <c r="H20" s="2">
        <v>127.5</v>
      </c>
      <c r="I20" s="2">
        <v>136.84587136155</v>
      </c>
      <c r="L20" s="1">
        <v>16</v>
      </c>
      <c r="M20" s="2">
        <v>305.78947368421001</v>
      </c>
      <c r="N20" s="2">
        <v>149.00357514788899</v>
      </c>
    </row>
    <row r="21" spans="2:14" x14ac:dyDescent="0.25">
      <c r="B21" s="1">
        <v>17</v>
      </c>
      <c r="C21" s="2">
        <v>18.1012658227848</v>
      </c>
      <c r="D21" s="2">
        <v>87.091796215249701</v>
      </c>
      <c r="G21" s="1">
        <v>17</v>
      </c>
      <c r="H21" s="2">
        <v>128</v>
      </c>
      <c r="I21" s="2">
        <v>137.49907304850601</v>
      </c>
      <c r="L21" s="1">
        <v>17</v>
      </c>
      <c r="M21" s="2">
        <v>306.84210526315701</v>
      </c>
      <c r="N21" s="2">
        <v>150.856214355769</v>
      </c>
    </row>
    <row r="22" spans="2:14" x14ac:dyDescent="0.25">
      <c r="B22" s="1">
        <v>18</v>
      </c>
      <c r="C22" s="2">
        <v>18.6075949367088</v>
      </c>
      <c r="D22" s="2">
        <v>87.843139970649901</v>
      </c>
      <c r="G22" s="1">
        <v>18</v>
      </c>
      <c r="H22" s="2">
        <v>128.5</v>
      </c>
      <c r="I22" s="2">
        <v>138.972344866745</v>
      </c>
      <c r="L22" s="1">
        <v>18</v>
      </c>
      <c r="M22" s="2">
        <v>307.89473684210498</v>
      </c>
      <c r="N22" s="2">
        <v>152.35494045014599</v>
      </c>
    </row>
    <row r="23" spans="2:14" x14ac:dyDescent="0.25">
      <c r="B23" s="1">
        <v>19</v>
      </c>
      <c r="C23" s="2">
        <v>19.1139240506329</v>
      </c>
      <c r="D23" s="2">
        <v>88.576703819912396</v>
      </c>
      <c r="G23" s="1">
        <v>19</v>
      </c>
      <c r="H23" s="2">
        <v>129</v>
      </c>
      <c r="I23" s="2">
        <v>139.88858363198599</v>
      </c>
      <c r="L23" s="1">
        <v>19</v>
      </c>
      <c r="M23" s="2">
        <v>308.94736842105198</v>
      </c>
      <c r="N23" s="2">
        <v>153.545538934337</v>
      </c>
    </row>
    <row r="24" spans="2:14" x14ac:dyDescent="0.25">
      <c r="B24" s="1">
        <v>20</v>
      </c>
      <c r="C24" s="2">
        <v>19.6202531645569</v>
      </c>
      <c r="D24" s="2">
        <v>89.293633687957296</v>
      </c>
      <c r="G24" s="1">
        <v>20</v>
      </c>
      <c r="H24" s="2">
        <v>129.5</v>
      </c>
      <c r="I24" s="2">
        <v>140.51798315257099</v>
      </c>
      <c r="L24" s="1">
        <v>20</v>
      </c>
      <c r="M24" s="2">
        <v>310</v>
      </c>
      <c r="N24" s="2">
        <v>154.523278755966</v>
      </c>
    </row>
    <row r="25" spans="2:14" x14ac:dyDescent="0.25">
      <c r="B25" s="1">
        <v>21</v>
      </c>
      <c r="C25" s="2">
        <v>20.126582278480999</v>
      </c>
      <c r="D25" s="2">
        <v>89.994916881120204</v>
      </c>
      <c r="G25" s="1">
        <v>21</v>
      </c>
      <c r="H25" s="2">
        <v>130</v>
      </c>
      <c r="I25" s="2">
        <v>141.01584775273699</v>
      </c>
      <c r="L25" s="1">
        <v>21</v>
      </c>
      <c r="M25" s="2">
        <v>310</v>
      </c>
      <c r="N25" s="2">
        <v>155.28018864105101</v>
      </c>
    </row>
    <row r="26" spans="2:14" x14ac:dyDescent="0.25">
      <c r="B26" s="1">
        <v>22</v>
      </c>
      <c r="C26" s="2">
        <v>20.632911392404999</v>
      </c>
      <c r="D26" s="2">
        <v>90.681417037002305</v>
      </c>
      <c r="G26" s="1">
        <v>22</v>
      </c>
      <c r="H26" s="2">
        <v>130.5</v>
      </c>
      <c r="I26" s="2">
        <v>141.466658472668</v>
      </c>
      <c r="L26" s="1" t="s">
        <v>16</v>
      </c>
      <c r="M26" s="2">
        <f>SUM(M4:M25)/22</f>
        <v>299.99999999999977</v>
      </c>
      <c r="N26" s="2">
        <f>SUM(N4:N25)/22</f>
        <v>135.76383697268341</v>
      </c>
    </row>
    <row r="27" spans="2:14" x14ac:dyDescent="0.25">
      <c r="B27" s="1">
        <v>23</v>
      </c>
      <c r="C27" s="2">
        <v>21.139240506329099</v>
      </c>
      <c r="D27" s="2">
        <v>91.353899842991694</v>
      </c>
      <c r="G27" s="1">
        <v>23</v>
      </c>
      <c r="H27" s="2">
        <v>131</v>
      </c>
      <c r="I27" s="2">
        <v>141.91553605017299</v>
      </c>
    </row>
    <row r="28" spans="2:14" x14ac:dyDescent="0.25">
      <c r="B28" s="1">
        <v>24</v>
      </c>
      <c r="C28" s="2">
        <v>21.645569620253099</v>
      </c>
      <c r="D28" s="2">
        <v>92.013052096350293</v>
      </c>
      <c r="G28" s="1">
        <v>24</v>
      </c>
      <c r="H28" s="2">
        <v>131.5</v>
      </c>
      <c r="I28" s="2">
        <v>142.386556102219</v>
      </c>
      <c r="L28" s="3" t="s">
        <v>18</v>
      </c>
      <c r="M28" t="s">
        <v>17</v>
      </c>
      <c r="N28" t="s">
        <v>19</v>
      </c>
    </row>
    <row r="29" spans="2:14" x14ac:dyDescent="0.25">
      <c r="B29" s="1">
        <v>25</v>
      </c>
      <c r="C29" s="2">
        <v>22.151898734177198</v>
      </c>
      <c r="D29" s="2">
        <v>92.659495952462805</v>
      </c>
      <c r="G29" s="1">
        <v>25</v>
      </c>
      <c r="H29" s="2">
        <v>132</v>
      </c>
      <c r="I29" s="2">
        <v>142.892291709364</v>
      </c>
      <c r="M29" s="1">
        <v>0</v>
      </c>
      <c r="N29" s="1">
        <v>0.19378593080446099</v>
      </c>
    </row>
    <row r="30" spans="2:14" x14ac:dyDescent="0.25">
      <c r="B30" s="1">
        <v>26</v>
      </c>
      <c r="C30" s="2">
        <v>22.658227848101198</v>
      </c>
      <c r="D30" s="2">
        <v>93.293799700136603</v>
      </c>
      <c r="G30" s="1">
        <v>26</v>
      </c>
      <c r="H30" s="2">
        <v>132.5</v>
      </c>
      <c r="I30" s="2">
        <v>143.43842076043501</v>
      </c>
      <c r="M30" t="s">
        <v>20</v>
      </c>
      <c r="N30" t="s">
        <v>21</v>
      </c>
    </row>
    <row r="31" spans="2:14" x14ac:dyDescent="0.25">
      <c r="B31" s="1">
        <v>27</v>
      </c>
      <c r="C31" s="2">
        <v>23.164556962025301</v>
      </c>
      <c r="D31" s="2">
        <v>93.916486007526899</v>
      </c>
      <c r="G31" s="1">
        <v>27</v>
      </c>
      <c r="H31" s="2">
        <v>133</v>
      </c>
      <c r="I31" s="2">
        <v>144.02580383849599</v>
      </c>
      <c r="M31" s="1">
        <v>0</v>
      </c>
      <c r="N31" s="1">
        <v>1</v>
      </c>
    </row>
    <row r="32" spans="2:14" x14ac:dyDescent="0.25">
      <c r="B32" s="1">
        <v>28</v>
      </c>
      <c r="C32" s="2">
        <v>23.670886075949301</v>
      </c>
      <c r="D32" s="2">
        <v>94.528038322727298</v>
      </c>
      <c r="G32" s="1">
        <v>28</v>
      </c>
      <c r="H32" s="2">
        <v>133.5</v>
      </c>
      <c r="I32" s="2">
        <v>144.651417495467</v>
      </c>
      <c r="L32" s="71" t="s">
        <v>22</v>
      </c>
      <c r="M32" s="71"/>
      <c r="N32" s="1">
        <f>M29*M31+N29*N31</f>
        <v>0.19378593080446099</v>
      </c>
    </row>
    <row r="33" spans="2:14" x14ac:dyDescent="0.25">
      <c r="B33" s="1">
        <v>29</v>
      </c>
      <c r="C33" s="2">
        <v>24.177215189873401</v>
      </c>
      <c r="D33" s="2">
        <v>95.128905912636199</v>
      </c>
      <c r="G33" s="1">
        <v>29</v>
      </c>
      <c r="H33" s="2">
        <v>134</v>
      </c>
      <c r="I33" s="2">
        <v>145.308939131767</v>
      </c>
    </row>
    <row r="34" spans="2:14" x14ac:dyDescent="0.25">
      <c r="B34" s="1">
        <v>30</v>
      </c>
      <c r="C34" s="2">
        <v>24.683544303797401</v>
      </c>
      <c r="D34" s="2">
        <v>95.719507905303502</v>
      </c>
      <c r="G34" s="1">
        <v>30</v>
      </c>
      <c r="H34" s="2">
        <v>134.5</v>
      </c>
      <c r="I34" s="2">
        <v>145.989442504674</v>
      </c>
      <c r="L34" s="71" t="s">
        <v>41</v>
      </c>
      <c r="M34" s="71"/>
    </row>
    <row r="35" spans="2:14" x14ac:dyDescent="0.25">
      <c r="B35" s="1">
        <v>31</v>
      </c>
      <c r="C35" s="2">
        <v>25.1898734177215</v>
      </c>
      <c r="D35" s="2">
        <v>96.300236573048196</v>
      </c>
      <c r="G35" s="1">
        <v>31</v>
      </c>
      <c r="H35" s="2">
        <v>135</v>
      </c>
      <c r="I35" s="2">
        <v>146.682446171495</v>
      </c>
      <c r="L35" t="s">
        <v>23</v>
      </c>
      <c r="M35" s="1">
        <v>0.42820480547321299</v>
      </c>
    </row>
    <row r="36" spans="2:14" x14ac:dyDescent="0.25">
      <c r="B36" s="1">
        <v>32</v>
      </c>
      <c r="C36" s="2">
        <v>25.6962025316455</v>
      </c>
      <c r="D36" s="2">
        <v>96.871460050767595</v>
      </c>
      <c r="G36" s="1">
        <v>32</v>
      </c>
      <c r="H36" s="2">
        <v>135.5</v>
      </c>
      <c r="I36" s="2">
        <v>147.377406457885</v>
      </c>
      <c r="L36" t="s">
        <v>24</v>
      </c>
      <c r="M36" s="1">
        <v>456.719198603113</v>
      </c>
    </row>
    <row r="37" spans="2:14" x14ac:dyDescent="0.25">
      <c r="B37" s="1">
        <v>33</v>
      </c>
      <c r="C37" s="2">
        <v>26.2025316455696</v>
      </c>
      <c r="D37" s="2">
        <v>97.433524619601499</v>
      </c>
      <c r="G37" s="1">
        <v>33</v>
      </c>
      <c r="H37" s="2">
        <v>136</v>
      </c>
      <c r="I37" s="2">
        <v>148.06566573396</v>
      </c>
      <c r="L37" t="s">
        <v>25</v>
      </c>
      <c r="M37" s="1">
        <v>0.334176174223906</v>
      </c>
    </row>
    <row r="38" spans="2:14" x14ac:dyDescent="0.25">
      <c r="B38" s="1">
        <v>34</v>
      </c>
      <c r="C38" s="2">
        <v>26.7088607594936</v>
      </c>
      <c r="D38" s="2">
        <v>97.986756651959695</v>
      </c>
      <c r="G38" s="1">
        <v>34</v>
      </c>
      <c r="H38" s="2">
        <v>136.5</v>
      </c>
      <c r="I38" s="2">
        <v>148.742896377959</v>
      </c>
      <c r="L38" t="s">
        <v>26</v>
      </c>
      <c r="M38" s="1">
        <v>1.566693109532</v>
      </c>
      <c r="N38" t="s">
        <v>35</v>
      </c>
    </row>
    <row r="39" spans="2:14" x14ac:dyDescent="0.25">
      <c r="B39" s="1">
        <v>35</v>
      </c>
      <c r="C39" s="2">
        <v>27.2151898734177</v>
      </c>
      <c r="D39" s="2">
        <v>98.5314642909714</v>
      </c>
      <c r="G39" s="1">
        <v>35</v>
      </c>
      <c r="H39" s="2">
        <v>137</v>
      </c>
      <c r="I39" s="2">
        <v>149.41224391207999</v>
      </c>
      <c r="L39" t="s">
        <v>27</v>
      </c>
      <c r="M39" s="1">
        <v>55.902810015465299</v>
      </c>
    </row>
    <row r="40" spans="2:14" x14ac:dyDescent="0.25">
      <c r="B40" s="1">
        <v>36</v>
      </c>
      <c r="C40" s="2">
        <v>27.7215189873417</v>
      </c>
      <c r="D40" s="2">
        <v>99.067938918987394</v>
      </c>
      <c r="G40" s="1">
        <v>36</v>
      </c>
      <c r="H40" s="2">
        <v>137.5</v>
      </c>
      <c r="I40" s="2">
        <v>150.088678666319</v>
      </c>
      <c r="L40" t="s">
        <v>28</v>
      </c>
      <c r="M40" s="1">
        <v>0.78149624889925096</v>
      </c>
      <c r="N40" t="s">
        <v>34</v>
      </c>
    </row>
    <row r="41" spans="2:14" x14ac:dyDescent="0.25">
      <c r="B41" s="1">
        <v>37</v>
      </c>
      <c r="C41" s="2">
        <v>28.227848101265799</v>
      </c>
      <c r="D41" s="2">
        <v>99.596456450634506</v>
      </c>
      <c r="G41" s="1">
        <v>37</v>
      </c>
      <c r="H41" s="2">
        <v>138</v>
      </c>
      <c r="I41" s="2">
        <v>150.80542700933799</v>
      </c>
      <c r="L41" t="s">
        <v>29</v>
      </c>
      <c r="M41" s="1">
        <v>142.14547391769</v>
      </c>
    </row>
    <row r="42" spans="2:14" x14ac:dyDescent="0.25">
      <c r="B42" s="1">
        <v>38</v>
      </c>
      <c r="C42" s="2">
        <v>28.734177215189799</v>
      </c>
      <c r="D42" s="2">
        <v>100.117278486099</v>
      </c>
      <c r="G42" s="1">
        <v>38</v>
      </c>
      <c r="H42" s="2">
        <v>138</v>
      </c>
      <c r="I42" s="2">
        <v>148</v>
      </c>
      <c r="L42" t="s">
        <v>30</v>
      </c>
      <c r="M42" s="1">
        <v>59.622384739944003</v>
      </c>
    </row>
    <row r="43" spans="2:14" x14ac:dyDescent="0.25">
      <c r="B43" s="1">
        <v>39</v>
      </c>
      <c r="C43" s="2">
        <v>29.240506329113899</v>
      </c>
      <c r="D43" s="2">
        <v>100.630664227406</v>
      </c>
      <c r="G43" s="1" t="s">
        <v>16</v>
      </c>
      <c r="H43" s="2">
        <f>SUM(H4:H42)/39</f>
        <v>129</v>
      </c>
      <c r="I43" s="2">
        <f>SUM(I4:I42)/39</f>
        <v>135.9477124699365</v>
      </c>
      <c r="L43" t="s">
        <v>31</v>
      </c>
      <c r="M43" s="1">
        <v>296.85403995572102</v>
      </c>
    </row>
    <row r="44" spans="2:14" x14ac:dyDescent="0.25">
      <c r="B44" s="1">
        <v>40</v>
      </c>
      <c r="C44" s="2">
        <v>29.746835443037899</v>
      </c>
      <c r="D44" s="2">
        <v>101.914435914442</v>
      </c>
      <c r="L44" t="s">
        <v>32</v>
      </c>
      <c r="M44" s="1">
        <v>71.841343997289101</v>
      </c>
    </row>
    <row r="45" spans="2:14" x14ac:dyDescent="0.25">
      <c r="B45" s="1">
        <v>41</v>
      </c>
      <c r="C45" s="2">
        <v>30.253164556961998</v>
      </c>
      <c r="D45" s="2">
        <v>102.737834050054</v>
      </c>
      <c r="G45" s="3" t="s">
        <v>18</v>
      </c>
      <c r="H45" t="s">
        <v>17</v>
      </c>
      <c r="I45" t="s">
        <v>19</v>
      </c>
      <c r="M45" s="4" t="s">
        <v>353</v>
      </c>
    </row>
    <row r="46" spans="2:14" x14ac:dyDescent="0.25">
      <c r="B46" s="1">
        <v>42</v>
      </c>
      <c r="C46" s="2">
        <v>30.759493670885998</v>
      </c>
      <c r="D46" s="2">
        <v>103.415793572894</v>
      </c>
      <c r="H46" s="1">
        <v>8.4473305282766007E-3</v>
      </c>
      <c r="I46" s="1">
        <v>0.21316963884128601</v>
      </c>
      <c r="M46" s="5" t="s">
        <v>36</v>
      </c>
      <c r="N46">
        <f>M38/M40</f>
        <v>2.0047352904619959</v>
      </c>
    </row>
    <row r="47" spans="2:14" x14ac:dyDescent="0.25">
      <c r="B47" s="1">
        <v>43</v>
      </c>
      <c r="C47" s="2">
        <v>31.265822784810101</v>
      </c>
      <c r="D47" s="2">
        <v>104.035023557801</v>
      </c>
      <c r="H47" t="s">
        <v>20</v>
      </c>
      <c r="I47" t="s">
        <v>21</v>
      </c>
    </row>
    <row r="48" spans="2:14" x14ac:dyDescent="0.25">
      <c r="B48" s="1">
        <v>44</v>
      </c>
      <c r="C48" s="2">
        <v>31.772151898734101</v>
      </c>
      <c r="D48" s="2">
        <v>104.625924462931</v>
      </c>
      <c r="H48" s="1">
        <v>9.1129014037701003E-2</v>
      </c>
      <c r="I48" s="1">
        <v>0.90887098596229898</v>
      </c>
      <c r="L48" s="6" t="s">
        <v>39</v>
      </c>
      <c r="M48" s="7" t="s">
        <v>40</v>
      </c>
      <c r="N48" s="8">
        <f>51-32.5*LOG10(N46*N32)</f>
        <v>64.345173435952347</v>
      </c>
    </row>
    <row r="49" spans="2:9" x14ac:dyDescent="0.25">
      <c r="B49" s="1">
        <v>45</v>
      </c>
      <c r="C49" s="2">
        <v>32.278481012658197</v>
      </c>
      <c r="D49" s="2">
        <v>105.200457383634</v>
      </c>
      <c r="G49" s="71" t="s">
        <v>22</v>
      </c>
      <c r="H49" s="71"/>
      <c r="I49" s="1">
        <f>H46*H48+I46*I48</f>
        <v>0.19451349673319923</v>
      </c>
    </row>
    <row r="50" spans="2:9" x14ac:dyDescent="0.25">
      <c r="B50" s="1">
        <v>46</v>
      </c>
      <c r="C50" s="2">
        <v>32.784810126582201</v>
      </c>
      <c r="D50" s="2">
        <v>105.76360063044901</v>
      </c>
    </row>
    <row r="51" spans="2:9" x14ac:dyDescent="0.25">
      <c r="B51" s="1">
        <v>47</v>
      </c>
      <c r="C51" s="2">
        <v>33.291139240506297</v>
      </c>
      <c r="D51" s="2">
        <v>106.317431812271</v>
      </c>
      <c r="G51" s="71" t="s">
        <v>33</v>
      </c>
      <c r="H51" s="71"/>
    </row>
    <row r="52" spans="2:9" x14ac:dyDescent="0.25">
      <c r="B52" s="1">
        <v>48</v>
      </c>
      <c r="C52" s="2">
        <v>33.7974683544304</v>
      </c>
      <c r="D52" s="2">
        <v>106.862772598693</v>
      </c>
      <c r="G52" t="s">
        <v>23</v>
      </c>
      <c r="H52" s="1">
        <v>0.86613120106535602</v>
      </c>
      <c r="I52" t="s">
        <v>34</v>
      </c>
    </row>
    <row r="53" spans="2:9" x14ac:dyDescent="0.25">
      <c r="B53" s="1">
        <v>49</v>
      </c>
      <c r="C53" s="2">
        <v>34.303797468354396</v>
      </c>
      <c r="D53" s="2">
        <v>107.39990089058701</v>
      </c>
      <c r="G53" t="s">
        <v>24</v>
      </c>
      <c r="H53" s="1">
        <v>1253.2847106367999</v>
      </c>
    </row>
    <row r="54" spans="2:9" x14ac:dyDescent="0.25">
      <c r="B54" s="1">
        <v>50</v>
      </c>
      <c r="C54" s="2">
        <v>34.8101265822785</v>
      </c>
      <c r="D54" s="2">
        <v>107.928870715163</v>
      </c>
      <c r="G54" t="s">
        <v>25</v>
      </c>
      <c r="H54" s="1">
        <v>0.673615710933821</v>
      </c>
    </row>
    <row r="55" spans="2:9" x14ac:dyDescent="0.25">
      <c r="B55" s="1">
        <v>51</v>
      </c>
      <c r="C55" s="2">
        <v>35.316455696202503</v>
      </c>
      <c r="D55" s="2">
        <v>108.449658376077</v>
      </c>
      <c r="G55" t="s">
        <v>26</v>
      </c>
      <c r="H55" s="1">
        <v>3.4334947358532002</v>
      </c>
    </row>
    <row r="56" spans="2:9" x14ac:dyDescent="0.25">
      <c r="B56" s="1">
        <v>52</v>
      </c>
      <c r="C56" s="2">
        <v>35.822784810126599</v>
      </c>
      <c r="D56" s="2">
        <v>108.96222940719601</v>
      </c>
      <c r="G56" t="s">
        <v>27</v>
      </c>
      <c r="H56" s="1">
        <v>141.98073062115401</v>
      </c>
    </row>
    <row r="57" spans="2:9" x14ac:dyDescent="0.25">
      <c r="B57" s="1">
        <v>53</v>
      </c>
      <c r="C57" s="2">
        <v>36.329113924050603</v>
      </c>
      <c r="D57" s="2">
        <v>109.46656866301601</v>
      </c>
      <c r="G57" t="s">
        <v>28</v>
      </c>
      <c r="H57" s="1">
        <v>1.6431121317567401</v>
      </c>
      <c r="I57" t="s">
        <v>35</v>
      </c>
    </row>
    <row r="58" spans="2:9" x14ac:dyDescent="0.25">
      <c r="B58" s="1">
        <v>54</v>
      </c>
      <c r="C58" s="2">
        <v>36.835443037974699</v>
      </c>
      <c r="D58" s="2">
        <v>109.96269286022</v>
      </c>
      <c r="G58" t="s">
        <v>29</v>
      </c>
      <c r="H58" s="1">
        <v>345.09172227690499</v>
      </c>
    </row>
    <row r="59" spans="2:9" x14ac:dyDescent="0.25">
      <c r="B59" s="1">
        <v>55</v>
      </c>
      <c r="C59" s="2">
        <v>37.341772151898702</v>
      </c>
      <c r="D59" s="2">
        <v>110.450654525537</v>
      </c>
      <c r="G59" t="s">
        <v>30</v>
      </c>
      <c r="H59" s="1">
        <v>150.92570329693899</v>
      </c>
    </row>
    <row r="60" spans="2:9" x14ac:dyDescent="0.25">
      <c r="B60" s="1">
        <v>56</v>
      </c>
      <c r="C60" s="2">
        <v>37.848101265822798</v>
      </c>
      <c r="D60" s="2">
        <v>110.930541597719</v>
      </c>
      <c r="G60" t="s">
        <v>31</v>
      </c>
      <c r="H60" s="1">
        <v>765.42264101657804</v>
      </c>
    </row>
    <row r="61" spans="2:9" x14ac:dyDescent="0.25">
      <c r="B61" s="1">
        <v>57</v>
      </c>
      <c r="C61" s="2">
        <v>38.354430379746802</v>
      </c>
      <c r="D61" s="2">
        <v>111.402474776822</v>
      </c>
      <c r="G61" t="s">
        <v>32</v>
      </c>
      <c r="H61" s="1">
        <v>186.43553431931599</v>
      </c>
    </row>
    <row r="62" spans="2:9" x14ac:dyDescent="0.25">
      <c r="B62" s="1">
        <v>58</v>
      </c>
      <c r="C62" s="2">
        <v>38.860759493670898</v>
      </c>
      <c r="D62" s="2">
        <v>111.86660371503</v>
      </c>
      <c r="H62" s="4" t="s">
        <v>353</v>
      </c>
    </row>
    <row r="63" spans="2:9" x14ac:dyDescent="0.25">
      <c r="B63" s="1">
        <v>59</v>
      </c>
      <c r="C63" s="2">
        <v>39.367088607594901</v>
      </c>
      <c r="D63" s="2">
        <v>112.32310266703</v>
      </c>
      <c r="H63" s="5" t="s">
        <v>36</v>
      </c>
      <c r="I63" s="1">
        <f>H57/H52</f>
        <v>1.8970707090746579</v>
      </c>
    </row>
    <row r="64" spans="2:9" x14ac:dyDescent="0.25">
      <c r="B64" s="1">
        <v>60</v>
      </c>
      <c r="C64" s="2">
        <v>39.873417721518997</v>
      </c>
      <c r="D64" s="2">
        <v>112.772165977613</v>
      </c>
    </row>
    <row r="65" spans="2:9" x14ac:dyDescent="0.25">
      <c r="B65" s="1">
        <v>61</v>
      </c>
      <c r="C65" s="2">
        <v>40.379746835443001</v>
      </c>
      <c r="D65" s="2">
        <v>113.21400365130999</v>
      </c>
      <c r="G65" s="6" t="s">
        <v>39</v>
      </c>
      <c r="H65" s="7" t="s">
        <v>40</v>
      </c>
      <c r="I65" s="8">
        <f>51-32.5*LOG10(I63*I49)</f>
        <v>65.071419059680508</v>
      </c>
    </row>
    <row r="66" spans="2:9" x14ac:dyDescent="0.25">
      <c r="B66" s="1">
        <v>62</v>
      </c>
      <c r="C66" s="2">
        <v>40.886075949367097</v>
      </c>
      <c r="D66" s="2">
        <v>113.648837166169</v>
      </c>
    </row>
    <row r="67" spans="2:9" x14ac:dyDescent="0.25">
      <c r="B67" s="1">
        <v>63</v>
      </c>
      <c r="C67" s="2">
        <v>41.3924050632912</v>
      </c>
      <c r="D67" s="2">
        <v>114.076895636415</v>
      </c>
    </row>
    <row r="68" spans="2:9" x14ac:dyDescent="0.25">
      <c r="B68" s="1">
        <v>64</v>
      </c>
      <c r="C68" s="2">
        <v>41.898734177215204</v>
      </c>
      <c r="D68" s="2">
        <v>114.498412386087</v>
      </c>
      <c r="G68" t="s">
        <v>12</v>
      </c>
      <c r="H68" s="13" t="s">
        <v>82</v>
      </c>
      <c r="I68" s="13" t="s">
        <v>83</v>
      </c>
    </row>
    <row r="69" spans="2:9" x14ac:dyDescent="0.25">
      <c r="B69" s="1">
        <v>65</v>
      </c>
      <c r="C69" s="2">
        <v>42.4050632911393</v>
      </c>
      <c r="D69" s="2">
        <v>114.913621962954</v>
      </c>
    </row>
    <row r="70" spans="2:9" x14ac:dyDescent="0.25">
      <c r="B70" s="1">
        <v>66</v>
      </c>
      <c r="C70" s="2">
        <v>42.911392405063303</v>
      </c>
      <c r="D70" s="2">
        <v>115.32275759717299</v>
      </c>
    </row>
    <row r="71" spans="2:9" x14ac:dyDescent="0.25">
      <c r="B71" s="1">
        <v>67</v>
      </c>
      <c r="C71" s="2">
        <v>43.417721518987399</v>
      </c>
      <c r="D71" s="2">
        <v>115.726049090689</v>
      </c>
    </row>
    <row r="72" spans="2:9" x14ac:dyDescent="0.25">
      <c r="B72" s="1">
        <v>68</v>
      </c>
      <c r="C72" s="2">
        <v>43.924050632911403</v>
      </c>
      <c r="D72" s="2">
        <v>116.123721110487</v>
      </c>
    </row>
    <row r="73" spans="2:9" x14ac:dyDescent="0.25">
      <c r="B73" s="1">
        <v>69</v>
      </c>
      <c r="C73" s="2">
        <v>44.430379746835499</v>
      </c>
      <c r="D73" s="2">
        <v>116.51599185050399</v>
      </c>
    </row>
    <row r="74" spans="2:9" x14ac:dyDescent="0.25">
      <c r="B74" s="1">
        <v>70</v>
      </c>
      <c r="C74" s="2">
        <v>44.936708860759502</v>
      </c>
      <c r="D74" s="2">
        <v>116.903072022369</v>
      </c>
    </row>
    <row r="75" spans="2:9" x14ac:dyDescent="0.25">
      <c r="B75" s="1">
        <v>71</v>
      </c>
      <c r="C75" s="2">
        <v>45.443037974683598</v>
      </c>
      <c r="D75" s="2">
        <v>117.285164133439</v>
      </c>
      <c r="G75" s="1"/>
      <c r="H75" s="2"/>
      <c r="I75" s="2"/>
    </row>
    <row r="76" spans="2:9" x14ac:dyDescent="0.25">
      <c r="B76" s="1">
        <v>72</v>
      </c>
      <c r="C76" s="2">
        <v>45.949367088607602</v>
      </c>
      <c r="D76" s="2">
        <v>117.66246201105101</v>
      </c>
      <c r="G76" s="1"/>
      <c r="H76" s="2"/>
      <c r="I76" s="2"/>
    </row>
    <row r="77" spans="2:9" x14ac:dyDescent="0.25">
      <c r="B77" s="1">
        <v>73</v>
      </c>
      <c r="C77" s="2">
        <v>46.455696202531698</v>
      </c>
      <c r="D77" s="2">
        <v>118.035150533836</v>
      </c>
      <c r="G77" s="1"/>
      <c r="H77" s="2"/>
      <c r="I77" s="2"/>
    </row>
    <row r="78" spans="2:9" x14ac:dyDescent="0.25">
      <c r="B78" s="1">
        <v>74</v>
      </c>
      <c r="C78" s="2">
        <v>46.962025316455701</v>
      </c>
      <c r="D78" s="2">
        <v>118.40340553394201</v>
      </c>
      <c r="G78" s="1"/>
      <c r="H78" s="2"/>
      <c r="I78" s="2"/>
    </row>
    <row r="79" spans="2:9" x14ac:dyDescent="0.25">
      <c r="B79" s="1">
        <v>75</v>
      </c>
      <c r="C79" s="2">
        <v>47.468354430379797</v>
      </c>
      <c r="D79" s="2">
        <v>118.76739383750299</v>
      </c>
      <c r="G79" s="1"/>
      <c r="H79" s="2"/>
      <c r="I79" s="2"/>
    </row>
    <row r="80" spans="2:9" x14ac:dyDescent="0.25">
      <c r="B80" s="1">
        <v>76</v>
      </c>
      <c r="C80" s="2">
        <v>47.974683544303801</v>
      </c>
      <c r="D80" s="2">
        <v>119.127273414493</v>
      </c>
      <c r="G80" s="1"/>
      <c r="H80" s="2"/>
      <c r="I80" s="2"/>
    </row>
    <row r="81" spans="2:9" x14ac:dyDescent="0.25">
      <c r="B81" s="1">
        <v>77</v>
      </c>
      <c r="C81" s="2">
        <v>48.481012658227897</v>
      </c>
      <c r="D81" s="2">
        <v>119.483193612894</v>
      </c>
      <c r="G81" s="1"/>
      <c r="H81" s="2"/>
      <c r="I81" s="2"/>
    </row>
    <row r="82" spans="2:9" x14ac:dyDescent="0.25">
      <c r="B82" s="1">
        <v>78</v>
      </c>
      <c r="C82" s="2">
        <v>48.987341772152</v>
      </c>
      <c r="D82" s="2">
        <v>119.835295455764</v>
      </c>
      <c r="G82" s="1"/>
      <c r="H82" s="2"/>
      <c r="I82" s="2"/>
    </row>
    <row r="83" spans="2:9" x14ac:dyDescent="0.25">
      <c r="B83" s="1">
        <v>79</v>
      </c>
      <c r="C83" s="2">
        <v>49.493670886076004</v>
      </c>
      <c r="D83" s="2">
        <v>120.183711983181</v>
      </c>
      <c r="G83" s="1"/>
      <c r="H83" s="2"/>
      <c r="I83" s="2"/>
    </row>
    <row r="84" spans="2:9" x14ac:dyDescent="0.25">
      <c r="B84" s="1">
        <v>80</v>
      </c>
      <c r="C84" s="2">
        <v>50</v>
      </c>
      <c r="D84" s="2">
        <v>120.528568624123</v>
      </c>
      <c r="G84" s="1"/>
      <c r="H84" s="2"/>
      <c r="I84" s="2"/>
    </row>
    <row r="85" spans="2:9" x14ac:dyDescent="0.25">
      <c r="B85" s="1">
        <v>81</v>
      </c>
      <c r="C85" s="2">
        <v>50</v>
      </c>
      <c r="D85" s="2">
        <v>120.53595631730499</v>
      </c>
      <c r="G85" s="1"/>
      <c r="H85" s="2"/>
      <c r="I85" s="2"/>
    </row>
    <row r="86" spans="2:9" x14ac:dyDescent="0.25">
      <c r="B86" s="1" t="s">
        <v>16</v>
      </c>
      <c r="C86" s="2">
        <f>SUM(C4:C85)/82</f>
        <v>29.999999999999989</v>
      </c>
      <c r="D86" s="2">
        <f>SUM(D4:D85)/82</f>
        <v>100.11178536076011</v>
      </c>
    </row>
    <row r="88" spans="2:9" x14ac:dyDescent="0.25">
      <c r="B88" s="3" t="s">
        <v>18</v>
      </c>
      <c r="C88" t="s">
        <v>17</v>
      </c>
      <c r="D88" t="s">
        <v>19</v>
      </c>
    </row>
    <row r="89" spans="2:9" x14ac:dyDescent="0.25">
      <c r="C89" s="1">
        <v>8.2180712399870601E-3</v>
      </c>
      <c r="D89" s="1">
        <v>0.29930524325020702</v>
      </c>
    </row>
    <row r="90" spans="2:9" x14ac:dyDescent="0.25">
      <c r="C90" t="s">
        <v>20</v>
      </c>
      <c r="D90" t="s">
        <v>21</v>
      </c>
    </row>
    <row r="91" spans="2:9" x14ac:dyDescent="0.25">
      <c r="C91" s="1">
        <v>1.5927390473706102E-2</v>
      </c>
      <c r="D91" s="1">
        <v>0.98407260952629405</v>
      </c>
    </row>
    <row r="92" spans="2:9" x14ac:dyDescent="0.25">
      <c r="B92" s="71" t="s">
        <v>22</v>
      </c>
      <c r="C92" s="71"/>
      <c r="D92" s="1">
        <f>C89*C91+D89*D91</f>
        <v>0.29466898419971349</v>
      </c>
    </row>
    <row r="94" spans="2:9" x14ac:dyDescent="0.25">
      <c r="B94" s="71" t="s">
        <v>33</v>
      </c>
      <c r="C94" s="71"/>
    </row>
    <row r="95" spans="2:9" x14ac:dyDescent="0.25">
      <c r="B95" t="s">
        <v>23</v>
      </c>
      <c r="C95" s="1">
        <v>0.88374352931701405</v>
      </c>
      <c r="D95" t="s">
        <v>35</v>
      </c>
    </row>
    <row r="96" spans="2:9" x14ac:dyDescent="0.25">
      <c r="B96" t="s">
        <v>24</v>
      </c>
      <c r="C96" s="1">
        <v>4825.7195480066302</v>
      </c>
    </row>
    <row r="97" spans="2:4" x14ac:dyDescent="0.25">
      <c r="B97" t="s">
        <v>25</v>
      </c>
      <c r="C97" s="1">
        <v>0.65274273039292197</v>
      </c>
      <c r="D97" t="s">
        <v>34</v>
      </c>
    </row>
    <row r="98" spans="2:4" x14ac:dyDescent="0.25">
      <c r="B98" t="s">
        <v>26</v>
      </c>
      <c r="C98" s="1">
        <v>4.3929385734969904</v>
      </c>
    </row>
    <row r="99" spans="2:4" x14ac:dyDescent="0.25">
      <c r="B99" t="s">
        <v>27</v>
      </c>
      <c r="C99" s="1">
        <v>355.65152977453499</v>
      </c>
    </row>
    <row r="100" spans="2:4" x14ac:dyDescent="0.25">
      <c r="B100" t="s">
        <v>28</v>
      </c>
      <c r="C100" s="1">
        <v>1.8644229609485801</v>
      </c>
    </row>
    <row r="101" spans="2:4" x14ac:dyDescent="0.25">
      <c r="B101" t="s">
        <v>29</v>
      </c>
      <c r="C101" s="1">
        <v>1016.86582326942</v>
      </c>
    </row>
    <row r="102" spans="2:4" x14ac:dyDescent="0.25">
      <c r="B102" t="s">
        <v>30</v>
      </c>
      <c r="C102" s="1">
        <v>376.24758556699902</v>
      </c>
    </row>
    <row r="103" spans="2:4" x14ac:dyDescent="0.25">
      <c r="B103" t="s">
        <v>31</v>
      </c>
      <c r="C103" s="1">
        <v>2546.7053568135698</v>
      </c>
    </row>
    <row r="104" spans="2:4" x14ac:dyDescent="0.25">
      <c r="B104" t="s">
        <v>32</v>
      </c>
      <c r="C104" s="1">
        <v>466.74177020850198</v>
      </c>
    </row>
    <row r="105" spans="2:4" x14ac:dyDescent="0.25">
      <c r="C105" s="4" t="s">
        <v>353</v>
      </c>
    </row>
    <row r="106" spans="2:4" x14ac:dyDescent="0.25">
      <c r="C106" s="5" t="s">
        <v>36</v>
      </c>
      <c r="D106">
        <f>C95/C97</f>
        <v>1.3538925646633244</v>
      </c>
    </row>
    <row r="108" spans="2:4" x14ac:dyDescent="0.25">
      <c r="B108" s="6" t="s">
        <v>39</v>
      </c>
      <c r="C108" s="7" t="s">
        <v>40</v>
      </c>
      <c r="D108" s="8">
        <f>51-32.5*LOG10(D106*D92)</f>
        <v>63.970144552474139</v>
      </c>
    </row>
    <row r="111" spans="2:4" x14ac:dyDescent="0.25">
      <c r="C111" s="13"/>
      <c r="D111" s="13"/>
    </row>
  </sheetData>
  <mergeCells count="9">
    <mergeCell ref="B94:C94"/>
    <mergeCell ref="G2:I2"/>
    <mergeCell ref="G49:H49"/>
    <mergeCell ref="G51:H51"/>
    <mergeCell ref="L2:N2"/>
    <mergeCell ref="L32:M32"/>
    <mergeCell ref="L34:M34"/>
    <mergeCell ref="B2:D2"/>
    <mergeCell ref="B92:C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J72"/>
  <sheetViews>
    <sheetView topLeftCell="A31" workbookViewId="0">
      <pane xSplit="1" topLeftCell="B1" activePane="topRight" state="frozen"/>
      <selection pane="topRight" activeCell="D74" sqref="D74"/>
    </sheetView>
  </sheetViews>
  <sheetFormatPr defaultColWidth="20" defaultRowHeight="15" x14ac:dyDescent="0.25"/>
  <cols>
    <col min="1" max="1" width="31.85546875" style="12" customWidth="1"/>
    <col min="2" max="16384" width="20" style="1"/>
  </cols>
  <sheetData>
    <row r="2" spans="1:9" x14ac:dyDescent="0.25">
      <c r="A2" s="1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2" t="s">
        <v>9</v>
      </c>
      <c r="B3" s="1">
        <v>226.14813015983299</v>
      </c>
      <c r="C3" s="1">
        <v>110.46448645324899</v>
      </c>
      <c r="D3" s="1">
        <f xml:space="preserve"> (  (56.7342692857687-32.2) - (66.5731183959489-48.9)  ) / LN( (56.7342692857687-32.2) / (66.5731183959489-48.9) )</f>
        <v>20.916476262234212</v>
      </c>
      <c r="E3" s="1">
        <f xml:space="preserve"> (  (133.6-120.528568624123) - (133.6-120.535956317305)  ) / LN( (133.6-120.528568624123) / (133.6-120.535956317305) )</f>
        <v>13.067737181237955</v>
      </c>
      <c r="F3" s="1">
        <f xml:space="preserve"> (  (103.900608400518-32.2) - (110.979460082753-48.9)  ) / LN( (103.900608400518-32.2) / (110.979460082753-48.9) )</f>
        <v>66.774553021307511</v>
      </c>
      <c r="G3" s="1">
        <f xml:space="preserve"> (  (133.6-151.47829990598) - (133.6-150.805427009338)  ) / LN( (133.6-150.805427009338) / (133.6-151.47829990598) )</f>
        <v>17.539712401721818</v>
      </c>
      <c r="H3" s="1">
        <f xml:space="preserve"> (  (116.763010837242-32.2) - (119.153068763392-48.9)  ) / LN( (116.763010837242-32.2) / (119.153068763392-48.9) )</f>
        <v>77.187086135636392</v>
      </c>
      <c r="I3" s="1">
        <f xml:space="preserve"> (  (133.6-155.280188641051) - (133.6-154.523278755966)  ) / LN( (133.6-154.523278755966) / (133.6-155.280188641051) )</f>
        <v>21.299492250256112</v>
      </c>
    </row>
    <row r="4" spans="1:9" x14ac:dyDescent="0.25">
      <c r="A4" s="12" t="s">
        <v>108</v>
      </c>
      <c r="B4" s="1">
        <f>CONVERT(B3, "C", "F") - CONVERT(0, "C", "F")</f>
        <v>407.0666342876994</v>
      </c>
      <c r="C4" s="1">
        <f t="shared" ref="C4:I4" si="0">CONVERT(C3, "C", "F") - CONVERT(0, "C", "F")</f>
        <v>198.83607561584819</v>
      </c>
      <c r="D4" s="1">
        <f t="shared" si="0"/>
        <v>37.649657272021585</v>
      </c>
      <c r="E4" s="1">
        <f t="shared" si="0"/>
        <v>23.521926926228318</v>
      </c>
      <c r="F4" s="1">
        <f t="shared" si="0"/>
        <v>120.19419543835352</v>
      </c>
      <c r="G4" s="1">
        <f t="shared" si="0"/>
        <v>31.571482323099275</v>
      </c>
      <c r="H4" s="1">
        <f t="shared" si="0"/>
        <v>138.93675504414551</v>
      </c>
      <c r="I4" s="1">
        <f t="shared" si="0"/>
        <v>38.339086050460992</v>
      </c>
    </row>
    <row r="5" spans="1:9" x14ac:dyDescent="0.25">
      <c r="A5" s="12" t="s">
        <v>10</v>
      </c>
      <c r="B5" s="1">
        <v>23608902.137058198</v>
      </c>
      <c r="C5" s="1">
        <v>233960154.17254201</v>
      </c>
      <c r="D5" s="1">
        <v>20179703.627586</v>
      </c>
      <c r="E5" s="1">
        <v>22608122.675252698</v>
      </c>
      <c r="F5" s="1">
        <v>2049476.2032613701</v>
      </c>
      <c r="G5" s="1">
        <v>3394162.50403975</v>
      </c>
      <c r="H5" s="1">
        <v>907727.85139153001</v>
      </c>
      <c r="I5" s="1">
        <v>1012160.85937219</v>
      </c>
    </row>
    <row r="6" spans="1:9" x14ac:dyDescent="0.25">
      <c r="A6" s="12" t="s">
        <v>109</v>
      </c>
      <c r="B6" s="1">
        <f>CONVERT(B5*1000, "J", "BTU")</f>
        <v>22376921.63730542</v>
      </c>
      <c r="C6" s="1">
        <f t="shared" ref="C6:I6" si="1">CONVERT(C5*1000, "J", "BTU")</f>
        <v>221751439.59587848</v>
      </c>
      <c r="D6" s="1">
        <f t="shared" si="1"/>
        <v>19126668.581074763</v>
      </c>
      <c r="E6" s="1">
        <f t="shared" si="1"/>
        <v>21428365.729748219</v>
      </c>
      <c r="F6" s="1">
        <f t="shared" si="1"/>
        <v>1942528.6331258623</v>
      </c>
      <c r="G6" s="1">
        <f t="shared" si="1"/>
        <v>3217045.3304543933</v>
      </c>
      <c r="H6" s="1">
        <f t="shared" si="1"/>
        <v>860359.99813411466</v>
      </c>
      <c r="I6" s="1">
        <f t="shared" si="1"/>
        <v>959343.39102400152</v>
      </c>
    </row>
    <row r="7" spans="1:9" x14ac:dyDescent="0.25">
      <c r="A7" s="12" t="s">
        <v>110</v>
      </c>
      <c r="B7" s="1">
        <v>10</v>
      </c>
      <c r="C7" s="1" t="s">
        <v>125</v>
      </c>
      <c r="D7" s="1" t="s">
        <v>123</v>
      </c>
      <c r="E7" s="1" t="s">
        <v>114</v>
      </c>
      <c r="F7" s="1" t="s">
        <v>124</v>
      </c>
      <c r="G7" s="1" t="s">
        <v>114</v>
      </c>
      <c r="H7" s="1" t="s">
        <v>124</v>
      </c>
      <c r="I7" s="1" t="s">
        <v>114</v>
      </c>
    </row>
    <row r="8" spans="1:9" s="7" customFormat="1" x14ac:dyDescent="0.25">
      <c r="A8" s="17" t="s">
        <v>98</v>
      </c>
      <c r="B8" s="7">
        <v>21</v>
      </c>
      <c r="C8" s="7">
        <v>10</v>
      </c>
      <c r="D8" s="7" t="s">
        <v>111</v>
      </c>
      <c r="E8" s="7">
        <v>10</v>
      </c>
      <c r="F8" s="7" t="s">
        <v>111</v>
      </c>
      <c r="G8" s="7">
        <v>10</v>
      </c>
      <c r="H8" s="7" t="s">
        <v>111</v>
      </c>
      <c r="I8" s="7">
        <v>10</v>
      </c>
    </row>
    <row r="9" spans="1:9" s="7" customFormat="1" x14ac:dyDescent="0.25">
      <c r="A9" s="17" t="s">
        <v>112</v>
      </c>
      <c r="B9" s="7">
        <v>21</v>
      </c>
      <c r="C9" s="32" t="s">
        <v>111</v>
      </c>
      <c r="D9" s="7">
        <v>10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</row>
    <row r="10" spans="1:9" s="7" customFormat="1" x14ac:dyDescent="0.25">
      <c r="A10" s="17" t="s">
        <v>113</v>
      </c>
      <c r="B10" s="31">
        <f>B6/(B4*10)</f>
        <v>5497.1151532626609</v>
      </c>
      <c r="C10" s="31">
        <f>C6/(C4*700)</f>
        <v>1593.2107383938203</v>
      </c>
      <c r="D10" s="31">
        <f>D6/(D4*85)</f>
        <v>5976.6714140264758</v>
      </c>
      <c r="E10" s="31">
        <f>E6/(E4*150)</f>
        <v>6073.3022417632919</v>
      </c>
      <c r="F10" s="31">
        <f>F6/(F4*150)</f>
        <v>107.74389595334311</v>
      </c>
      <c r="G10" s="31">
        <f t="shared" ref="G10:I10" si="2">G6/(G4*150)</f>
        <v>679.31459949234886</v>
      </c>
      <c r="H10" s="31">
        <f>H6/(H4*150)</f>
        <v>41.283052271313203</v>
      </c>
      <c r="I10" s="31">
        <f t="shared" si="2"/>
        <v>166.81729445529584</v>
      </c>
    </row>
    <row r="11" spans="1:9" s="7" customFormat="1" x14ac:dyDescent="0.25">
      <c r="A11" s="17" t="s">
        <v>354</v>
      </c>
      <c r="B11" s="7" t="s">
        <v>117</v>
      </c>
      <c r="C11" s="7" t="s">
        <v>117</v>
      </c>
      <c r="D11" s="7" t="s">
        <v>117</v>
      </c>
      <c r="E11" s="7" t="s">
        <v>117</v>
      </c>
      <c r="F11" s="7" t="s">
        <v>117</v>
      </c>
      <c r="G11" s="7" t="s">
        <v>117</v>
      </c>
      <c r="H11" s="7" t="s">
        <v>117</v>
      </c>
      <c r="I11" s="7" t="s">
        <v>117</v>
      </c>
    </row>
    <row r="12" spans="1:9" x14ac:dyDescent="0.25">
      <c r="A12" s="12" t="s">
        <v>118</v>
      </c>
      <c r="B12" s="1">
        <v>0.82399999999999995</v>
      </c>
      <c r="C12" s="1">
        <v>0.82399999999999995</v>
      </c>
      <c r="D12" s="1">
        <v>0.82399999999999995</v>
      </c>
      <c r="E12" s="1">
        <v>0.82399999999999995</v>
      </c>
      <c r="F12" s="1">
        <v>0.82399999999999995</v>
      </c>
      <c r="G12" s="1">
        <v>0.82399999999999995</v>
      </c>
      <c r="H12" s="1">
        <v>0.82399999999999995</v>
      </c>
      <c r="I12" s="1">
        <v>0.82399999999999995</v>
      </c>
    </row>
    <row r="13" spans="1:9" x14ac:dyDescent="0.25">
      <c r="A13" s="12" t="s">
        <v>119</v>
      </c>
      <c r="B13" s="1">
        <v>1.05</v>
      </c>
      <c r="C13" s="1">
        <v>1.05</v>
      </c>
      <c r="D13" s="1">
        <v>1.05</v>
      </c>
      <c r="E13" s="1">
        <v>1.05</v>
      </c>
      <c r="F13" s="1">
        <v>1.05</v>
      </c>
      <c r="G13" s="1">
        <v>1.05</v>
      </c>
      <c r="H13" s="1">
        <v>1.05</v>
      </c>
      <c r="I13" s="1">
        <v>1.05</v>
      </c>
    </row>
    <row r="14" spans="1:9" s="7" customFormat="1" x14ac:dyDescent="0.25">
      <c r="A14" s="22" t="s">
        <v>115</v>
      </c>
      <c r="B14" s="7" t="s">
        <v>120</v>
      </c>
      <c r="C14" s="7" t="s">
        <v>120</v>
      </c>
      <c r="D14" s="7" t="s">
        <v>120</v>
      </c>
      <c r="E14" s="7" t="s">
        <v>120</v>
      </c>
      <c r="F14" s="7" t="s">
        <v>120</v>
      </c>
      <c r="G14" s="7" t="s">
        <v>120</v>
      </c>
      <c r="H14" s="7" t="s">
        <v>120</v>
      </c>
      <c r="I14" s="7" t="s">
        <v>120</v>
      </c>
    </row>
    <row r="15" spans="1:9" x14ac:dyDescent="0.25">
      <c r="A15" t="s">
        <v>121</v>
      </c>
      <c r="B15" s="1">
        <v>20</v>
      </c>
      <c r="C15" s="1">
        <v>20</v>
      </c>
      <c r="D15" s="1">
        <v>20</v>
      </c>
      <c r="E15" s="1">
        <v>20</v>
      </c>
      <c r="F15" s="1">
        <v>20</v>
      </c>
      <c r="G15" s="1">
        <v>20</v>
      </c>
      <c r="H15" s="1">
        <v>20</v>
      </c>
      <c r="I15" s="1">
        <v>20</v>
      </c>
    </row>
    <row r="16" spans="1:9" x14ac:dyDescent="0.25">
      <c r="A16" s="12" t="s">
        <v>122</v>
      </c>
      <c r="B16" s="1">
        <v>4</v>
      </c>
      <c r="C16" s="1">
        <v>3</v>
      </c>
      <c r="D16" s="1">
        <v>4</v>
      </c>
      <c r="E16" s="1">
        <v>4</v>
      </c>
      <c r="F16" s="1">
        <v>1</v>
      </c>
      <c r="G16" s="1">
        <v>2</v>
      </c>
      <c r="H16" s="1">
        <v>1</v>
      </c>
      <c r="I16" s="1">
        <v>1.5</v>
      </c>
    </row>
    <row r="17" spans="1:10" x14ac:dyDescent="0.25">
      <c r="A17" s="12" t="s">
        <v>126</v>
      </c>
      <c r="B17" s="10">
        <f>B10/( B15* ( (B13+B12)/2 )^2 * PI() /4 )</f>
        <v>398.5986062774947</v>
      </c>
      <c r="C17" s="10">
        <f t="shared" ref="C17:I17" si="3">C10/( C15* ( (C13+C12)/2 )^2 * PI() /4 )</f>
        <v>115.52451824721147</v>
      </c>
      <c r="D17" s="10">
        <f t="shared" si="3"/>
        <v>433.37147383488093</v>
      </c>
      <c r="E17" s="10">
        <f t="shared" si="3"/>
        <v>440.37822413671421</v>
      </c>
      <c r="F17" s="10">
        <f t="shared" si="3"/>
        <v>7.8125645114820301</v>
      </c>
      <c r="G17" s="10">
        <f t="shared" si="3"/>
        <v>49.257445957066118</v>
      </c>
      <c r="H17" s="10">
        <f t="shared" si="3"/>
        <v>2.9934550467729926</v>
      </c>
      <c r="I17" s="10">
        <f t="shared" si="3"/>
        <v>12.096006581451762</v>
      </c>
    </row>
    <row r="18" spans="1:10" x14ac:dyDescent="0.25">
      <c r="A18" t="s">
        <v>127</v>
      </c>
      <c r="B18" s="10"/>
      <c r="C18" s="10"/>
      <c r="D18" s="10"/>
      <c r="E18" s="10"/>
      <c r="F18" s="10"/>
      <c r="G18" s="10"/>
      <c r="H18" s="10"/>
      <c r="I18" s="10"/>
    </row>
    <row r="19" spans="1:10" s="7" customFormat="1" x14ac:dyDescent="0.25">
      <c r="A19" s="22" t="s">
        <v>116</v>
      </c>
    </row>
    <row r="20" spans="1:10" x14ac:dyDescent="0.25">
      <c r="A20"/>
    </row>
    <row r="22" spans="1:10" x14ac:dyDescent="0.25">
      <c r="A22" s="12" t="s">
        <v>42</v>
      </c>
      <c r="B22" s="1" t="s">
        <v>43</v>
      </c>
      <c r="C22" s="1" t="s">
        <v>44</v>
      </c>
    </row>
    <row r="23" spans="1:10" x14ac:dyDescent="0.25">
      <c r="A23" s="12" t="s">
        <v>109</v>
      </c>
      <c r="B23" s="1">
        <v>58520906.984339401</v>
      </c>
      <c r="C23" s="1">
        <v>13427106.536324499</v>
      </c>
    </row>
    <row r="27" spans="1:10" x14ac:dyDescent="0.25">
      <c r="A27" s="12" t="s">
        <v>51</v>
      </c>
      <c r="B27" s="1" t="s">
        <v>52</v>
      </c>
      <c r="C27" s="1" t="s">
        <v>53</v>
      </c>
      <c r="D27" s="1" t="s">
        <v>54</v>
      </c>
      <c r="E27" s="1" t="s">
        <v>55</v>
      </c>
      <c r="F27" s="1" t="s">
        <v>56</v>
      </c>
      <c r="G27" s="1" t="s">
        <v>57</v>
      </c>
      <c r="H27" s="1" t="s">
        <v>58</v>
      </c>
      <c r="I27" s="1" t="s">
        <v>59</v>
      </c>
      <c r="J27" s="1" t="s">
        <v>60</v>
      </c>
    </row>
    <row r="28" spans="1:10" x14ac:dyDescent="0.25">
      <c r="A28" s="13" t="s">
        <v>63</v>
      </c>
      <c r="B28" s="1">
        <v>10.34</v>
      </c>
      <c r="C28" s="1">
        <v>10.34</v>
      </c>
      <c r="D28" s="1">
        <v>10.34</v>
      </c>
      <c r="E28" s="1">
        <v>10.34</v>
      </c>
      <c r="F28" s="1">
        <v>10.34</v>
      </c>
      <c r="G28" s="1">
        <v>10.34</v>
      </c>
      <c r="H28" s="1">
        <v>10.34</v>
      </c>
      <c r="I28" s="1">
        <v>10.34</v>
      </c>
      <c r="J28" s="1">
        <v>10.34</v>
      </c>
    </row>
    <row r="29" spans="1:10" x14ac:dyDescent="0.25">
      <c r="A29" s="13" t="s">
        <v>69</v>
      </c>
      <c r="B29" s="1">
        <f>D46/2+D48+D47/2+(D43*D42/D41)*D45</f>
        <v>12.297649662448372</v>
      </c>
      <c r="C29" s="1">
        <f xml:space="preserve"> ( C46/2+C48+C47/2+(C43*C42/C41)*C45 )</f>
        <v>18.11882756686866</v>
      </c>
      <c r="D29" s="1">
        <f>0</f>
        <v>0</v>
      </c>
      <c r="E29" s="1">
        <f>B49-B47/2</f>
        <v>72.732086249480332</v>
      </c>
      <c r="F29" s="1">
        <f>B48+B47/2</f>
        <v>3</v>
      </c>
      <c r="G29" s="1">
        <f>C49-C47/2</f>
        <v>35.223330586714141</v>
      </c>
      <c r="H29" s="1">
        <f>C48+C47/2</f>
        <v>3</v>
      </c>
      <c r="I29" s="1">
        <f>D49-D47/2</f>
        <v>21.045299324896742</v>
      </c>
      <c r="J29" s="1">
        <f>D48+D47/2</f>
        <v>3</v>
      </c>
    </row>
    <row r="30" spans="1:10" x14ac:dyDescent="0.25">
      <c r="A30" s="13" t="s">
        <v>64</v>
      </c>
      <c r="B30" s="1">
        <f>1245/3600</f>
        <v>0.34583333333333333</v>
      </c>
      <c r="C30" s="1">
        <f>8062/3600</f>
        <v>2.2394444444444446</v>
      </c>
      <c r="D30" s="1">
        <f>6817/3600</f>
        <v>1.8936111111111111</v>
      </c>
      <c r="E30" s="1">
        <f>42818.4444360716/3600</f>
        <v>11.894012343353223</v>
      </c>
      <c r="F30" s="1">
        <f>74709.0629172207/3600</f>
        <v>20.75251747700575</v>
      </c>
      <c r="G30" s="1">
        <f>4209.04173544836/3600</f>
        <v>1.1691782598467666</v>
      </c>
      <c r="H30" s="1">
        <f>16853.3723185306/3600</f>
        <v>4.6814923107029447</v>
      </c>
      <c r="I30" s="1">
        <f>2146.96342385982/3600</f>
        <v>0.59637872884995002</v>
      </c>
      <c r="J30" s="1">
        <f>3967.49791637152/3600</f>
        <v>1.1020827545476446</v>
      </c>
    </row>
    <row r="31" spans="1:10" x14ac:dyDescent="0.25">
      <c r="A31" s="13" t="s">
        <v>65</v>
      </c>
      <c r="B31" s="9">
        <f>(788.1+788.3)/2</f>
        <v>788.2</v>
      </c>
      <c r="C31" s="1">
        <f>(850.2+850.3)/2</f>
        <v>850.25</v>
      </c>
      <c r="D31" s="1">
        <f>(761.4+761.7)/2</f>
        <v>761.55</v>
      </c>
      <c r="E31" s="9">
        <v>850.22534727672701</v>
      </c>
      <c r="F31" s="9">
        <v>813.86683622114595</v>
      </c>
      <c r="G31" s="1">
        <v>788.13902127602501</v>
      </c>
      <c r="H31" s="1">
        <v>760.61476462853398</v>
      </c>
      <c r="I31" s="1">
        <v>767.03774224380095</v>
      </c>
      <c r="J31" s="1">
        <v>732.74106725843296</v>
      </c>
    </row>
    <row r="32" spans="1:10" x14ac:dyDescent="0.25">
      <c r="A32" s="13" t="s">
        <v>61</v>
      </c>
      <c r="B32" s="1">
        <v>0.5</v>
      </c>
      <c r="C32" s="1">
        <v>0.5</v>
      </c>
      <c r="D32" s="1">
        <v>0.5</v>
      </c>
      <c r="E32" s="1">
        <v>0.5</v>
      </c>
      <c r="F32" s="1">
        <v>0.5</v>
      </c>
      <c r="G32" s="1">
        <v>0.5</v>
      </c>
      <c r="H32" s="1">
        <v>0.5</v>
      </c>
      <c r="I32" s="1">
        <v>0.5</v>
      </c>
      <c r="J32" s="1">
        <v>0.5</v>
      </c>
    </row>
    <row r="33" spans="1:10" x14ac:dyDescent="0.25">
      <c r="A33" s="13" t="s">
        <v>62</v>
      </c>
      <c r="B33" s="1">
        <v>0.9</v>
      </c>
      <c r="C33" s="1">
        <v>0.9</v>
      </c>
      <c r="D33" s="1">
        <v>0.9</v>
      </c>
      <c r="E33" s="1">
        <v>0.9</v>
      </c>
      <c r="F33" s="1">
        <v>0.9</v>
      </c>
      <c r="G33" s="1">
        <v>0.9</v>
      </c>
      <c r="H33" s="1">
        <v>0.9</v>
      </c>
      <c r="I33" s="1">
        <v>0.9</v>
      </c>
      <c r="J33" s="1">
        <v>0.9</v>
      </c>
    </row>
    <row r="34" spans="1:10" x14ac:dyDescent="0.25">
      <c r="A34" s="13" t="s">
        <v>71</v>
      </c>
      <c r="B34" s="1">
        <f>B28+ B31*9.8*B29/1000</f>
        <v>105.33147314662972</v>
      </c>
      <c r="C34" s="1">
        <f t="shared" ref="C34:D34" si="4">C28+ C31*9.8*C29/1000</f>
        <v>161.31422475955478</v>
      </c>
      <c r="D34" s="1">
        <f t="shared" si="4"/>
        <v>10.34</v>
      </c>
      <c r="E34" s="1">
        <f t="shared" ref="E34:J34" si="5">E28+ E31*9.8*E29/1000</f>
        <v>616.35890023832769</v>
      </c>
      <c r="F34" s="1">
        <f t="shared" si="5"/>
        <v>34.267684984901692</v>
      </c>
      <c r="G34" s="1">
        <f t="shared" si="5"/>
        <v>282.39663668800864</v>
      </c>
      <c r="H34" s="1">
        <f t="shared" si="5"/>
        <v>32.702074080078901</v>
      </c>
      <c r="I34" s="1">
        <f t="shared" si="5"/>
        <v>168.53688101433511</v>
      </c>
      <c r="J34" s="1">
        <f t="shared" si="5"/>
        <v>31.882587377397929</v>
      </c>
    </row>
    <row r="35" spans="1:10" s="7" customFormat="1" x14ac:dyDescent="0.25">
      <c r="A35" s="17" t="s">
        <v>70</v>
      </c>
      <c r="B35" s="7">
        <f>B34*1000/(B31*9.8)</f>
        <v>13.636271891345007</v>
      </c>
      <c r="C35" s="7">
        <f t="shared" ref="C35:D35" si="6">C34*1000/(C31*9.8)</f>
        <v>19.359759105611769</v>
      </c>
      <c r="D35" s="7">
        <f t="shared" si="6"/>
        <v>1.3854665364274525</v>
      </c>
      <c r="E35" s="7">
        <f t="shared" ref="E35" si="7">E34*1000/(E31*9.8)</f>
        <v>73.973053769674621</v>
      </c>
      <c r="F35" s="7">
        <f t="shared" ref="F35" si="8">F34*1000/(F31*9.8)</f>
        <v>4.2964062348519532</v>
      </c>
      <c r="G35" s="7">
        <f t="shared" ref="G35" si="9">G34*1000/(G31*9.8)</f>
        <v>36.562056385505421</v>
      </c>
      <c r="H35" s="7">
        <f t="shared" ref="H35" si="10">H34*1000/(H31*9.8)</f>
        <v>4.3871700759472017</v>
      </c>
      <c r="I35" s="7">
        <f t="shared" ref="I35" si="11">I34*1000/(I31*9.8)</f>
        <v>22.420853593882068</v>
      </c>
      <c r="J35" s="7">
        <f t="shared" ref="J35" si="12">J34*1000/(J31*9.8)</f>
        <v>4.4399384557003394</v>
      </c>
    </row>
    <row r="36" spans="1:10" s="7" customFormat="1" x14ac:dyDescent="0.25">
      <c r="A36" s="17" t="s">
        <v>175</v>
      </c>
      <c r="B36" s="7">
        <f>1000* B30*B34 / (B31*B32*B33)</f>
        <v>102.70132922611135</v>
      </c>
      <c r="C36" s="7">
        <f t="shared" ref="C36:J36" si="13">1000* C30*C34 / (C31*C32*C33)</f>
        <v>944.17784167440254</v>
      </c>
      <c r="D36" s="7">
        <f t="shared" si="13"/>
        <v>57.134758464502632</v>
      </c>
      <c r="E36" s="7">
        <f t="shared" si="13"/>
        <v>19160.881918217794</v>
      </c>
      <c r="F36" s="7">
        <f t="shared" si="13"/>
        <v>1941.7337903897774</v>
      </c>
      <c r="G36" s="7">
        <f t="shared" si="13"/>
        <v>930.94689404444671</v>
      </c>
      <c r="H36" s="7">
        <f t="shared" si="13"/>
        <v>447.28295370593383</v>
      </c>
      <c r="I36" s="7">
        <f t="shared" si="13"/>
        <v>291.19763917176039</v>
      </c>
      <c r="J36" s="7">
        <f t="shared" si="13"/>
        <v>106.562578026992</v>
      </c>
    </row>
    <row r="39" spans="1:10" x14ac:dyDescent="0.25">
      <c r="A39" s="12" t="s">
        <v>11</v>
      </c>
      <c r="B39" s="1" t="s">
        <v>66</v>
      </c>
      <c r="C39" s="1" t="s">
        <v>67</v>
      </c>
      <c r="D39" s="1" t="s">
        <v>68</v>
      </c>
    </row>
    <row r="40" spans="1:10" x14ac:dyDescent="0.25">
      <c r="A40" s="12" t="s">
        <v>45</v>
      </c>
      <c r="B40" s="1">
        <v>4.76</v>
      </c>
      <c r="C40" s="1">
        <v>3.38</v>
      </c>
      <c r="D40" s="9">
        <v>7</v>
      </c>
    </row>
    <row r="41" spans="1:10" x14ac:dyDescent="0.25">
      <c r="A41" s="12" t="s">
        <v>46</v>
      </c>
      <c r="B41" s="1">
        <v>80</v>
      </c>
      <c r="C41" s="1">
        <v>37</v>
      </c>
      <c r="D41" s="1">
        <v>20</v>
      </c>
    </row>
    <row r="42" spans="1:10" x14ac:dyDescent="0.25">
      <c r="A42" s="12" t="s">
        <v>48</v>
      </c>
      <c r="B42" s="10">
        <f>B41/('O''Connell Efficiency'!$D$108/100)</f>
        <v>125.05833863541876</v>
      </c>
      <c r="C42" s="10">
        <f>C41/('O''Connell Efficiency'!$I$65/100)</f>
        <v>56.860601066752977</v>
      </c>
      <c r="D42" s="10">
        <f>D41/('O''Connell Efficiency'!$N$48/100)</f>
        <v>31.082362408903165</v>
      </c>
    </row>
    <row r="43" spans="1:10" x14ac:dyDescent="0.25">
      <c r="A43" s="12" t="s">
        <v>47</v>
      </c>
      <c r="B43" s="1">
        <v>39</v>
      </c>
      <c r="C43" s="1">
        <v>17</v>
      </c>
      <c r="D43" s="1">
        <v>10</v>
      </c>
    </row>
    <row r="44" spans="1:10" x14ac:dyDescent="0.25">
      <c r="A44" s="12" t="s">
        <v>49</v>
      </c>
      <c r="B44" s="1" t="s">
        <v>50</v>
      </c>
      <c r="C44" s="1" t="s">
        <v>50</v>
      </c>
      <c r="D44" s="1" t="s">
        <v>50</v>
      </c>
    </row>
    <row r="45" spans="1:10" x14ac:dyDescent="0.25">
      <c r="A45" s="12" t="s">
        <v>89</v>
      </c>
      <c r="B45" s="9">
        <v>0.55000000000000004</v>
      </c>
      <c r="C45" s="9">
        <v>0.55000000000000004</v>
      </c>
      <c r="D45" s="9">
        <v>0.55000000000000004</v>
      </c>
      <c r="E45" s="14" t="s">
        <v>94</v>
      </c>
    </row>
    <row r="46" spans="1:10" x14ac:dyDescent="0.25">
      <c r="A46" s="12" t="s">
        <v>90</v>
      </c>
      <c r="B46" s="1">
        <v>1.5</v>
      </c>
      <c r="C46" s="1">
        <v>1.5</v>
      </c>
      <c r="D46" s="1">
        <v>1.5</v>
      </c>
    </row>
    <row r="47" spans="1:10" x14ac:dyDescent="0.25">
      <c r="A47" s="12" t="s">
        <v>91</v>
      </c>
      <c r="B47" s="1">
        <v>3</v>
      </c>
      <c r="C47" s="1">
        <v>3</v>
      </c>
      <c r="D47" s="1">
        <v>3</v>
      </c>
    </row>
    <row r="48" spans="1:10" x14ac:dyDescent="0.25">
      <c r="A48" s="12" t="s">
        <v>92</v>
      </c>
      <c r="B48" s="1">
        <v>1.5</v>
      </c>
      <c r="C48" s="1">
        <v>1.5</v>
      </c>
      <c r="D48" s="1">
        <v>1.5</v>
      </c>
    </row>
    <row r="49" spans="1:7" s="7" customFormat="1" x14ac:dyDescent="0.25">
      <c r="A49" s="15" t="s">
        <v>93</v>
      </c>
      <c r="B49" s="16">
        <f>(B42-1)*B45+B46+B47+B48</f>
        <v>74.232086249480332</v>
      </c>
      <c r="C49" s="16">
        <f t="shared" ref="C49:D49" si="14">(C42-1)*C45+C46+C47+C48</f>
        <v>36.723330586714141</v>
      </c>
      <c r="D49" s="16">
        <f t="shared" si="14"/>
        <v>22.545299324896742</v>
      </c>
    </row>
    <row r="51" spans="1:7" x14ac:dyDescent="0.25">
      <c r="A51" s="12" t="s">
        <v>80</v>
      </c>
      <c r="B51" s="1">
        <f>51718.3228680898/3600</f>
        <v>14.366200796691611</v>
      </c>
      <c r="C51" s="1">
        <f>5454.32033990332/3600</f>
        <v>1.5150889833064778</v>
      </c>
      <c r="D51" s="1">
        <f>2453.67247955174/3600</f>
        <v>0.68157568876437213</v>
      </c>
    </row>
    <row r="52" spans="1:7" x14ac:dyDescent="0.25">
      <c r="A52" s="12" t="s">
        <v>81</v>
      </c>
      <c r="B52" s="1">
        <f>74709.0629172207/3600</f>
        <v>20.75251747700575</v>
      </c>
      <c r="C52" s="1">
        <f>16853.3723185306/3600</f>
        <v>4.6814923107029447</v>
      </c>
      <c r="D52" s="1">
        <f>3967.49791637152/3600</f>
        <v>1.1020827545476446</v>
      </c>
    </row>
    <row r="53" spans="1:7" x14ac:dyDescent="0.25">
      <c r="A53" s="13" t="s">
        <v>87</v>
      </c>
      <c r="B53" s="69">
        <f>(850.225347276727+813.866836221146)/2</f>
        <v>832.04609174893653</v>
      </c>
      <c r="C53" s="69">
        <f>(788.139021276025+760.614764628534)/2</f>
        <v>774.37689295227949</v>
      </c>
      <c r="D53" s="69">
        <f>(767.037742243801+732.741067258433)/2</f>
        <v>749.8894047511169</v>
      </c>
    </row>
    <row r="54" spans="1:7" x14ac:dyDescent="0.25">
      <c r="A54" s="13" t="s">
        <v>86</v>
      </c>
      <c r="B54" s="69">
        <f>(1.62362485185923+0.3627547957718)/2</f>
        <v>0.99318982381551502</v>
      </c>
      <c r="C54" s="69">
        <f>(3.44726769937128+4.29792002608037)/2</f>
        <v>3.8725938627258252</v>
      </c>
      <c r="D54" s="69">
        <f>(7.43049000826658+8.68372916470164)/2</f>
        <v>8.0571095864841098</v>
      </c>
    </row>
    <row r="55" spans="1:7" x14ac:dyDescent="0.25">
      <c r="A55" s="13" t="s">
        <v>88</v>
      </c>
      <c r="B55" s="69">
        <f>( 20.3629905862043+25.5757371575457 )/2</f>
        <v>22.969363871875</v>
      </c>
      <c r="C55" s="69">
        <f>( 16.1440838614762+18.7247004548676 )/2</f>
        <v>17.434392158171903</v>
      </c>
      <c r="D55" s="69">
        <f>( 13.6451111714667+16.3825091673517 )/2</f>
        <v>15.013810169409201</v>
      </c>
    </row>
    <row r="56" spans="1:7" x14ac:dyDescent="0.25">
      <c r="A56" s="12" t="s">
        <v>79</v>
      </c>
      <c r="B56" s="69">
        <f>( B52/B51 )*( B54/B53 )^0.5</f>
        <v>4.9908129587905109E-2</v>
      </c>
      <c r="C56" s="69">
        <f>( C52/C51 )*( C54/C53 )^0.5</f>
        <v>0.21850981927727184</v>
      </c>
      <c r="D56" s="69">
        <f t="shared" ref="D56" si="15">( D52/D51 )*( D54/D53 )^0.5</f>
        <v>0.16760660995606461</v>
      </c>
    </row>
    <row r="57" spans="1:7" x14ac:dyDescent="0.25">
      <c r="A57" s="12" t="s">
        <v>95</v>
      </c>
      <c r="B57" s="69">
        <v>0.33</v>
      </c>
      <c r="C57" s="69">
        <v>0.23</v>
      </c>
      <c r="D57" s="69">
        <v>0.25</v>
      </c>
    </row>
    <row r="58" spans="1:7" x14ac:dyDescent="0.25">
      <c r="A58" s="13" t="s">
        <v>84</v>
      </c>
      <c r="B58" s="69">
        <f xml:space="preserve"> B57*  ( (B53-B54)/B54 )^0.5  *  (20/B55)^0.2</f>
        <v>9.2851377274443845</v>
      </c>
      <c r="C58" s="69">
        <f t="shared" ref="C58:D58" si="16" xml:space="preserve"> C57*  ( (C53-C54)/C54 )^0.5  *  (20/C55)^0.2</f>
        <v>3.3345637890995241</v>
      </c>
      <c r="D58" s="69">
        <f t="shared" si="16"/>
        <v>2.540452367467767</v>
      </c>
    </row>
    <row r="59" spans="1:7" x14ac:dyDescent="0.25">
      <c r="A59" s="13" t="s">
        <v>96</v>
      </c>
      <c r="B59" s="69">
        <f>CONVERT( 0.8*B58, "ft", "m")</f>
        <v>2.2640879834600387</v>
      </c>
      <c r="C59" s="69">
        <f t="shared" ref="C59:D59" si="17">CONVERT( 0.8*C58, "ft", "m")</f>
        <v>0.813100034334028</v>
      </c>
      <c r="D59" s="69">
        <f t="shared" si="17"/>
        <v>0.61946390528334039</v>
      </c>
    </row>
    <row r="60" spans="1:7" x14ac:dyDescent="0.25">
      <c r="A60" s="13" t="s">
        <v>97</v>
      </c>
      <c r="B60" s="69">
        <v>0.75</v>
      </c>
      <c r="C60" s="69">
        <v>0.75</v>
      </c>
      <c r="D60" s="69">
        <v>0.75</v>
      </c>
    </row>
    <row r="61" spans="1:7" s="7" customFormat="1" x14ac:dyDescent="0.25">
      <c r="A61" s="15" t="s">
        <v>85</v>
      </c>
      <c r="B61" s="70">
        <f>( 4*B51/( B54*B59*B60*PI() ) )^0.5</f>
        <v>3.2933100034905554</v>
      </c>
      <c r="C61" s="70">
        <f t="shared" ref="C61:D61" si="18">( 4*C51/( C54*C59*C60*PI() ) )^0.5</f>
        <v>0.90379624294512617</v>
      </c>
      <c r="D61" s="70">
        <f t="shared" si="18"/>
        <v>0.48148618957284534</v>
      </c>
    </row>
    <row r="62" spans="1:7" x14ac:dyDescent="0.25">
      <c r="A62" s="1"/>
    </row>
    <row r="63" spans="1:7" x14ac:dyDescent="0.25">
      <c r="C63" s="11"/>
    </row>
    <row r="64" spans="1:7" x14ac:dyDescent="0.25">
      <c r="A64" s="12" t="s">
        <v>72</v>
      </c>
      <c r="B64" s="1" t="s">
        <v>76</v>
      </c>
      <c r="C64" s="1" t="s">
        <v>77</v>
      </c>
      <c r="D64" s="1" t="s">
        <v>78</v>
      </c>
      <c r="E64" s="1" t="s">
        <v>75</v>
      </c>
      <c r="G64" s="11"/>
    </row>
    <row r="65" spans="1:5" x14ac:dyDescent="0.25">
      <c r="A65" s="12" t="s">
        <v>99</v>
      </c>
      <c r="B65" s="1">
        <f>(42818.4444360716+8062.28447393533)/60</f>
        <v>848.01214850011559</v>
      </c>
      <c r="C65" s="1">
        <f>(4209.04173544836+1245.27857107277)/60</f>
        <v>90.905338442018831</v>
      </c>
      <c r="D65" s="1">
        <f>(2146.96342385982+306.709050143584)/60</f>
        <v>40.894541233390072</v>
      </c>
      <c r="E65" s="1">
        <f>(21721.7506161124+60117.263479938)/60</f>
        <v>1363.9835682675068</v>
      </c>
    </row>
    <row r="66" spans="1:5" x14ac:dyDescent="0.25">
      <c r="A66" s="13" t="s">
        <v>82</v>
      </c>
      <c r="B66" s="1">
        <v>850.22534727672701</v>
      </c>
      <c r="C66" s="1">
        <v>788.13902127602501</v>
      </c>
      <c r="D66" s="1">
        <v>767.03774224380095</v>
      </c>
      <c r="E66" s="1">
        <f>(60117.263479938*995.979046965827 + 21721.7506161124*878.542562819392)/ (60117.263479938+21721.7506161124)</f>
        <v>964.80899866993718</v>
      </c>
    </row>
    <row r="67" spans="1:5" x14ac:dyDescent="0.25">
      <c r="A67" s="13" t="s">
        <v>100</v>
      </c>
      <c r="B67" s="1">
        <v>5</v>
      </c>
      <c r="C67" s="1">
        <v>5</v>
      </c>
      <c r="D67" s="1">
        <v>5</v>
      </c>
      <c r="E67" s="1">
        <v>5</v>
      </c>
    </row>
    <row r="68" spans="1:5" x14ac:dyDescent="0.25">
      <c r="A68" s="12" t="s">
        <v>101</v>
      </c>
      <c r="B68" s="1">
        <f>2*(B65*B67/B66)</f>
        <v>9.9739692684568837</v>
      </c>
      <c r="C68" s="1">
        <f t="shared" ref="C68:D68" si="19">2*(C65*C67/C66)</f>
        <v>1.153417556903094</v>
      </c>
      <c r="D68" s="1">
        <f t="shared" si="19"/>
        <v>0.53314900924903708</v>
      </c>
      <c r="E68" s="1">
        <f t="shared" ref="E68" si="20">2*(E65*E67/E66)</f>
        <v>14.137342936766368</v>
      </c>
    </row>
    <row r="69" spans="1:5" s="7" customFormat="1" x14ac:dyDescent="0.25">
      <c r="A69" s="15" t="s">
        <v>85</v>
      </c>
      <c r="B69" s="7">
        <f>(B68/PI())^(1/3)</f>
        <v>1.4697361771660771</v>
      </c>
      <c r="C69" s="7">
        <f t="shared" ref="C69:D69" si="21">(C68/PI())^(1/3)</f>
        <v>0.71605364811091909</v>
      </c>
      <c r="D69" s="7">
        <f t="shared" si="21"/>
        <v>0.5536469493688787</v>
      </c>
      <c r="E69" s="7">
        <f t="shared" ref="E69" si="22">(E68/PI())^(1/3)</f>
        <v>1.6509704754462777</v>
      </c>
    </row>
    <row r="70" spans="1:5" s="7" customFormat="1" x14ac:dyDescent="0.25">
      <c r="A70" s="15" t="s">
        <v>102</v>
      </c>
      <c r="B70" s="7">
        <f>4*B69</f>
        <v>5.8789447086643083</v>
      </c>
      <c r="C70" s="7">
        <f t="shared" ref="C70:D70" si="23">4*C69</f>
        <v>2.8642145924436764</v>
      </c>
      <c r="D70" s="7">
        <f t="shared" si="23"/>
        <v>2.2145877974755148</v>
      </c>
      <c r="E70" s="7">
        <f t="shared" ref="E70" si="24">4*E69</f>
        <v>6.6038819017851109</v>
      </c>
    </row>
    <row r="71" spans="1:5" s="7" customFormat="1" x14ac:dyDescent="0.25">
      <c r="A71" s="15" t="s">
        <v>105</v>
      </c>
      <c r="B71" s="7" t="s">
        <v>103</v>
      </c>
      <c r="C71" s="7" t="s">
        <v>104</v>
      </c>
      <c r="D71" s="7" t="s">
        <v>104</v>
      </c>
      <c r="E71" s="7" t="s">
        <v>103</v>
      </c>
    </row>
    <row r="72" spans="1:5" x14ac:dyDescent="0.25">
      <c r="A72" s="12" t="s">
        <v>106</v>
      </c>
      <c r="B72" s="1" t="s">
        <v>107</v>
      </c>
      <c r="C72" s="1" t="s">
        <v>107</v>
      </c>
      <c r="D72" s="1" t="s">
        <v>107</v>
      </c>
      <c r="E72" s="1" t="s">
        <v>107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ABF1-DDE6-472E-92D1-6F01CE86ED34}">
  <sheetPr codeName="Sheet3"/>
  <dimension ref="A2:L126"/>
  <sheetViews>
    <sheetView topLeftCell="A34" zoomScale="85" zoomScaleNormal="85" workbookViewId="0">
      <pane xSplit="1" topLeftCell="F1" activePane="topRight" state="frozen"/>
      <selection pane="topRight" activeCell="H60" sqref="H60"/>
    </sheetView>
  </sheetViews>
  <sheetFormatPr defaultColWidth="20" defaultRowHeight="15" x14ac:dyDescent="0.25"/>
  <cols>
    <col min="1" max="1" width="31.85546875" style="12" customWidth="1"/>
    <col min="2" max="16384" width="20" style="1"/>
  </cols>
  <sheetData>
    <row r="2" spans="1:11" x14ac:dyDescent="0.25">
      <c r="A2" s="1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1" x14ac:dyDescent="0.25">
      <c r="A3" s="12" t="s">
        <v>130</v>
      </c>
      <c r="B3" s="1" t="s">
        <v>183</v>
      </c>
      <c r="C3" s="1" t="s">
        <v>183</v>
      </c>
      <c r="D3" s="1" t="s">
        <v>181</v>
      </c>
      <c r="E3" s="1" t="s">
        <v>182</v>
      </c>
      <c r="F3" s="1" t="s">
        <v>181</v>
      </c>
      <c r="G3" s="1" t="s">
        <v>182</v>
      </c>
      <c r="H3" s="1" t="s">
        <v>181</v>
      </c>
      <c r="I3" s="1" t="s">
        <v>182</v>
      </c>
    </row>
    <row r="4" spans="1:11" ht="15.75" thickBot="1" x14ac:dyDescent="0.3">
      <c r="A4" s="13" t="s">
        <v>113</v>
      </c>
      <c r="B4" s="9">
        <f>Sizing!B10</f>
        <v>5497.1151532626609</v>
      </c>
      <c r="C4" s="9">
        <f>Sizing!C10</f>
        <v>1593.2107383938203</v>
      </c>
      <c r="D4" s="9">
        <f>Sizing!D10</f>
        <v>5976.6714140264758</v>
      </c>
      <c r="E4" s="9">
        <f>Sizing!E10</f>
        <v>6073.3022417632919</v>
      </c>
      <c r="F4" s="9">
        <f>Sizing!F10</f>
        <v>107.74389595334311</v>
      </c>
      <c r="G4" s="9">
        <f>Sizing!G10</f>
        <v>679.31459949234886</v>
      </c>
      <c r="H4" s="9">
        <f>Sizing!H10</f>
        <v>41.283052271313203</v>
      </c>
      <c r="I4" s="9">
        <f>Sizing!I10</f>
        <v>166.81729445529584</v>
      </c>
    </row>
    <row r="5" spans="1:11" s="19" customFormat="1" x14ac:dyDescent="0.25">
      <c r="A5" s="33" t="s">
        <v>131</v>
      </c>
      <c r="B5" s="19">
        <f>EXP(11.4185 - 0.9228*LN(B4) + 0.09861*LN(B4)^2 )</f>
        <v>48285.799721341325</v>
      </c>
      <c r="C5" s="19">
        <f>EXP(11.4185 - 0.9228*LN(C4) + 0.09861*LN(C4)^2 )</f>
        <v>21493.712071974496</v>
      </c>
      <c r="D5" s="19">
        <f>EXP(11.551 - 0.9186*LN(D4) + 0.0979*LN(D4)^2 )</f>
        <v>57860.745557615584</v>
      </c>
      <c r="E5" s="19">
        <f>EXP(12.331 - 0.8709*LN(E4) + 0.09005*LN(E4)^2 )</f>
        <v>106743.08924699061</v>
      </c>
      <c r="F5" s="19">
        <f t="shared" ref="F5:H5" si="0">EXP(11.551 - 0.9186*LN(F4) + 0.0979*LN(F4)^2 )</f>
        <v>12042.502111128322</v>
      </c>
      <c r="G5" s="19">
        <f>EXP(12.331 - 0.8709*LN(G4) + 0.09005*LN(G4)^2 )</f>
        <v>35636.389259680698</v>
      </c>
      <c r="H5" s="19">
        <f t="shared" si="0"/>
        <v>13206.988331205737</v>
      </c>
      <c r="I5" s="19">
        <f>EXP(12.331 - 0.8709*LN(I4) + 0.09005*LN(I4)^2 )</f>
        <v>27790.257428774279</v>
      </c>
      <c r="J5" s="74" t="s">
        <v>241</v>
      </c>
      <c r="K5" s="75"/>
    </row>
    <row r="6" spans="1:11" x14ac:dyDescent="0.25">
      <c r="A6" s="13" t="s">
        <v>128</v>
      </c>
      <c r="B6" s="1">
        <v>7.0597100475000003</v>
      </c>
      <c r="C6" s="1">
        <v>57.242754247500002</v>
      </c>
      <c r="D6" s="1">
        <v>-13.2455679525</v>
      </c>
      <c r="E6" s="1">
        <v>-7.4440599525</v>
      </c>
      <c r="F6" s="1">
        <v>2.7085790474999998</v>
      </c>
      <c r="G6" s="1">
        <v>5.3192576474999997</v>
      </c>
      <c r="H6" s="1">
        <v>27.364988047499999</v>
      </c>
      <c r="I6" s="1">
        <v>30.265742047500002</v>
      </c>
      <c r="J6" s="24" t="s">
        <v>191</v>
      </c>
      <c r="K6" s="25" t="s">
        <v>190</v>
      </c>
    </row>
    <row r="7" spans="1:11" ht="15.75" thickBot="1" x14ac:dyDescent="0.3">
      <c r="A7" s="12" t="s">
        <v>132</v>
      </c>
      <c r="B7" s="1">
        <f>0.9803 + 0.018* (100/100) + 0.0017* (100/100)^2</f>
        <v>1</v>
      </c>
      <c r="C7" s="1">
        <f t="shared" ref="C7:G7" si="1">0.9803 + 0.018* (100/100) + 0.0017* (100/100)^2</f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ref="H7:I7" si="2">0.9803 + 0.018* (H6/100) + 0.0017* (H6/100)^2</f>
        <v>0.98535300108559276</v>
      </c>
      <c r="I7" s="1">
        <f t="shared" si="2"/>
        <v>0.98590355614263658</v>
      </c>
      <c r="J7" s="42">
        <f>SUM(B14:C14)</f>
        <v>69779.511793315818</v>
      </c>
      <c r="K7" s="29">
        <f>J7*(596/567)</f>
        <v>73348.481532303747</v>
      </c>
    </row>
    <row r="8" spans="1:11" x14ac:dyDescent="0.25">
      <c r="A8" s="12" t="s">
        <v>133</v>
      </c>
      <c r="B8" s="1" t="s">
        <v>171</v>
      </c>
      <c r="C8" s="1" t="s">
        <v>171</v>
      </c>
      <c r="D8" s="1" t="s">
        <v>171</v>
      </c>
      <c r="E8" s="1" t="s">
        <v>171</v>
      </c>
      <c r="F8" s="1" t="s">
        <v>171</v>
      </c>
      <c r="G8" s="1" t="s">
        <v>171</v>
      </c>
      <c r="H8" s="1" t="s">
        <v>171</v>
      </c>
      <c r="I8" s="1" t="s">
        <v>171</v>
      </c>
      <c r="J8" s="41" t="s">
        <v>235</v>
      </c>
      <c r="K8" s="41" t="s">
        <v>235</v>
      </c>
    </row>
    <row r="9" spans="1:11" x14ac:dyDescent="0.25">
      <c r="A9" s="13" t="s">
        <v>134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1" x14ac:dyDescent="0.25">
      <c r="A10" s="12" t="s">
        <v>135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1" x14ac:dyDescent="0.25">
      <c r="A11" s="12" t="s">
        <v>136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</row>
    <row r="12" spans="1:11" x14ac:dyDescent="0.25">
      <c r="A12" s="12" t="s">
        <v>121</v>
      </c>
      <c r="B12" s="1">
        <v>20</v>
      </c>
      <c r="C12" s="1">
        <v>20</v>
      </c>
      <c r="D12" s="1">
        <v>20</v>
      </c>
      <c r="E12" s="1">
        <v>20</v>
      </c>
      <c r="F12" s="1">
        <v>20</v>
      </c>
      <c r="G12" s="1">
        <v>20</v>
      </c>
      <c r="H12" s="1">
        <v>20</v>
      </c>
      <c r="I12" s="1">
        <v>20</v>
      </c>
    </row>
    <row r="13" spans="1:11" x14ac:dyDescent="0.25">
      <c r="A13" s="12" t="s">
        <v>137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 t="s">
        <v>191</v>
      </c>
      <c r="K13" s="1" t="s">
        <v>190</v>
      </c>
    </row>
    <row r="14" spans="1:11" s="21" customFormat="1" x14ac:dyDescent="0.25">
      <c r="A14" s="34" t="s">
        <v>138</v>
      </c>
      <c r="B14" s="21">
        <f>B7*B11*B13*B5</f>
        <v>48285.799721341325</v>
      </c>
      <c r="C14" s="21">
        <f t="shared" ref="C14:I14" si="3">C7*C11*C13*C5</f>
        <v>21493.712071974496</v>
      </c>
      <c r="D14" s="21">
        <f t="shared" si="3"/>
        <v>57860.745557615584</v>
      </c>
      <c r="E14" s="21">
        <f>E7*E11*E13*E5</f>
        <v>106743.08924699061</v>
      </c>
      <c r="F14" s="21">
        <f>F7*F11*F13*F5</f>
        <v>12042.502111128322</v>
      </c>
      <c r="G14" s="21">
        <f>G7*G11*G13*G5</f>
        <v>35636.389259680698</v>
      </c>
      <c r="H14" s="21">
        <f t="shared" si="3"/>
        <v>13013.545587455978</v>
      </c>
      <c r="I14" s="21">
        <f t="shared" si="3"/>
        <v>27398.513625147887</v>
      </c>
      <c r="J14" s="21">
        <f>SUM(B14:I14)</f>
        <v>322474.29718133493</v>
      </c>
      <c r="K14" s="21">
        <f>J14*(596/567)</f>
        <v>338967.69156979828</v>
      </c>
    </row>
    <row r="15" spans="1:11" x14ac:dyDescent="0.25">
      <c r="A15" s="41" t="s">
        <v>235</v>
      </c>
      <c r="B15" s="10"/>
      <c r="C15" s="10"/>
      <c r="D15" s="10"/>
      <c r="E15" s="10"/>
      <c r="F15" s="10"/>
      <c r="G15" s="10"/>
      <c r="H15" s="10"/>
      <c r="I15" s="10"/>
    </row>
    <row r="17" spans="1:7" s="30" customFormat="1" x14ac:dyDescent="0.25">
      <c r="A17" s="35" t="s">
        <v>42</v>
      </c>
      <c r="B17" s="30" t="s">
        <v>43</v>
      </c>
      <c r="C17" s="30" t="s">
        <v>44</v>
      </c>
    </row>
    <row r="18" spans="1:7" x14ac:dyDescent="0.25">
      <c r="A18" s="12" t="s">
        <v>109</v>
      </c>
      <c r="B18" s="1">
        <v>58520906.984339401</v>
      </c>
      <c r="C18" s="1">
        <v>13427106.536324499</v>
      </c>
    </row>
    <row r="19" spans="1:7" x14ac:dyDescent="0.25">
      <c r="A19" s="12" t="s">
        <v>131</v>
      </c>
      <c r="B19" s="1">
        <f>EXP( -0.15241+0.785* LN(B18) )</f>
        <v>1074356.3399365421</v>
      </c>
      <c r="C19" s="1">
        <f>EXP( -0.15241+0.785* LN(C18) )</f>
        <v>338279.27359440457</v>
      </c>
    </row>
    <row r="20" spans="1:7" x14ac:dyDescent="0.25">
      <c r="A20" s="12" t="s">
        <v>129</v>
      </c>
      <c r="B20" s="1">
        <f>39.160179-CONVERT(1, "atm","psi")</f>
        <v>24.464230224486549</v>
      </c>
      <c r="C20" s="1">
        <f>34.809048-CONVERT(1, "atm","psi")</f>
        <v>20.113099224486547</v>
      </c>
    </row>
    <row r="21" spans="1:7" x14ac:dyDescent="0.25">
      <c r="A21" s="12" t="s">
        <v>132</v>
      </c>
      <c r="B21" s="1">
        <v>1</v>
      </c>
      <c r="C21" s="1">
        <v>1</v>
      </c>
    </row>
    <row r="22" spans="1:7" x14ac:dyDescent="0.25">
      <c r="A22" s="12" t="s">
        <v>133</v>
      </c>
      <c r="B22" s="1" t="s">
        <v>167</v>
      </c>
      <c r="C22" s="1" t="s">
        <v>167</v>
      </c>
    </row>
    <row r="23" spans="1:7" x14ac:dyDescent="0.25">
      <c r="A23" s="12" t="s">
        <v>136</v>
      </c>
      <c r="B23" s="1">
        <v>1.7</v>
      </c>
      <c r="C23" s="1">
        <v>1.7</v>
      </c>
      <c r="D23" s="1" t="s">
        <v>191</v>
      </c>
      <c r="E23" s="1" t="s">
        <v>190</v>
      </c>
    </row>
    <row r="24" spans="1:7" s="21" customFormat="1" x14ac:dyDescent="0.25">
      <c r="A24" s="34" t="s">
        <v>138</v>
      </c>
      <c r="B24" s="21">
        <f>B19*B21*B23</f>
        <v>1826405.7778921216</v>
      </c>
      <c r="C24" s="21">
        <f>C19*C21*C23</f>
        <v>575074.7651104877</v>
      </c>
      <c r="D24" s="21">
        <f>B24+C24</f>
        <v>2401480.5430026092</v>
      </c>
      <c r="E24" s="21">
        <f>D24*(596/567)</f>
        <v>2524307.5901755821</v>
      </c>
    </row>
    <row r="25" spans="1:7" x14ac:dyDescent="0.25">
      <c r="A25" s="41" t="s">
        <v>235</v>
      </c>
    </row>
    <row r="27" spans="1:7" s="30" customFormat="1" x14ac:dyDescent="0.25">
      <c r="A27" s="35" t="s">
        <v>72</v>
      </c>
      <c r="B27" s="30" t="s">
        <v>73</v>
      </c>
      <c r="C27" s="30" t="s">
        <v>74</v>
      </c>
      <c r="D27" s="30" t="s">
        <v>76</v>
      </c>
      <c r="E27" s="30" t="s">
        <v>77</v>
      </c>
      <c r="F27" s="30" t="s">
        <v>78</v>
      </c>
      <c r="G27" s="30" t="s">
        <v>75</v>
      </c>
    </row>
    <row r="28" spans="1:7" x14ac:dyDescent="0.25">
      <c r="A28" s="12" t="s">
        <v>129</v>
      </c>
      <c r="B28" s="1">
        <f>(34.809048+39.160179)/2 -CONVERT(1, "atm","psi")</f>
        <v>22.288664724486544</v>
      </c>
      <c r="C28" s="1">
        <f>(34.809048+26.106786)/2 -CONVERT(1, "atm","psi")</f>
        <v>15.76196822448655</v>
      </c>
      <c r="G28" s="1">
        <f>17.404524 -CONVERT(1, "atm","psi")</f>
        <v>2.70857522448655</v>
      </c>
    </row>
    <row r="29" spans="1:7" x14ac:dyDescent="0.25">
      <c r="A29" s="12" t="s">
        <v>139</v>
      </c>
      <c r="B29" s="1">
        <f>EXP(0.60608 + 0.91615*LN(B28) + 0.0015655*LN(B28)^2 )</f>
        <v>31.975351656608954</v>
      </c>
      <c r="C29" s="1">
        <f t="shared" ref="C29" si="4">EXP(0.60608 + 0.91615*LN(C28) + 0.0015655*LN(C28)^2 )</f>
        <v>23.204815661661598</v>
      </c>
      <c r="G29" s="1">
        <f t="shared" ref="G29" si="5">EXP(0.60608 + 0.91615*LN(G28) + 0.0015655*LN(G28)^2 )</f>
        <v>4.5745439987493075</v>
      </c>
    </row>
    <row r="30" spans="1:7" x14ac:dyDescent="0.25">
      <c r="A30" s="12" t="s">
        <v>168</v>
      </c>
      <c r="B30" s="1">
        <v>1201.5763819804799</v>
      </c>
      <c r="C30" s="1">
        <v>1202</v>
      </c>
      <c r="G30" s="1">
        <v>104</v>
      </c>
    </row>
    <row r="31" spans="1:7" x14ac:dyDescent="0.25">
      <c r="A31" s="12" t="s">
        <v>140</v>
      </c>
      <c r="B31" s="1">
        <f>B30+50</f>
        <v>1251.5763819804799</v>
      </c>
      <c r="C31" s="1">
        <f t="shared" ref="C31" si="6">C30+50</f>
        <v>1252</v>
      </c>
      <c r="G31" s="1">
        <f t="shared" ref="G31" si="7">G30+50</f>
        <v>154</v>
      </c>
    </row>
    <row r="32" spans="1:7" x14ac:dyDescent="0.25">
      <c r="A32" s="12" t="s">
        <v>141</v>
      </c>
      <c r="B32" s="1">
        <v>13100</v>
      </c>
      <c r="C32" s="1">
        <v>13100</v>
      </c>
      <c r="G32" s="1">
        <v>15000</v>
      </c>
    </row>
    <row r="33" spans="1:9" ht="15.75" thickBot="1" x14ac:dyDescent="0.3">
      <c r="A33" s="12" t="s">
        <v>142</v>
      </c>
      <c r="B33" s="1">
        <f>CONVERT(10.826771653533, "ft", "in")</f>
        <v>129.92125984239598</v>
      </c>
      <c r="C33" s="1">
        <f>CONVERT(10.826771653533, "ft", "in")</f>
        <v>129.92125984239598</v>
      </c>
      <c r="D33" s="1">
        <f>CONVERT(Sizing!B69,"m","in")</f>
        <v>57.863629022286496</v>
      </c>
      <c r="E33" s="1">
        <f>CONVERT(Sizing!C69,"m","in")</f>
        <v>28.191088508303903</v>
      </c>
      <c r="F33" s="1">
        <f>CONVERT(Sizing!D69,"m","in")</f>
        <v>21.797123990900737</v>
      </c>
      <c r="G33" s="1">
        <f>CONVERT(Sizing!E69,"m","in")</f>
        <v>64.998837615995186</v>
      </c>
    </row>
    <row r="34" spans="1:9" x14ac:dyDescent="0.25">
      <c r="A34" s="12" t="s">
        <v>143</v>
      </c>
      <c r="B34" s="1">
        <v>0.85</v>
      </c>
      <c r="C34" s="1">
        <v>0.85</v>
      </c>
      <c r="G34" s="1">
        <v>0.85</v>
      </c>
      <c r="H34" s="74" t="s">
        <v>241</v>
      </c>
      <c r="I34" s="75"/>
    </row>
    <row r="35" spans="1:9" x14ac:dyDescent="0.25">
      <c r="A35" s="12" t="s">
        <v>147</v>
      </c>
      <c r="B35" s="1">
        <f>B29*B33/(2*B34*B32-1.2*B29)</f>
        <v>0.18686340362737144</v>
      </c>
      <c r="C35" s="1">
        <f t="shared" ref="C35:D35" si="8">C29*C33/(2*C34*C32-1.2*C29)</f>
        <v>0.13554437466759769</v>
      </c>
      <c r="D35" s="1" t="e">
        <f t="shared" si="8"/>
        <v>#DIV/0!</v>
      </c>
      <c r="E35" s="1" t="e">
        <f t="shared" ref="E35:F35" si="9">E29*E33/(2*E34*E32-1.2*E29)</f>
        <v>#DIV/0!</v>
      </c>
      <c r="F35" s="1" t="e">
        <f t="shared" si="9"/>
        <v>#DIV/0!</v>
      </c>
      <c r="G35" s="1">
        <f t="shared" ref="G35" si="10">G29*G33/(2*G34*G32-1.2*G29)</f>
        <v>1.1662904529640798E-2</v>
      </c>
      <c r="H35" s="24" t="s">
        <v>191</v>
      </c>
      <c r="I35" s="25" t="s">
        <v>190</v>
      </c>
    </row>
    <row r="36" spans="1:9" ht="15.75" thickBot="1" x14ac:dyDescent="0.3">
      <c r="A36" s="12" t="s">
        <v>148</v>
      </c>
      <c r="B36" s="1">
        <v>0.5</v>
      </c>
      <c r="C36" s="1">
        <v>0.5</v>
      </c>
      <c r="D36" s="1">
        <f>5/16</f>
        <v>0.3125</v>
      </c>
      <c r="E36" s="1">
        <v>0.25</v>
      </c>
      <c r="F36" s="1">
        <v>0.25</v>
      </c>
      <c r="G36" s="20">
        <f>5/16</f>
        <v>0.3125</v>
      </c>
      <c r="H36" s="42">
        <f>SUM(B46:C46,G46)</f>
        <v>126022.72202948388</v>
      </c>
      <c r="I36" s="29">
        <f>H36*(596/567)</f>
        <v>132468.32862358444</v>
      </c>
    </row>
    <row r="37" spans="1:9" x14ac:dyDescent="0.25">
      <c r="A37" s="12" t="s">
        <v>145</v>
      </c>
      <c r="B37" s="1">
        <f>B36+1/8</f>
        <v>0.625</v>
      </c>
      <c r="C37" s="1">
        <f t="shared" ref="C37:D37" si="11">C36+1/8</f>
        <v>0.625</v>
      </c>
      <c r="D37" s="1">
        <f t="shared" si="11"/>
        <v>0.4375</v>
      </c>
      <c r="E37" s="1">
        <f t="shared" ref="E37:F37" si="12">E36+1/8</f>
        <v>0.375</v>
      </c>
      <c r="F37" s="1">
        <f t="shared" si="12"/>
        <v>0.375</v>
      </c>
      <c r="G37" s="1">
        <f t="shared" ref="G37" si="13">G36+1/8</f>
        <v>0.4375</v>
      </c>
      <c r="H37" s="41" t="s">
        <v>235</v>
      </c>
      <c r="I37" s="41" t="s">
        <v>235</v>
      </c>
    </row>
    <row r="38" spans="1:9" x14ac:dyDescent="0.25">
      <c r="A38" s="12" t="s">
        <v>144</v>
      </c>
      <c r="B38" s="1" t="s">
        <v>169</v>
      </c>
      <c r="C38" s="1" t="s">
        <v>169</v>
      </c>
      <c r="D38" s="1" t="s">
        <v>169</v>
      </c>
      <c r="E38" s="1" t="s">
        <v>169</v>
      </c>
      <c r="F38" s="1" t="s">
        <v>169</v>
      </c>
      <c r="G38" s="1" t="s">
        <v>169</v>
      </c>
    </row>
    <row r="39" spans="1:9" x14ac:dyDescent="0.25">
      <c r="A39" s="12" t="s">
        <v>150</v>
      </c>
      <c r="B39" s="1">
        <f>CONVERT(11.482939632535, "ft", "in")</f>
        <v>137.79527559042</v>
      </c>
      <c r="C39" s="1">
        <f>CONVERT(11.482939632535, "ft", "in")</f>
        <v>137.79527559042</v>
      </c>
      <c r="D39" s="1">
        <f>CONVERT(Sizing!B70,"m","in")</f>
        <v>231.45451608914598</v>
      </c>
      <c r="E39" s="1">
        <f>CONVERT(Sizing!C70,"m","in")</f>
        <v>112.76435403321561</v>
      </c>
      <c r="F39" s="1">
        <f>CONVERT(Sizing!D70,"m","in")</f>
        <v>87.188495963602946</v>
      </c>
      <c r="G39" s="1">
        <f>CONVERT(Sizing!E70,"m","in")</f>
        <v>259.99535046398074</v>
      </c>
    </row>
    <row r="40" spans="1:9" x14ac:dyDescent="0.25">
      <c r="A40" s="13" t="s">
        <v>133</v>
      </c>
      <c r="B40" s="1" t="s">
        <v>171</v>
      </c>
      <c r="C40" s="1" t="s">
        <v>171</v>
      </c>
      <c r="D40" s="1" t="s">
        <v>171</v>
      </c>
      <c r="E40" s="1" t="s">
        <v>171</v>
      </c>
      <c r="F40" s="1" t="s">
        <v>171</v>
      </c>
      <c r="G40" s="1" t="s">
        <v>171</v>
      </c>
    </row>
    <row r="41" spans="1:9" x14ac:dyDescent="0.25">
      <c r="A41" s="13" t="s">
        <v>136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</row>
    <row r="42" spans="1:9" x14ac:dyDescent="0.25">
      <c r="A42" s="13" t="s">
        <v>170</v>
      </c>
      <c r="B42" s="1">
        <v>0.28399999999999997</v>
      </c>
      <c r="C42" s="1">
        <v>0.28399999999999997</v>
      </c>
      <c r="D42" s="1">
        <v>0.28399999999999997</v>
      </c>
      <c r="E42" s="1">
        <v>0.28399999999999997</v>
      </c>
      <c r="F42" s="1">
        <v>0.28399999999999997</v>
      </c>
      <c r="G42" s="1">
        <v>0.28399999999999997</v>
      </c>
    </row>
    <row r="43" spans="1:9" x14ac:dyDescent="0.25">
      <c r="A43" s="12" t="s">
        <v>172</v>
      </c>
      <c r="B43" s="1">
        <f>PI()* (B33+B37) * (B39+0.8*B33) * B37 * B42</f>
        <v>17597.351880989892</v>
      </c>
      <c r="C43" s="1">
        <f>PI()* (C33+C37) * (C39+0.8*C33) * C37 * C42</f>
        <v>17597.351880989892</v>
      </c>
      <c r="D43" s="1">
        <f>PI()* (D33+D37) * (D39+0.8*D33) * D37 * D42</f>
        <v>6320.772223798147</v>
      </c>
      <c r="E43" s="1">
        <f t="shared" ref="E43:F43" si="14">PI()* (E33+E37) * (E39+0.8*E33) * E37 * E42</f>
        <v>1293.3120988558462</v>
      </c>
      <c r="F43" s="1">
        <f t="shared" si="14"/>
        <v>776.15276876330779</v>
      </c>
      <c r="G43" s="1">
        <f t="shared" ref="G43" si="15">PI()* (G33+G37) * (G39+0.8*G33) * G37 * G42</f>
        <v>7969.1514799180759</v>
      </c>
    </row>
    <row r="44" spans="1:9" s="19" customFormat="1" x14ac:dyDescent="0.25">
      <c r="A44" s="36" t="s">
        <v>146</v>
      </c>
      <c r="B44" s="19">
        <f>EXP(5.6336 + 0.4599* LN(B43) + 0.00582* LN(B43)^2 )</f>
        <v>43718.039841299345</v>
      </c>
      <c r="C44" s="19">
        <f t="shared" ref="C44:D44" si="16">EXP(5.6336 + 0.4599* LN(C43) + 0.00582* LN(C43)^2 )</f>
        <v>43718.039841299345</v>
      </c>
      <c r="D44" s="19">
        <f t="shared" si="16"/>
        <v>24445.848684119686</v>
      </c>
      <c r="E44" s="19">
        <f t="shared" ref="E44:F44" si="17">EXP(5.6336 + 0.4599* LN(E43) + 0.00582* LN(E43)^2 )</f>
        <v>10173.538411155354</v>
      </c>
      <c r="F44" s="19">
        <f t="shared" si="17"/>
        <v>7720.5972305457171</v>
      </c>
      <c r="G44" s="19">
        <f t="shared" ref="G44" si="18">EXP(5.6336 + 0.4599* LN(G43) + 0.00582* LN(G43)^2 )</f>
        <v>27853.407754800646</v>
      </c>
    </row>
    <row r="45" spans="1:9" s="19" customFormat="1" x14ac:dyDescent="0.25">
      <c r="A45" s="36" t="s">
        <v>151</v>
      </c>
      <c r="B45" s="19">
        <f>2275* CONVERT(B33,"in","ft")^0.2094</f>
        <v>3746.3253137360302</v>
      </c>
      <c r="C45" s="19">
        <f>2275* CONVERT(C33,"in","ft")^0.2094</f>
        <v>3746.3253137360302</v>
      </c>
      <c r="D45" s="19">
        <f t="shared" ref="D45:G45" si="19">2275* CONVERT(D33,"in","ft")^0.2094</f>
        <v>3162.6315194751305</v>
      </c>
      <c r="E45" s="19">
        <f t="shared" si="19"/>
        <v>2720.534692448382</v>
      </c>
      <c r="F45" s="19">
        <f t="shared" si="19"/>
        <v>2577.8737217075904</v>
      </c>
      <c r="G45" s="19">
        <f t="shared" si="19"/>
        <v>3240.5839646124864</v>
      </c>
      <c r="H45" s="1" t="s">
        <v>191</v>
      </c>
      <c r="I45" s="1" t="s">
        <v>190</v>
      </c>
    </row>
    <row r="46" spans="1:9" s="21" customFormat="1" x14ac:dyDescent="0.25">
      <c r="A46" s="37" t="s">
        <v>138</v>
      </c>
      <c r="B46" s="21">
        <f>B41*B44+B45</f>
        <v>47464.365155035375</v>
      </c>
      <c r="C46" s="21">
        <f t="shared" ref="C46:D46" si="20">C41*C44+C45</f>
        <v>47464.365155035375</v>
      </c>
      <c r="D46" s="21">
        <f t="shared" si="20"/>
        <v>27608.480203594816</v>
      </c>
      <c r="E46" s="21">
        <f t="shared" ref="E46:F46" si="21">E41*E44+E45</f>
        <v>12894.073103603736</v>
      </c>
      <c r="F46" s="21">
        <f t="shared" si="21"/>
        <v>10298.470952253308</v>
      </c>
      <c r="G46" s="21">
        <f t="shared" ref="G46" si="22">G41*G44+G45</f>
        <v>31093.991719413134</v>
      </c>
      <c r="H46" s="21">
        <f>SUM(B46:G46)</f>
        <v>176823.74628893577</v>
      </c>
      <c r="I46" s="21">
        <f>H46*(596/567)</f>
        <v>185867.64160177374</v>
      </c>
    </row>
    <row r="47" spans="1:9" x14ac:dyDescent="0.25">
      <c r="A47" s="41" t="s">
        <v>235</v>
      </c>
    </row>
    <row r="48" spans="1:9" x14ac:dyDescent="0.25">
      <c r="A48" s="13"/>
    </row>
    <row r="49" spans="1:9" s="30" customFormat="1" x14ac:dyDescent="0.25">
      <c r="A49" s="35" t="s">
        <v>11</v>
      </c>
      <c r="B49" s="30" t="s">
        <v>66</v>
      </c>
      <c r="C49" s="30" t="s">
        <v>67</v>
      </c>
      <c r="D49" s="30" t="s">
        <v>68</v>
      </c>
    </row>
    <row r="50" spans="1:9" x14ac:dyDescent="0.25">
      <c r="A50" s="38" t="s">
        <v>153</v>
      </c>
    </row>
    <row r="51" spans="1:9" x14ac:dyDescent="0.25">
      <c r="A51" s="12" t="s">
        <v>168</v>
      </c>
      <c r="B51" s="1">
        <f>(134.1+249)/2</f>
        <v>191.55</v>
      </c>
      <c r="C51" s="1">
        <f>(219+304.7)/2</f>
        <v>261.85000000000002</v>
      </c>
      <c r="D51" s="1">
        <f>(242.2+311.5)/2</f>
        <v>276.85000000000002</v>
      </c>
    </row>
    <row r="52" spans="1:9" ht="15.75" thickBot="1" x14ac:dyDescent="0.3">
      <c r="A52" s="12" t="s">
        <v>140</v>
      </c>
      <c r="B52" s="1">
        <f>B51+50</f>
        <v>241.55</v>
      </c>
      <c r="C52" s="1">
        <f t="shared" ref="C52:D52" si="23">C51+50</f>
        <v>311.85000000000002</v>
      </c>
      <c r="D52" s="1">
        <f t="shared" si="23"/>
        <v>326.85000000000002</v>
      </c>
    </row>
    <row r="53" spans="1:9" x14ac:dyDescent="0.25">
      <c r="A53" s="12" t="s">
        <v>141</v>
      </c>
      <c r="B53" s="1">
        <v>15000</v>
      </c>
      <c r="C53" s="1">
        <v>15000</v>
      </c>
      <c r="D53" s="1">
        <v>15000</v>
      </c>
      <c r="G53" s="23"/>
      <c r="H53" s="72" t="s">
        <v>192</v>
      </c>
      <c r="I53" s="73"/>
    </row>
    <row r="54" spans="1:9" x14ac:dyDescent="0.25">
      <c r="A54" s="12" t="s">
        <v>178</v>
      </c>
      <c r="B54" s="9">
        <f>CONVERT(Sizing!B61,"m","ft")</f>
        <v>10.804822846097622</v>
      </c>
      <c r="C54" s="9">
        <f>CONVERT(Sizing!C61,"m","ft")</f>
        <v>2.9652107708173432</v>
      </c>
      <c r="D54" s="9">
        <f>CONVERT(Sizing!D61,"m","ft")</f>
        <v>1.5796790996484429</v>
      </c>
      <c r="G54" s="24"/>
      <c r="H54" s="1" t="s">
        <v>191</v>
      </c>
      <c r="I54" s="25" t="s">
        <v>190</v>
      </c>
    </row>
    <row r="55" spans="1:9" x14ac:dyDescent="0.25">
      <c r="A55" s="12" t="s">
        <v>180</v>
      </c>
      <c r="B55" s="1">
        <f>0.22*(B54*12+18)*(B59*12)^2/(B53*(B54*12)^2)</f>
        <v>1.1002873990902651</v>
      </c>
      <c r="C55" s="1">
        <f>0.22*(C54*12+18)*(C59*12)^2/(C53*(C54*12)^2)</f>
        <v>1.2974710985856059</v>
      </c>
      <c r="D55" s="1">
        <f>0.22*(D54*12+18)*(D59*12)^2/(D53*(D54*12)^2)</f>
        <v>1.188399540342931</v>
      </c>
      <c r="G55" s="24" t="s">
        <v>66</v>
      </c>
      <c r="H55" s="21">
        <f>B76+D14+E14+D46+E98+F98</f>
        <v>1530037.4952961467</v>
      </c>
      <c r="I55" s="26">
        <f>H55*(596/567)</f>
        <v>1608293.3812989478</v>
      </c>
    </row>
    <row r="56" spans="1:9" x14ac:dyDescent="0.25">
      <c r="A56" s="12" t="s">
        <v>148</v>
      </c>
      <c r="B56" s="1">
        <v>0.5</v>
      </c>
      <c r="C56" s="1">
        <v>0.25</v>
      </c>
      <c r="D56" s="1">
        <v>0.25</v>
      </c>
      <c r="G56" s="24" t="s">
        <v>67</v>
      </c>
      <c r="H56" s="21">
        <f>C76+F14+G14+E46+G98+H98</f>
        <v>334511.4501186065</v>
      </c>
      <c r="I56" s="26">
        <f t="shared" ref="I56:I57" si="24">H56*(596/567)</f>
        <v>351620.50135924068</v>
      </c>
    </row>
    <row r="57" spans="1:9" ht="15.75" thickBot="1" x14ac:dyDescent="0.3">
      <c r="A57" s="12" t="s">
        <v>145</v>
      </c>
      <c r="B57" s="1">
        <f>B55+1/8</f>
        <v>1.2252873990902651</v>
      </c>
      <c r="C57" s="1">
        <f t="shared" ref="C57:D57" si="25">C55+1/8</f>
        <v>1.4224710985856059</v>
      </c>
      <c r="D57" s="1">
        <f t="shared" si="25"/>
        <v>1.313399540342931</v>
      </c>
      <c r="G57" s="27" t="s">
        <v>68</v>
      </c>
      <c r="H57" s="28">
        <f>D76+H14+I14+F46+I98+J98</f>
        <v>181703.1999629857</v>
      </c>
      <c r="I57" s="29">
        <f t="shared" si="24"/>
        <v>190996.66168948761</v>
      </c>
    </row>
    <row r="58" spans="1:9" x14ac:dyDescent="0.25">
      <c r="A58" s="12" t="s">
        <v>144</v>
      </c>
      <c r="B58" s="1" t="s">
        <v>176</v>
      </c>
      <c r="C58" s="1" t="s">
        <v>176</v>
      </c>
      <c r="D58" s="1" t="s">
        <v>176</v>
      </c>
      <c r="H58" s="41" t="s">
        <v>235</v>
      </c>
      <c r="I58" s="41" t="s">
        <v>235</v>
      </c>
    </row>
    <row r="59" spans="1:9" x14ac:dyDescent="0.25">
      <c r="A59" s="12" t="s">
        <v>179</v>
      </c>
      <c r="B59" s="1">
        <f>CONVERT(Sizing!B49,"m","ft")</f>
        <v>243.54359005735017</v>
      </c>
      <c r="C59" s="1">
        <f>CONVERT(Sizing!C49,"m","ft")</f>
        <v>120.48336806664744</v>
      </c>
      <c r="D59" s="1">
        <f>CONVERT(Sizing!D49,"m","ft")</f>
        <v>73.967517470133672</v>
      </c>
    </row>
    <row r="60" spans="1:9" x14ac:dyDescent="0.25">
      <c r="A60" s="13" t="s">
        <v>133</v>
      </c>
      <c r="B60" s="1" t="s">
        <v>171</v>
      </c>
      <c r="C60" s="1" t="s">
        <v>171</v>
      </c>
      <c r="D60" s="1" t="s">
        <v>171</v>
      </c>
      <c r="H60" s="19"/>
    </row>
    <row r="61" spans="1:9" x14ac:dyDescent="0.25">
      <c r="A61" s="13" t="s">
        <v>136</v>
      </c>
      <c r="B61" s="1">
        <v>1</v>
      </c>
      <c r="C61" s="1">
        <v>1</v>
      </c>
      <c r="D61" s="1">
        <v>1</v>
      </c>
    </row>
    <row r="62" spans="1:9" x14ac:dyDescent="0.25">
      <c r="A62" s="13" t="s">
        <v>149</v>
      </c>
      <c r="B62" s="1">
        <v>0.28399999999999997</v>
      </c>
      <c r="C62" s="1">
        <v>0.28399999999999997</v>
      </c>
      <c r="D62" s="1">
        <v>0.28399999999999997</v>
      </c>
    </row>
    <row r="63" spans="1:9" x14ac:dyDescent="0.25">
      <c r="A63" s="12" t="s">
        <v>177</v>
      </c>
      <c r="B63" s="1">
        <f>PI()* (B54*12+B57) * (B59*12+0.8*B54*12) * B57 * B62</f>
        <v>433006.75402336876</v>
      </c>
      <c r="C63" s="1">
        <f t="shared" ref="C63:D63" si="26">PI()* (C54*12+C57) * (C59*12+0.8*C54*12) * C57 * C62</f>
        <v>69238.56464630783</v>
      </c>
      <c r="D63" s="1">
        <f t="shared" si="26"/>
        <v>21443.157659201868</v>
      </c>
    </row>
    <row r="64" spans="1:9" x14ac:dyDescent="0.25">
      <c r="A64" s="13" t="s">
        <v>146</v>
      </c>
      <c r="B64" s="19">
        <f>EXP(10.5449-0.4672* LN(B63) + 0.05482* LN(B63)^2 )</f>
        <v>904659.56890139496</v>
      </c>
      <c r="C64" s="19">
        <f t="shared" ref="C64:D64" si="27">EXP(10.5449-0.4672* LN(C63) + 0.05482* LN(C63)^2 )</f>
        <v>188610.78637378648</v>
      </c>
      <c r="D64" s="19">
        <f t="shared" si="27"/>
        <v>83956.351406689006</v>
      </c>
    </row>
    <row r="65" spans="1:10" x14ac:dyDescent="0.25">
      <c r="A65" s="13" t="s">
        <v>151</v>
      </c>
      <c r="B65" s="19">
        <f>341* B54^0.63316 * B59^0.80161</f>
        <v>125980.54479577151</v>
      </c>
      <c r="C65" s="19">
        <f>341* C54^0.63316 * C59^0.80161</f>
        <v>31603.345229176102</v>
      </c>
      <c r="D65" s="19">
        <f>341* D54^0.63316 * D59^0.80161</f>
        <v>14345.716251312027</v>
      </c>
      <c r="E65" s="1" t="s">
        <v>191</v>
      </c>
      <c r="F65" s="1" t="s">
        <v>190</v>
      </c>
    </row>
    <row r="66" spans="1:10" s="7" customFormat="1" x14ac:dyDescent="0.25">
      <c r="A66" s="17" t="s">
        <v>138</v>
      </c>
      <c r="B66" s="21">
        <f>B61*B64+B65</f>
        <v>1030640.1136971664</v>
      </c>
      <c r="C66" s="21">
        <f>C61*C64+C65</f>
        <v>220214.13160296259</v>
      </c>
      <c r="D66" s="21">
        <f>D61*D64+D65</f>
        <v>98302.067658001033</v>
      </c>
      <c r="E66" s="21">
        <f>SUM(B66:D66)</f>
        <v>1349156.3129581301</v>
      </c>
      <c r="F66" s="21">
        <f>E66*(596/567)</f>
        <v>1418160.7804639251</v>
      </c>
    </row>
    <row r="67" spans="1:10" x14ac:dyDescent="0.25">
      <c r="A67" s="38" t="s">
        <v>152</v>
      </c>
    </row>
    <row r="68" spans="1:10" s="19" customFormat="1" x14ac:dyDescent="0.25">
      <c r="A68" s="33" t="s">
        <v>154</v>
      </c>
      <c r="B68" s="19">
        <f>468*EXP(0.1482*B54)</f>
        <v>2320.9759439690156</v>
      </c>
      <c r="C68" s="19">
        <f>468*EXP(0.1482*C54)</f>
        <v>726.26323529090848</v>
      </c>
      <c r="D68" s="19">
        <f>468*EXP(0.1482*D54)</f>
        <v>591.44975720615798</v>
      </c>
    </row>
    <row r="69" spans="1:10" x14ac:dyDescent="0.25">
      <c r="A69" s="12" t="s">
        <v>155</v>
      </c>
      <c r="B69" s="10">
        <f>Sizing!B42</f>
        <v>125.05833863541876</v>
      </c>
      <c r="C69" s="10">
        <f>Sizing!C42</f>
        <v>56.860601066752977</v>
      </c>
      <c r="D69" s="10">
        <f>Sizing!D42</f>
        <v>31.082362408903165</v>
      </c>
    </row>
    <row r="70" spans="1:10" x14ac:dyDescent="0.25">
      <c r="A70" s="12" t="s">
        <v>156</v>
      </c>
      <c r="B70" s="1">
        <v>1</v>
      </c>
      <c r="C70" s="1">
        <v>1</v>
      </c>
      <c r="D70" s="1">
        <v>1</v>
      </c>
      <c r="G70" s="11"/>
    </row>
    <row r="71" spans="1:10" x14ac:dyDescent="0.25">
      <c r="A71" s="12" t="s">
        <v>49</v>
      </c>
      <c r="B71" s="1" t="s">
        <v>50</v>
      </c>
      <c r="C71" s="1" t="s">
        <v>50</v>
      </c>
      <c r="D71" s="1" t="s">
        <v>50</v>
      </c>
    </row>
    <row r="72" spans="1:10" x14ac:dyDescent="0.25">
      <c r="A72" s="12" t="s">
        <v>157</v>
      </c>
      <c r="B72" s="1">
        <v>1</v>
      </c>
      <c r="C72" s="1">
        <v>1</v>
      </c>
      <c r="D72" s="1">
        <v>1</v>
      </c>
    </row>
    <row r="73" spans="1:10" x14ac:dyDescent="0.25">
      <c r="A73" s="12" t="s">
        <v>133</v>
      </c>
      <c r="B73" s="1" t="s">
        <v>171</v>
      </c>
      <c r="C73" s="1" t="s">
        <v>171</v>
      </c>
      <c r="D73" s="1" t="s">
        <v>171</v>
      </c>
    </row>
    <row r="74" spans="1:10" x14ac:dyDescent="0.25">
      <c r="A74" s="12" t="s">
        <v>158</v>
      </c>
      <c r="B74" s="1">
        <v>1</v>
      </c>
      <c r="C74" s="1">
        <v>1</v>
      </c>
      <c r="D74" s="1">
        <v>1</v>
      </c>
      <c r="E74" s="1" t="s">
        <v>191</v>
      </c>
      <c r="F74" s="1" t="s">
        <v>190</v>
      </c>
    </row>
    <row r="75" spans="1:10" s="7" customFormat="1" x14ac:dyDescent="0.25">
      <c r="A75" s="15" t="s">
        <v>159</v>
      </c>
      <c r="B75" s="21">
        <f>B69*B70*B72*B74*B68</f>
        <v>290257.39556553785</v>
      </c>
      <c r="C75" s="21">
        <f t="shared" ref="C75:D75" si="28">C69*C70*C72*C74*C68</f>
        <v>41295.764091325698</v>
      </c>
      <c r="D75" s="21">
        <f t="shared" si="28"/>
        <v>18383.655700139589</v>
      </c>
      <c r="E75" s="21">
        <f>SUM(B75:D75)</f>
        <v>349936.81535700313</v>
      </c>
      <c r="F75" s="21">
        <f>E75*(596/567)</f>
        <v>367834.81825886044</v>
      </c>
      <c r="H75" s="21"/>
      <c r="I75" s="21"/>
    </row>
    <row r="76" spans="1:10" s="7" customFormat="1" x14ac:dyDescent="0.25">
      <c r="A76" s="15" t="s">
        <v>187</v>
      </c>
      <c r="B76" s="21">
        <f>B66+B75</f>
        <v>1320897.5092627043</v>
      </c>
      <c r="C76" s="21">
        <f t="shared" ref="C76:D76" si="29">C66+C75</f>
        <v>261509.89569428828</v>
      </c>
      <c r="D76" s="21">
        <f t="shared" si="29"/>
        <v>116685.72335814062</v>
      </c>
      <c r="E76" s="21">
        <f>SUM(B76:D76)</f>
        <v>1699093.128315133</v>
      </c>
      <c r="F76" s="21">
        <f>E76*(596/567)</f>
        <v>1785995.5987227852</v>
      </c>
      <c r="H76" s="21"/>
      <c r="I76" s="21"/>
    </row>
    <row r="77" spans="1:10" x14ac:dyDescent="0.25">
      <c r="A77" s="41" t="s">
        <v>235</v>
      </c>
    </row>
    <row r="79" spans="1:10" s="30" customFormat="1" x14ac:dyDescent="0.25">
      <c r="A79" s="35" t="s">
        <v>51</v>
      </c>
      <c r="B79" s="30" t="s">
        <v>52</v>
      </c>
      <c r="C79" s="30" t="s">
        <v>53</v>
      </c>
      <c r="D79" s="30" t="s">
        <v>54</v>
      </c>
      <c r="E79" s="30" t="s">
        <v>55</v>
      </c>
      <c r="F79" s="30" t="s">
        <v>56</v>
      </c>
      <c r="G79" s="30" t="s">
        <v>57</v>
      </c>
      <c r="H79" s="30" t="s">
        <v>58</v>
      </c>
      <c r="I79" s="30" t="s">
        <v>59</v>
      </c>
      <c r="J79" s="30" t="s">
        <v>60</v>
      </c>
    </row>
    <row r="80" spans="1:10" x14ac:dyDescent="0.25">
      <c r="A80" s="14" t="s">
        <v>189</v>
      </c>
    </row>
    <row r="81" spans="1:12" ht="15.75" thickBot="1" x14ac:dyDescent="0.3">
      <c r="A81" s="12" t="s">
        <v>130</v>
      </c>
      <c r="B81" s="1" t="s">
        <v>173</v>
      </c>
      <c r="C81" s="1" t="s">
        <v>173</v>
      </c>
      <c r="D81" s="1" t="s">
        <v>173</v>
      </c>
      <c r="E81" s="1" t="s">
        <v>173</v>
      </c>
      <c r="F81" s="1" t="s">
        <v>173</v>
      </c>
      <c r="G81" s="1" t="s">
        <v>173</v>
      </c>
      <c r="H81" s="1" t="s">
        <v>173</v>
      </c>
      <c r="I81" s="1" t="s">
        <v>173</v>
      </c>
      <c r="J81" s="1" t="s">
        <v>173</v>
      </c>
    </row>
    <row r="82" spans="1:12" x14ac:dyDescent="0.25">
      <c r="A82" s="12" t="s">
        <v>160</v>
      </c>
      <c r="B82" s="1">
        <v>6.9566244813481903</v>
      </c>
      <c r="C82" s="1">
        <v>41.7502482386178</v>
      </c>
      <c r="D82" s="1">
        <v>39.420558675194002</v>
      </c>
      <c r="E82" s="1">
        <v>221.73370492145901</v>
      </c>
      <c r="F82" s="1">
        <v>404.161381342163</v>
      </c>
      <c r="G82" s="1">
        <v>23.513391667034199</v>
      </c>
      <c r="H82" s="1">
        <v>97.556663763429199</v>
      </c>
      <c r="I82" s="1">
        <v>12.3237473983007</v>
      </c>
      <c r="J82" s="1">
        <v>23.8397145412276</v>
      </c>
      <c r="K82" s="74" t="s">
        <v>241</v>
      </c>
      <c r="L82" s="75"/>
    </row>
    <row r="83" spans="1:12" x14ac:dyDescent="0.25">
      <c r="A83" s="12" t="s">
        <v>161</v>
      </c>
      <c r="B83" s="1">
        <f>CONVERT(Sizing!B35,"m","ft")</f>
        <v>44.738424840370762</v>
      </c>
      <c r="C83" s="1">
        <f>CONVERT(Sizing!C35,"m","ft")</f>
        <v>63.516270031534674</v>
      </c>
      <c r="D83" s="1">
        <f>CONVERT(Sizing!D35,"m","ft")</f>
        <v>4.545493885916839</v>
      </c>
      <c r="E83" s="1">
        <f>CONVERT(Sizing!E35,"m","ft")</f>
        <v>242.69374596349942</v>
      </c>
      <c r="F83" s="1">
        <f>CONVERT(Sizing!F35,"m","ft")</f>
        <v>14.09582098048541</v>
      </c>
      <c r="G83" s="1">
        <f>CONVERT(Sizing!G35,"m","ft")</f>
        <v>119.9542532332855</v>
      </c>
      <c r="H83" s="1">
        <f>CONVERT(Sizing!H35,"m","ft")</f>
        <v>14.393602611375334</v>
      </c>
      <c r="I83" s="1">
        <f>CONVERT(Sizing!I35,"m","ft")</f>
        <v>73.559230951056648</v>
      </c>
      <c r="J83" s="1">
        <f>CONVERT(Sizing!J35,"m","ft")</f>
        <v>14.566727216864631</v>
      </c>
      <c r="K83" s="24" t="s">
        <v>191</v>
      </c>
      <c r="L83" s="25" t="s">
        <v>190</v>
      </c>
    </row>
    <row r="84" spans="1:12" ht="15.75" thickBot="1" x14ac:dyDescent="0.3">
      <c r="A84" s="12" t="s">
        <v>162</v>
      </c>
      <c r="B84" s="1">
        <f>B82*B83^0.5</f>
        <v>46.530627078393685</v>
      </c>
      <c r="C84" s="1">
        <f>C82*C83^0.5</f>
        <v>332.73735136923108</v>
      </c>
      <c r="D84" s="1">
        <f t="shared" ref="D84:J84" si="30">D82*D83^0.5</f>
        <v>84.045277186342901</v>
      </c>
      <c r="E84" s="1">
        <f t="shared" si="30"/>
        <v>3454.3075843879392</v>
      </c>
      <c r="F84" s="1">
        <f t="shared" si="30"/>
        <v>1517.399724755687</v>
      </c>
      <c r="G84" s="1">
        <f t="shared" si="30"/>
        <v>257.52719869746431</v>
      </c>
      <c r="H84" s="1">
        <f t="shared" si="30"/>
        <v>370.11926753317618</v>
      </c>
      <c r="I84" s="1">
        <f t="shared" si="30"/>
        <v>105.69668777335848</v>
      </c>
      <c r="J84" s="1">
        <f t="shared" si="30"/>
        <v>90.987565404910981</v>
      </c>
      <c r="K84" s="42">
        <f>SUM(B98:D98)</f>
        <v>22066.648579130982</v>
      </c>
      <c r="L84" s="29">
        <f>K84*(596/567)</f>
        <v>23195.277871538034</v>
      </c>
    </row>
    <row r="85" spans="1:12" s="19" customFormat="1" x14ac:dyDescent="0.25">
      <c r="A85" s="33" t="s">
        <v>131</v>
      </c>
      <c r="B85" s="19">
        <f>EXP(12.1656-1.1448*LN(B84) + 0.0862* LN(B84)^2 )</f>
        <v>8438.7144217330715</v>
      </c>
      <c r="C85" s="19">
        <f>EXP(12.1656-1.1448*LN(C84) + 0.0862* LN(C84)^2 )</f>
        <v>4557.2164756473858</v>
      </c>
      <c r="D85" s="19">
        <f t="shared" ref="D85:J85" si="31">EXP(12.1656-1.1448*LN(D84) + 0.0862* LN(D84)^2 )</f>
        <v>6537.3419804006899</v>
      </c>
      <c r="E85" s="19">
        <f t="shared" si="31"/>
        <v>5220.8604825362609</v>
      </c>
      <c r="F85" s="19">
        <f t="shared" si="31"/>
        <v>4469.4729793347551</v>
      </c>
      <c r="G85" s="19">
        <f t="shared" si="31"/>
        <v>4754.8673024956142</v>
      </c>
      <c r="H85" s="19">
        <f t="shared" si="31"/>
        <v>4492.4514652151074</v>
      </c>
      <c r="I85" s="19">
        <f t="shared" si="31"/>
        <v>6018.0642116629042</v>
      </c>
      <c r="J85" s="19">
        <f t="shared" si="31"/>
        <v>6346.1472684902164</v>
      </c>
      <c r="K85" s="41" t="s">
        <v>235</v>
      </c>
      <c r="L85" s="41" t="s">
        <v>235</v>
      </c>
    </row>
    <row r="86" spans="1:12" x14ac:dyDescent="0.25">
      <c r="A86" s="12" t="s">
        <v>133</v>
      </c>
      <c r="B86" s="1" t="s">
        <v>174</v>
      </c>
      <c r="C86" s="1" t="s">
        <v>174</v>
      </c>
      <c r="D86" s="1" t="s">
        <v>174</v>
      </c>
      <c r="E86" s="1" t="s">
        <v>174</v>
      </c>
      <c r="F86" s="1" t="s">
        <v>174</v>
      </c>
      <c r="G86" s="1" t="s">
        <v>174</v>
      </c>
      <c r="H86" s="1" t="s">
        <v>174</v>
      </c>
      <c r="I86" s="1" t="s">
        <v>174</v>
      </c>
      <c r="J86" s="1" t="s">
        <v>174</v>
      </c>
    </row>
    <row r="87" spans="1:12" x14ac:dyDescent="0.25">
      <c r="A87" s="12" t="s">
        <v>136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</row>
    <row r="88" spans="1:12" x14ac:dyDescent="0.25">
      <c r="A88" s="12" t="s">
        <v>163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 t="s">
        <v>191</v>
      </c>
      <c r="L88" s="1" t="s">
        <v>190</v>
      </c>
    </row>
    <row r="89" spans="1:12" s="21" customFormat="1" x14ac:dyDescent="0.25">
      <c r="A89" s="34" t="s">
        <v>138</v>
      </c>
      <c r="B89" s="21">
        <f>B88*B87*B85</f>
        <v>8438.7144217330715</v>
      </c>
      <c r="C89" s="21">
        <f>C88*C87*C85</f>
        <v>4557.2164756473858</v>
      </c>
      <c r="D89" s="21">
        <f t="shared" ref="D89:J89" si="32">D88*D87*D85</f>
        <v>6537.3419804006899</v>
      </c>
      <c r="E89" s="21">
        <f t="shared" si="32"/>
        <v>5220.8604825362609</v>
      </c>
      <c r="F89" s="21">
        <f t="shared" si="32"/>
        <v>4469.4729793347551</v>
      </c>
      <c r="G89" s="21">
        <f t="shared" si="32"/>
        <v>4754.8673024956142</v>
      </c>
      <c r="H89" s="21">
        <f t="shared" si="32"/>
        <v>4492.4514652151074</v>
      </c>
      <c r="I89" s="21">
        <f t="shared" si="32"/>
        <v>6018.0642116629042</v>
      </c>
      <c r="J89" s="21">
        <f t="shared" si="32"/>
        <v>6346.1472684902164</v>
      </c>
      <c r="K89" s="21">
        <f>SUM(B89:J89)</f>
        <v>50835.136587516005</v>
      </c>
      <c r="L89" s="21">
        <f>K89*(596/567)</f>
        <v>53435.170028500062</v>
      </c>
    </row>
    <row r="90" spans="1:12" x14ac:dyDescent="0.25">
      <c r="A90" s="14" t="s">
        <v>164</v>
      </c>
    </row>
    <row r="91" spans="1:12" x14ac:dyDescent="0.25">
      <c r="A91" s="13" t="s">
        <v>166</v>
      </c>
      <c r="B91" s="1">
        <f t="shared" ref="B91:J91" si="33">-0.316+0.24015*LN(B82)-0.01199*LN(B82)</f>
        <v>0.1265606670917292</v>
      </c>
      <c r="C91" s="1">
        <f t="shared" si="33"/>
        <v>0.53542590340560892</v>
      </c>
      <c r="D91" s="1">
        <f t="shared" si="33"/>
        <v>0.52232543006863796</v>
      </c>
      <c r="E91" s="1">
        <f t="shared" si="33"/>
        <v>0.91640102300356308</v>
      </c>
      <c r="F91" s="1">
        <f t="shared" si="33"/>
        <v>1.0533739408694691</v>
      </c>
      <c r="G91" s="1">
        <f t="shared" si="33"/>
        <v>0.40443119789797627</v>
      </c>
      <c r="H91" s="1">
        <f t="shared" si="33"/>
        <v>0.72907167906728798</v>
      </c>
      <c r="I91" s="1">
        <f t="shared" si="33"/>
        <v>0.25703024759854393</v>
      </c>
      <c r="J91" s="1">
        <f t="shared" si="33"/>
        <v>0.40757587040478521</v>
      </c>
    </row>
    <row r="92" spans="1:12" x14ac:dyDescent="0.25">
      <c r="A92" s="13" t="s">
        <v>184</v>
      </c>
      <c r="B92" s="1">
        <f>CONVERT(Sizing!B36,"W","HP")</f>
        <v>0.13772475112298677</v>
      </c>
      <c r="C92" s="1">
        <f>CONVERT(Sizing!C36,"W","HP")</f>
        <v>1.2661633421915306</v>
      </c>
      <c r="D92" s="1">
        <f>CONVERT(Sizing!D36,"W","HP")</f>
        <v>7.6618973184574529E-2</v>
      </c>
      <c r="E92" s="1">
        <f>CONVERT(Sizing!E36,"W","HP")</f>
        <v>25.695165908452012</v>
      </c>
      <c r="F92" s="1">
        <f>CONVERT(Sizing!F36,"W","HP")</f>
        <v>2.603907905025773</v>
      </c>
      <c r="G92" s="1">
        <f>CONVERT(Sizing!G36,"W","HP")</f>
        <v>1.2484203491534849</v>
      </c>
      <c r="H92" s="1">
        <f>CONVERT(Sizing!H36,"W","HP")</f>
        <v>0.59981632121896755</v>
      </c>
      <c r="I92" s="1">
        <f>CONVERT(Sizing!I36,"W","HP")</f>
        <v>0.39050246656725307</v>
      </c>
      <c r="J92" s="1">
        <f>CONVERT(Sizing!J36,"W","HP")</f>
        <v>0.14290277105839003</v>
      </c>
    </row>
    <row r="93" spans="1:12" x14ac:dyDescent="0.25">
      <c r="A93" s="13" t="s">
        <v>165</v>
      </c>
      <c r="B93" s="1">
        <f>0.8+0.0319*LN(B92)-0.00182*LN(B92)^2</f>
        <v>0.72960516527637731</v>
      </c>
      <c r="C93" s="1">
        <f t="shared" ref="C93:J93" si="34">0.8+0.0319*LN(C92)-0.00182*LN(C92)^2</f>
        <v>0.80742676439274741</v>
      </c>
      <c r="D93" s="1">
        <f t="shared" si="34"/>
        <v>0.70604102524464563</v>
      </c>
      <c r="E93" s="1">
        <f t="shared" si="34"/>
        <v>0.88437702386957096</v>
      </c>
      <c r="F93" s="1">
        <f t="shared" si="34"/>
        <v>0.82886183437877292</v>
      </c>
      <c r="G93" s="1">
        <f t="shared" si="34"/>
        <v>0.80698834194946856</v>
      </c>
      <c r="H93" s="1">
        <f t="shared" si="34"/>
        <v>0.78321941010977014</v>
      </c>
      <c r="I93" s="1">
        <f t="shared" si="34"/>
        <v>0.76839450981591939</v>
      </c>
      <c r="J93" s="1">
        <f t="shared" si="34"/>
        <v>0.73104636449586646</v>
      </c>
    </row>
    <row r="94" spans="1:12" x14ac:dyDescent="0.25">
      <c r="A94" s="13" t="s">
        <v>185</v>
      </c>
      <c r="B94" s="1">
        <f>B92/B93</f>
        <v>0.18876614047930443</v>
      </c>
      <c r="C94" s="1">
        <f t="shared" ref="C94:J94" si="35">C92/C93</f>
        <v>1.5681463607956958</v>
      </c>
      <c r="D94" s="1">
        <f t="shared" si="35"/>
        <v>0.10851915178445302</v>
      </c>
      <c r="E94" s="1">
        <f t="shared" si="35"/>
        <v>29.054538070226446</v>
      </c>
      <c r="F94" s="1">
        <f t="shared" si="35"/>
        <v>3.1415463917184541</v>
      </c>
      <c r="G94" s="1">
        <f t="shared" si="35"/>
        <v>1.5470116286161388</v>
      </c>
      <c r="H94" s="1">
        <f t="shared" si="35"/>
        <v>0.76583434153515395</v>
      </c>
      <c r="I94" s="1">
        <f t="shared" si="35"/>
        <v>0.50820569587464115</v>
      </c>
      <c r="J94" s="1">
        <f t="shared" si="35"/>
        <v>0.19547702854241886</v>
      </c>
    </row>
    <row r="95" spans="1:12" s="19" customFormat="1" x14ac:dyDescent="0.25">
      <c r="A95" s="36" t="s">
        <v>131</v>
      </c>
      <c r="B95" s="19">
        <f>EXP(5.9332+0.16829*LN(B94)-0.110056*LN(B94)^2+0.071413*LN(B94)^3-0.0063788*LN(B94)^4)</f>
        <v>143.51603664783514</v>
      </c>
      <c r="C95" s="19">
        <f t="shared" ref="C95:J95" si="36">EXP(5.9332+0.16829*LN(C94)-0.110056*LN(C94)^2+0.071413*LN(C94)^3-0.0063788*LN(C94)^4)</f>
        <v>400.56595548409933</v>
      </c>
      <c r="D95" s="19">
        <f t="shared" si="36"/>
        <v>59.102698665645278</v>
      </c>
      <c r="E95" s="19">
        <f t="shared" si="36"/>
        <v>1287.1083085450953</v>
      </c>
      <c r="F95" s="19">
        <f t="shared" si="36"/>
        <v>436.06730178125298</v>
      </c>
      <c r="G95" s="19">
        <f t="shared" si="36"/>
        <v>399.96523446112224</v>
      </c>
      <c r="H95" s="19">
        <f t="shared" si="36"/>
        <v>357.48028510905863</v>
      </c>
      <c r="I95" s="19">
        <f t="shared" si="36"/>
        <v>312.74327966225241</v>
      </c>
      <c r="J95" s="19">
        <f t="shared" si="36"/>
        <v>149.81266315555479</v>
      </c>
    </row>
    <row r="96" spans="1:12" x14ac:dyDescent="0.25">
      <c r="A96" s="13" t="s">
        <v>163</v>
      </c>
      <c r="B96" s="1">
        <f>1+1.4+1.8</f>
        <v>4.2</v>
      </c>
      <c r="C96" s="1">
        <f t="shared" ref="C96:J96" si="37">1+1.4+1.8</f>
        <v>4.2</v>
      </c>
      <c r="D96" s="1">
        <f t="shared" si="37"/>
        <v>4.2</v>
      </c>
      <c r="E96" s="1">
        <f t="shared" si="37"/>
        <v>4.2</v>
      </c>
      <c r="F96" s="1">
        <f t="shared" si="37"/>
        <v>4.2</v>
      </c>
      <c r="G96" s="1">
        <f t="shared" si="37"/>
        <v>4.2</v>
      </c>
      <c r="H96" s="1">
        <f t="shared" si="37"/>
        <v>4.2</v>
      </c>
      <c r="I96" s="1">
        <f t="shared" si="37"/>
        <v>4.2</v>
      </c>
      <c r="J96" s="1">
        <f t="shared" si="37"/>
        <v>4.2</v>
      </c>
      <c r="K96" s="1" t="s">
        <v>191</v>
      </c>
      <c r="L96" s="1" t="s">
        <v>190</v>
      </c>
    </row>
    <row r="97" spans="1:12" s="21" customFormat="1" x14ac:dyDescent="0.25">
      <c r="A97" s="37" t="s">
        <v>138</v>
      </c>
      <c r="B97" s="21">
        <f>B96*B95</f>
        <v>602.76735392090757</v>
      </c>
      <c r="C97" s="21">
        <f t="shared" ref="C97:J97" si="38">C96*C95</f>
        <v>1682.3770130332173</v>
      </c>
      <c r="D97" s="21">
        <f t="shared" si="38"/>
        <v>248.23133439571018</v>
      </c>
      <c r="E97" s="21">
        <f t="shared" si="38"/>
        <v>5405.8548958894007</v>
      </c>
      <c r="F97" s="21">
        <f t="shared" si="38"/>
        <v>1831.4826674812625</v>
      </c>
      <c r="G97" s="21">
        <f t="shared" si="38"/>
        <v>1679.8539847367135</v>
      </c>
      <c r="H97" s="21">
        <f t="shared" si="38"/>
        <v>1501.4171974580463</v>
      </c>
      <c r="I97" s="21">
        <f t="shared" si="38"/>
        <v>1313.5217745814602</v>
      </c>
      <c r="J97" s="21">
        <f t="shared" si="38"/>
        <v>629.21318525333015</v>
      </c>
      <c r="K97" s="21">
        <f>SUM(B97:J97)</f>
        <v>14894.719406750048</v>
      </c>
      <c r="L97" s="21">
        <f>K97*(596/567)</f>
        <v>15656.530452245199</v>
      </c>
    </row>
    <row r="98" spans="1:12" s="7" customFormat="1" x14ac:dyDescent="0.25">
      <c r="A98" s="15" t="s">
        <v>188</v>
      </c>
      <c r="B98" s="21">
        <f t="shared" ref="B98:J98" si="39">B89+B97</f>
        <v>9041.4817756539796</v>
      </c>
      <c r="C98" s="21">
        <f t="shared" si="39"/>
        <v>6239.5934886806026</v>
      </c>
      <c r="D98" s="21">
        <f t="shared" si="39"/>
        <v>6785.5733147964002</v>
      </c>
      <c r="E98" s="21">
        <f t="shared" si="39"/>
        <v>10626.715378425662</v>
      </c>
      <c r="F98" s="21">
        <f t="shared" si="39"/>
        <v>6300.9556468160172</v>
      </c>
      <c r="G98" s="21">
        <f t="shared" si="39"/>
        <v>6434.721287232328</v>
      </c>
      <c r="H98" s="21">
        <f t="shared" si="39"/>
        <v>5993.8686626731542</v>
      </c>
      <c r="I98" s="21">
        <f t="shared" si="39"/>
        <v>7331.5859862443649</v>
      </c>
      <c r="J98" s="21">
        <f t="shared" si="39"/>
        <v>6975.3604537435467</v>
      </c>
      <c r="K98" s="21">
        <f>SUM(B98:J98)</f>
        <v>65729.85599426605</v>
      </c>
      <c r="L98" s="21">
        <f>K98*(596/567)</f>
        <v>69091.700480745261</v>
      </c>
    </row>
    <row r="99" spans="1:12" x14ac:dyDescent="0.25">
      <c r="A99" s="41" t="s">
        <v>235</v>
      </c>
    </row>
    <row r="101" spans="1:12" s="30" customFormat="1" x14ac:dyDescent="0.25">
      <c r="A101" s="35" t="s">
        <v>230</v>
      </c>
      <c r="B101" s="30" t="s">
        <v>219</v>
      </c>
    </row>
    <row r="102" spans="1:12" x14ac:dyDescent="0.25">
      <c r="A102" s="12" t="s">
        <v>193</v>
      </c>
      <c r="B102" s="1">
        <v>4260</v>
      </c>
    </row>
    <row r="103" spans="1:12" x14ac:dyDescent="0.25">
      <c r="A103" s="12" t="s">
        <v>194</v>
      </c>
      <c r="B103" s="1">
        <f>1-0.72</f>
        <v>0.28000000000000003</v>
      </c>
    </row>
    <row r="104" spans="1:12" x14ac:dyDescent="0.25">
      <c r="A104" s="12" t="s">
        <v>195</v>
      </c>
      <c r="B104" s="1">
        <v>2</v>
      </c>
    </row>
    <row r="105" spans="1:12" x14ac:dyDescent="0.25">
      <c r="A105" s="12" t="s">
        <v>196</v>
      </c>
      <c r="B105" s="1">
        <v>29.9354509978937</v>
      </c>
    </row>
    <row r="107" spans="1:12" x14ac:dyDescent="0.25">
      <c r="B107" s="1" t="s">
        <v>221</v>
      </c>
      <c r="C107" s="1" t="s">
        <v>222</v>
      </c>
      <c r="D107" s="1" t="s">
        <v>223</v>
      </c>
    </row>
    <row r="108" spans="1:12" x14ac:dyDescent="0.25">
      <c r="A108" s="12" t="s">
        <v>220</v>
      </c>
      <c r="B108" s="40">
        <v>0.84299999999999997</v>
      </c>
      <c r="C108" s="40">
        <v>2.4E-2</v>
      </c>
      <c r="D108" s="40">
        <v>0.13300000000000001</v>
      </c>
    </row>
    <row r="109" spans="1:12" s="19" customFormat="1" x14ac:dyDescent="0.25">
      <c r="A109" s="33" t="s">
        <v>224</v>
      </c>
      <c r="B109" s="19">
        <v>0.75</v>
      </c>
      <c r="C109" s="19">
        <v>106</v>
      </c>
      <c r="D109" s="19">
        <v>24.3</v>
      </c>
    </row>
    <row r="111" spans="1:12" s="19" customFormat="1" x14ac:dyDescent="0.25">
      <c r="A111" s="33" t="s">
        <v>225</v>
      </c>
      <c r="B111" s="19">
        <f>B108*B109 + C108*C109 + D108*D109</f>
        <v>6.4081500000000009</v>
      </c>
      <c r="C111" s="1" t="s">
        <v>226</v>
      </c>
      <c r="D111" s="1" t="s">
        <v>190</v>
      </c>
    </row>
    <row r="112" spans="1:12" s="7" customFormat="1" x14ac:dyDescent="0.25">
      <c r="A112" s="15" t="s">
        <v>218</v>
      </c>
      <c r="B112" s="21">
        <f>B105*B104*B103*B102*B111</f>
        <v>457631.70036067115</v>
      </c>
      <c r="C112" s="21">
        <f>B112</f>
        <v>457631.70036067115</v>
      </c>
      <c r="D112" s="21">
        <f>C112*(596/794)</f>
        <v>343511.95644201513</v>
      </c>
    </row>
    <row r="115" spans="1:4" s="30" customFormat="1" x14ac:dyDescent="0.25">
      <c r="A115" s="35" t="s">
        <v>229</v>
      </c>
      <c r="B115" s="30" t="s">
        <v>191</v>
      </c>
      <c r="C115" s="30" t="s">
        <v>190</v>
      </c>
    </row>
    <row r="116" spans="1:4" s="7" customFormat="1" x14ac:dyDescent="0.25">
      <c r="A116" s="15" t="s">
        <v>234</v>
      </c>
      <c r="B116" s="21">
        <f>K98</f>
        <v>65729.85599426605</v>
      </c>
      <c r="C116" s="21">
        <f>L98</f>
        <v>69091.700480745261</v>
      </c>
    </row>
    <row r="117" spans="1:4" x14ac:dyDescent="0.25">
      <c r="A117" s="41" t="s">
        <v>235</v>
      </c>
    </row>
    <row r="119" spans="1:4" s="30" customFormat="1" x14ac:dyDescent="0.25">
      <c r="A119" s="35" t="s">
        <v>227</v>
      </c>
      <c r="B119" s="30" t="s">
        <v>228</v>
      </c>
      <c r="C119" s="30" t="s">
        <v>191</v>
      </c>
      <c r="D119" s="30" t="s">
        <v>190</v>
      </c>
    </row>
    <row r="120" spans="1:4" s="21" customFormat="1" x14ac:dyDescent="0.25">
      <c r="A120" s="34" t="s">
        <v>246</v>
      </c>
      <c r="B120" s="21">
        <v>50000</v>
      </c>
      <c r="C120" s="21">
        <f>B120</f>
        <v>50000</v>
      </c>
      <c r="D120" s="21">
        <f>C120*(596/567)</f>
        <v>52557.319223985891</v>
      </c>
    </row>
    <row r="121" spans="1:4" x14ac:dyDescent="0.25">
      <c r="A121" s="41" t="s">
        <v>235</v>
      </c>
    </row>
    <row r="124" spans="1:4" s="30" customFormat="1" x14ac:dyDescent="0.25">
      <c r="A124" s="35" t="s">
        <v>231</v>
      </c>
      <c r="C124" s="30" t="s">
        <v>191</v>
      </c>
      <c r="D124" s="30" t="s">
        <v>190</v>
      </c>
    </row>
    <row r="125" spans="1:4" s="7" customFormat="1" x14ac:dyDescent="0.25">
      <c r="A125" s="15" t="s">
        <v>232</v>
      </c>
      <c r="B125" s="7" t="s">
        <v>233</v>
      </c>
      <c r="C125" s="21">
        <f>0</f>
        <v>0</v>
      </c>
      <c r="D125" s="21">
        <f>C125*(596/567)</f>
        <v>0</v>
      </c>
    </row>
    <row r="126" spans="1:4" x14ac:dyDescent="0.25">
      <c r="A126" s="41" t="s">
        <v>235</v>
      </c>
    </row>
  </sheetData>
  <mergeCells count="4">
    <mergeCell ref="H53:I53"/>
    <mergeCell ref="J5:K5"/>
    <mergeCell ref="H34:I34"/>
    <mergeCell ref="K82:L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5EAE-4479-4362-9DD8-10A481015F44}">
  <sheetPr codeName="Sheet5"/>
  <dimension ref="B2:M134"/>
  <sheetViews>
    <sheetView topLeftCell="A52" zoomScaleNormal="100" workbookViewId="0">
      <selection activeCell="D59" sqref="D59"/>
    </sheetView>
  </sheetViews>
  <sheetFormatPr defaultColWidth="20" defaultRowHeight="15" x14ac:dyDescent="0.25"/>
  <cols>
    <col min="1" max="1" width="9.5703125" style="1" customWidth="1"/>
    <col min="2" max="2" width="32.42578125" customWidth="1"/>
    <col min="3" max="4" width="32.42578125" style="1" customWidth="1"/>
    <col min="5" max="16384" width="20" style="1"/>
  </cols>
  <sheetData>
    <row r="2" spans="2:10" s="30" customFormat="1" x14ac:dyDescent="0.25">
      <c r="B2" s="76" t="s">
        <v>254</v>
      </c>
      <c r="C2" s="76"/>
    </row>
    <row r="3" spans="2:10" x14ac:dyDescent="0.25">
      <c r="B3" t="s">
        <v>197</v>
      </c>
      <c r="C3" s="1" t="s">
        <v>25</v>
      </c>
    </row>
    <row r="4" spans="2:10" x14ac:dyDescent="0.25">
      <c r="B4" t="s">
        <v>200</v>
      </c>
    </row>
    <row r="5" spans="2:10" x14ac:dyDescent="0.25">
      <c r="B5" s="47" t="s">
        <v>204</v>
      </c>
      <c r="C5" s="44">
        <f>2500*10^6</f>
        <v>2500000000</v>
      </c>
      <c r="D5" s="9"/>
      <c r="E5" s="9"/>
      <c r="F5" s="9"/>
      <c r="G5" s="9"/>
      <c r="H5" s="9"/>
      <c r="I5" s="9"/>
      <c r="J5" s="9"/>
    </row>
    <row r="6" spans="2:10" s="19" customFormat="1" x14ac:dyDescent="0.25">
      <c r="B6" s="18" t="s">
        <v>198</v>
      </c>
      <c r="C6" s="19">
        <v>200000000</v>
      </c>
    </row>
    <row r="8" spans="2:10" x14ac:dyDescent="0.25">
      <c r="B8" s="47" t="s">
        <v>199</v>
      </c>
      <c r="C8" s="1">
        <v>0.7</v>
      </c>
    </row>
    <row r="9" spans="2:10" x14ac:dyDescent="0.25">
      <c r="B9" t="s">
        <v>201</v>
      </c>
      <c r="C9" s="1">
        <v>381</v>
      </c>
    </row>
    <row r="10" spans="2:10" x14ac:dyDescent="0.25">
      <c r="B10" t="s">
        <v>202</v>
      </c>
      <c r="C10" s="1">
        <v>596</v>
      </c>
    </row>
    <row r="11" spans="2:10" x14ac:dyDescent="0.25">
      <c r="B11" s="47" t="s">
        <v>203</v>
      </c>
      <c r="C11" s="44">
        <f>28267.3943201142 * 24 * 365</f>
        <v>247622374.24420041</v>
      </c>
    </row>
    <row r="12" spans="2:10" x14ac:dyDescent="0.25">
      <c r="B12" s="22" t="s">
        <v>205</v>
      </c>
      <c r="C12" s="21">
        <f>C6* (C11/C5)^C8 * (C10/C9)</f>
        <v>62007781.28270378</v>
      </c>
    </row>
    <row r="13" spans="2:10" x14ac:dyDescent="0.25">
      <c r="B13" t="s">
        <v>206</v>
      </c>
      <c r="C13" s="19">
        <f>$C$12*0.02</f>
        <v>1240155.6256540755</v>
      </c>
      <c r="D13" s="39" t="s">
        <v>212</v>
      </c>
    </row>
    <row r="14" spans="2:10" x14ac:dyDescent="0.25">
      <c r="B14" t="s">
        <v>207</v>
      </c>
      <c r="C14" s="19">
        <f>$C$12*0.02</f>
        <v>1240155.6256540755</v>
      </c>
      <c r="D14" s="39" t="s">
        <v>212</v>
      </c>
    </row>
    <row r="15" spans="2:10" s="19" customFormat="1" x14ac:dyDescent="0.25">
      <c r="B15" t="s">
        <v>208</v>
      </c>
      <c r="C15" s="19">
        <f>$C$12*0.1</f>
        <v>6200778.1282703783</v>
      </c>
      <c r="D15" s="39" t="s">
        <v>253</v>
      </c>
    </row>
    <row r="16" spans="2:10" s="19" customFormat="1" x14ac:dyDescent="0.25">
      <c r="B16" s="48" t="s">
        <v>209</v>
      </c>
      <c r="C16" s="21">
        <f>SUM(C12:C15)</f>
        <v>70688870.662282318</v>
      </c>
    </row>
    <row r="17" spans="2:4" x14ac:dyDescent="0.25">
      <c r="B17" t="s">
        <v>216</v>
      </c>
      <c r="C17" s="1">
        <v>1</v>
      </c>
    </row>
    <row r="18" spans="2:4" x14ac:dyDescent="0.25">
      <c r="B18" s="48" t="s">
        <v>215</v>
      </c>
      <c r="C18" s="21">
        <f>C16*C17</f>
        <v>70688870.662282318</v>
      </c>
    </row>
    <row r="19" spans="2:4" s="19" customFormat="1" x14ac:dyDescent="0.25">
      <c r="B19" s="18" t="s">
        <v>210</v>
      </c>
      <c r="C19" s="19">
        <f>C18*(15/85)</f>
        <v>12474506.587461587</v>
      </c>
      <c r="D19" s="19" t="s">
        <v>214</v>
      </c>
    </row>
    <row r="20" spans="2:4" s="19" customFormat="1" x14ac:dyDescent="0.25">
      <c r="B20" s="48" t="s">
        <v>211</v>
      </c>
      <c r="C20" s="21">
        <f>C19+C18</f>
        <v>83163377.249743909</v>
      </c>
      <c r="D20" s="19" t="s">
        <v>213</v>
      </c>
    </row>
    <row r="21" spans="2:4" s="19" customFormat="1" x14ac:dyDescent="0.25">
      <c r="B21" s="18"/>
    </row>
    <row r="22" spans="2:4" s="54" customFormat="1" x14ac:dyDescent="0.25">
      <c r="B22" s="76" t="s">
        <v>255</v>
      </c>
      <c r="C22" s="76"/>
    </row>
    <row r="23" spans="2:4" s="19" customFormat="1" x14ac:dyDescent="0.25">
      <c r="B23" s="49" t="s">
        <v>256</v>
      </c>
      <c r="C23" s="44">
        <f>28267.3943201142 * 24 * 365</f>
        <v>247622374.24420041</v>
      </c>
    </row>
    <row r="24" spans="2:4" s="19" customFormat="1" x14ac:dyDescent="0.25">
      <c r="B24" s="47" t="s">
        <v>199</v>
      </c>
      <c r="C24" s="1">
        <v>0.7</v>
      </c>
    </row>
    <row r="25" spans="2:4" s="19" customFormat="1" x14ac:dyDescent="0.25">
      <c r="B25" s="47" t="s">
        <v>257</v>
      </c>
      <c r="C25" s="9">
        <f>(C23/10000000)^C24</f>
        <v>9.4548124490409879</v>
      </c>
    </row>
    <row r="26" spans="2:4" s="19" customFormat="1" x14ac:dyDescent="0.25">
      <c r="B26" s="47"/>
      <c r="C26" s="1"/>
    </row>
    <row r="27" spans="2:4" s="19" customFormat="1" x14ac:dyDescent="0.25">
      <c r="B27" s="18" t="s">
        <v>133</v>
      </c>
      <c r="C27" s="19" t="s">
        <v>171</v>
      </c>
      <c r="D27" s="19" t="s">
        <v>167</v>
      </c>
    </row>
    <row r="28" spans="2:4" x14ac:dyDescent="0.25">
      <c r="B28" t="s">
        <v>258</v>
      </c>
      <c r="C28" s="1">
        <v>1</v>
      </c>
      <c r="D28" s="1">
        <v>2</v>
      </c>
    </row>
    <row r="29" spans="2:4" s="19" customFormat="1" x14ac:dyDescent="0.25">
      <c r="B29" t="s">
        <v>259</v>
      </c>
      <c r="C29" s="19">
        <f>C25*C28*160000</f>
        <v>1512769.9918465582</v>
      </c>
      <c r="D29" s="19">
        <f>C25*D28*160000</f>
        <v>3025539.9836931163</v>
      </c>
    </row>
    <row r="30" spans="2:4" s="19" customFormat="1" x14ac:dyDescent="0.25">
      <c r="B30" s="18" t="s">
        <v>260</v>
      </c>
      <c r="C30" s="9">
        <v>2.15</v>
      </c>
      <c r="D30" s="33" t="s">
        <v>261</v>
      </c>
    </row>
    <row r="31" spans="2:4" s="19" customFormat="1" x14ac:dyDescent="0.25"/>
    <row r="32" spans="2:4" s="19" customFormat="1" x14ac:dyDescent="0.25">
      <c r="B32" t="s">
        <v>201</v>
      </c>
      <c r="C32" s="1">
        <v>500</v>
      </c>
    </row>
    <row r="33" spans="2:10" s="19" customFormat="1" x14ac:dyDescent="0.25">
      <c r="B33" t="s">
        <v>202</v>
      </c>
      <c r="C33" s="1">
        <v>596</v>
      </c>
      <c r="D33" s="33" t="s">
        <v>262</v>
      </c>
    </row>
    <row r="34" spans="2:10" s="19" customFormat="1" x14ac:dyDescent="0.25">
      <c r="B34" s="18" t="s">
        <v>265</v>
      </c>
      <c r="C34" s="19">
        <f>C30*(C33/C32)*C29</f>
        <v>3876926.9351043589</v>
      </c>
      <c r="D34" s="19">
        <f>C30*(C33/C32)*D29</f>
        <v>7753853.8702087179</v>
      </c>
    </row>
    <row r="35" spans="2:10" s="19" customFormat="1" x14ac:dyDescent="0.25"/>
    <row r="36" spans="2:10" x14ac:dyDescent="0.25">
      <c r="B36" s="12" t="s">
        <v>263</v>
      </c>
      <c r="C36" s="1">
        <v>0.15</v>
      </c>
      <c r="D36" s="1">
        <v>0.15</v>
      </c>
    </row>
    <row r="37" spans="2:10" x14ac:dyDescent="0.25">
      <c r="B37" s="12" t="s">
        <v>264</v>
      </c>
      <c r="C37" s="1">
        <v>0.8</v>
      </c>
      <c r="D37" s="1">
        <v>0.8</v>
      </c>
    </row>
    <row r="38" spans="2:10" s="19" customFormat="1" x14ac:dyDescent="0.25">
      <c r="B38" s="53" t="s">
        <v>266</v>
      </c>
      <c r="C38" s="19">
        <f>(1+0.15+0.8)*C34</f>
        <v>7560007.5234535001</v>
      </c>
      <c r="D38" s="19">
        <f>(1+0.15+0.8)*D34</f>
        <v>15120015.046907</v>
      </c>
    </row>
    <row r="39" spans="2:10" s="19" customFormat="1" x14ac:dyDescent="0.25">
      <c r="C39" s="55" t="s">
        <v>268</v>
      </c>
      <c r="D39" s="55" t="s">
        <v>269</v>
      </c>
    </row>
    <row r="40" spans="2:10" s="19" customFormat="1" x14ac:dyDescent="0.25">
      <c r="B40" s="4" t="s">
        <v>267</v>
      </c>
      <c r="C40" s="19">
        <f>1.5*C38</f>
        <v>11340011.28518025</v>
      </c>
      <c r="D40" s="19">
        <f>1.5*D38</f>
        <v>22680022.5703605</v>
      </c>
    </row>
    <row r="41" spans="2:10" s="19" customFormat="1" x14ac:dyDescent="0.25">
      <c r="B41" s="22" t="s">
        <v>211</v>
      </c>
      <c r="C41" s="21">
        <f>1.15*C40</f>
        <v>13041012.977957286</v>
      </c>
      <c r="D41" s="21">
        <f>1.15*D40</f>
        <v>26082025.955914572</v>
      </c>
    </row>
    <row r="42" spans="2:10" x14ac:dyDescent="0.25">
      <c r="C42" s="10"/>
      <c r="D42" s="10"/>
      <c r="G42" s="10"/>
      <c r="H42" s="10"/>
      <c r="I42" s="10"/>
      <c r="J42" s="10"/>
    </row>
    <row r="43" spans="2:10" s="30" customFormat="1" x14ac:dyDescent="0.25">
      <c r="B43" s="76" t="s">
        <v>217</v>
      </c>
      <c r="C43" s="76"/>
    </row>
    <row r="44" spans="2:10" x14ac:dyDescent="0.25">
      <c r="B44" s="18" t="s">
        <v>236</v>
      </c>
      <c r="C44" s="19">
        <f>Costing!K7</f>
        <v>73348.481532303747</v>
      </c>
    </row>
    <row r="45" spans="2:10" x14ac:dyDescent="0.25">
      <c r="B45" s="18" t="s">
        <v>237</v>
      </c>
      <c r="C45" s="19">
        <f>Costing!E24</f>
        <v>2524307.5901755821</v>
      </c>
    </row>
    <row r="46" spans="2:10" x14ac:dyDescent="0.25">
      <c r="B46" s="18" t="s">
        <v>238</v>
      </c>
      <c r="C46" s="19">
        <f>Costing!I36</f>
        <v>132468.32862358444</v>
      </c>
    </row>
    <row r="47" spans="2:10" x14ac:dyDescent="0.25">
      <c r="B47" s="18" t="s">
        <v>239</v>
      </c>
      <c r="C47" s="19">
        <f>SUM(Costing!I55:I57)</f>
        <v>2150910.544347676</v>
      </c>
    </row>
    <row r="48" spans="2:10" x14ac:dyDescent="0.25">
      <c r="B48" s="18" t="s">
        <v>240</v>
      </c>
      <c r="C48" s="19">
        <f>Costing!L84</f>
        <v>23195.277871538034</v>
      </c>
    </row>
    <row r="49" spans="2:8" x14ac:dyDescent="0.25">
      <c r="B49" s="18" t="s">
        <v>242</v>
      </c>
      <c r="C49" s="19">
        <f>Costing!D112</f>
        <v>343511.95644201513</v>
      </c>
    </row>
    <row r="50" spans="2:8" x14ac:dyDescent="0.25">
      <c r="B50" s="18" t="s">
        <v>243</v>
      </c>
      <c r="C50" s="19">
        <f>Costing!C116</f>
        <v>69091.700480745261</v>
      </c>
    </row>
    <row r="51" spans="2:8" s="19" customFormat="1" x14ac:dyDescent="0.25">
      <c r="B51" s="18" t="s">
        <v>244</v>
      </c>
      <c r="C51" s="19">
        <f>Costing!D120</f>
        <v>52557.319223985891</v>
      </c>
    </row>
    <row r="52" spans="2:8" x14ac:dyDescent="0.25">
      <c r="B52" s="50" t="s">
        <v>245</v>
      </c>
      <c r="C52" s="1">
        <f>Costing!D125</f>
        <v>0</v>
      </c>
      <c r="D52" s="12" t="s">
        <v>247</v>
      </c>
    </row>
    <row r="53" spans="2:8" x14ac:dyDescent="0.25">
      <c r="B53" s="22" t="s">
        <v>248</v>
      </c>
      <c r="C53" s="21">
        <f>SUM(C44:C52)</f>
        <v>5369391.198697431</v>
      </c>
    </row>
    <row r="55" spans="2:8" x14ac:dyDescent="0.25">
      <c r="B55" t="s">
        <v>249</v>
      </c>
      <c r="C55" s="1" t="s">
        <v>250</v>
      </c>
    </row>
    <row r="56" spans="2:8" x14ac:dyDescent="0.25">
      <c r="B56" t="s">
        <v>251</v>
      </c>
      <c r="C56" s="1">
        <v>5.93</v>
      </c>
    </row>
    <row r="57" spans="2:8" x14ac:dyDescent="0.25">
      <c r="B57" s="22" t="s">
        <v>252</v>
      </c>
      <c r="C57" s="21">
        <f>1.05*C56*C53</f>
        <v>33432514.298689552</v>
      </c>
    </row>
    <row r="58" spans="2:8" x14ac:dyDescent="0.25">
      <c r="B58" t="s">
        <v>306</v>
      </c>
      <c r="C58" s="1">
        <v>5.04</v>
      </c>
    </row>
    <row r="59" spans="2:8" x14ac:dyDescent="0.25">
      <c r="B59" s="22" t="s">
        <v>307</v>
      </c>
      <c r="C59" s="21">
        <f>1.05*C58*C53</f>
        <v>28414818.223506808</v>
      </c>
    </row>
    <row r="63" spans="2:8" x14ac:dyDescent="0.25">
      <c r="H63" s="20"/>
    </row>
    <row r="67" spans="2:10" x14ac:dyDescent="0.25">
      <c r="B67" s="47"/>
    </row>
    <row r="68" spans="2:10" x14ac:dyDescent="0.25">
      <c r="B68" s="47"/>
    </row>
    <row r="69" spans="2:10" x14ac:dyDescent="0.25">
      <c r="B69" s="47"/>
    </row>
    <row r="71" spans="2:10" s="19" customFormat="1" x14ac:dyDescent="0.25">
      <c r="B71" s="51"/>
    </row>
    <row r="72" spans="2:10" s="19" customFormat="1" x14ac:dyDescent="0.25">
      <c r="B72" s="51"/>
      <c r="I72" s="1"/>
      <c r="J72" s="1"/>
    </row>
    <row r="73" spans="2:10" s="19" customFormat="1" x14ac:dyDescent="0.25">
      <c r="B73" s="51"/>
    </row>
    <row r="74" spans="2:10" x14ac:dyDescent="0.25">
      <c r="B74" s="47"/>
    </row>
    <row r="75" spans="2:10" x14ac:dyDescent="0.25">
      <c r="B75" s="47"/>
    </row>
    <row r="77" spans="2:10" x14ac:dyDescent="0.25">
      <c r="B77" s="52"/>
    </row>
    <row r="80" spans="2:10" x14ac:dyDescent="0.25">
      <c r="I80" s="71"/>
      <c r="J80" s="71"/>
    </row>
    <row r="81" spans="2:10" x14ac:dyDescent="0.25">
      <c r="C81" s="9"/>
      <c r="D81" s="9"/>
      <c r="E81" s="9"/>
    </row>
    <row r="82" spans="2:10" x14ac:dyDescent="0.25">
      <c r="I82" s="19"/>
      <c r="J82" s="19"/>
    </row>
    <row r="83" spans="2:10" x14ac:dyDescent="0.25">
      <c r="I83" s="19"/>
      <c r="J83" s="19"/>
    </row>
    <row r="84" spans="2:10" x14ac:dyDescent="0.25">
      <c r="I84" s="19"/>
      <c r="J84" s="19"/>
    </row>
    <row r="87" spans="2:10" x14ac:dyDescent="0.25">
      <c r="B87" s="47"/>
    </row>
    <row r="88" spans="2:10" x14ac:dyDescent="0.25">
      <c r="B88" s="47"/>
    </row>
    <row r="89" spans="2:10" x14ac:dyDescent="0.25">
      <c r="B89" s="47"/>
    </row>
    <row r="91" spans="2:10" x14ac:dyDescent="0.25">
      <c r="B91" s="47"/>
      <c r="C91" s="19"/>
      <c r="D91" s="19"/>
      <c r="E91" s="19"/>
    </row>
    <row r="92" spans="2:10" x14ac:dyDescent="0.25">
      <c r="B92" s="47"/>
      <c r="C92" s="19"/>
      <c r="D92" s="19"/>
      <c r="E92" s="19"/>
    </row>
    <row r="93" spans="2:10" x14ac:dyDescent="0.25">
      <c r="B93" s="47"/>
      <c r="C93" s="19"/>
      <c r="D93" s="19"/>
      <c r="E93" s="19"/>
      <c r="F93" s="19"/>
      <c r="G93" s="19"/>
    </row>
    <row r="94" spans="2:10" x14ac:dyDescent="0.25">
      <c r="B94" s="52"/>
    </row>
    <row r="95" spans="2:10" s="19" customFormat="1" x14ac:dyDescent="0.25">
      <c r="B95" s="18"/>
    </row>
    <row r="96" spans="2:10" x14ac:dyDescent="0.25">
      <c r="C96" s="10"/>
      <c r="D96" s="10"/>
      <c r="E96" s="10"/>
    </row>
    <row r="97" spans="2:10" x14ac:dyDescent="0.25">
      <c r="H97" s="11"/>
    </row>
    <row r="102" spans="2:10" x14ac:dyDescent="0.25">
      <c r="C102" s="19"/>
      <c r="D102" s="19"/>
      <c r="E102" s="19"/>
      <c r="F102" s="19"/>
      <c r="G102" s="19"/>
      <c r="I102" s="19"/>
      <c r="J102" s="19"/>
    </row>
    <row r="103" spans="2:10" x14ac:dyDescent="0.25">
      <c r="C103" s="19"/>
      <c r="D103" s="19"/>
      <c r="E103" s="19"/>
      <c r="F103" s="19"/>
      <c r="G103" s="19"/>
      <c r="I103" s="19"/>
      <c r="J103" s="19"/>
    </row>
    <row r="107" spans="2:10" x14ac:dyDescent="0.25">
      <c r="B107" s="3"/>
    </row>
    <row r="112" spans="2:10" s="19" customFormat="1" x14ac:dyDescent="0.25">
      <c r="B112" s="18"/>
    </row>
    <row r="116" spans="2:13" s="19" customFormat="1" x14ac:dyDescent="0.25">
      <c r="B116" s="18"/>
    </row>
    <row r="117" spans="2:13" x14ac:dyDescent="0.25">
      <c r="B117" s="3"/>
    </row>
    <row r="118" spans="2:13" x14ac:dyDescent="0.25">
      <c r="B118" s="47"/>
    </row>
    <row r="119" spans="2:13" x14ac:dyDescent="0.25">
      <c r="B119" s="47"/>
    </row>
    <row r="120" spans="2:13" x14ac:dyDescent="0.25">
      <c r="B120" s="47"/>
    </row>
    <row r="121" spans="2:13" x14ac:dyDescent="0.25">
      <c r="B121" s="47"/>
    </row>
    <row r="122" spans="2:13" s="19" customFormat="1" x14ac:dyDescent="0.25">
      <c r="B122" s="51"/>
    </row>
    <row r="123" spans="2:13" x14ac:dyDescent="0.25">
      <c r="B123" s="47"/>
    </row>
    <row r="124" spans="2:13" s="19" customFormat="1" x14ac:dyDescent="0.25">
      <c r="B124" s="51"/>
    </row>
    <row r="125" spans="2:13" x14ac:dyDescent="0.2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33" spans="2:6" s="19" customFormat="1" x14ac:dyDescent="0.25">
      <c r="B133" s="18"/>
    </row>
    <row r="134" spans="2:6" x14ac:dyDescent="0.25">
      <c r="F134" s="19"/>
    </row>
  </sheetData>
  <mergeCells count="4">
    <mergeCell ref="I80:J80"/>
    <mergeCell ref="B2:C2"/>
    <mergeCell ref="B43:C43"/>
    <mergeCell ref="B22:C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24A3-2322-499B-8736-66548B851027}">
  <sheetPr codeName="Sheet6"/>
  <dimension ref="A2:M141"/>
  <sheetViews>
    <sheetView topLeftCell="B46" zoomScaleNormal="100" workbookViewId="0">
      <selection activeCell="C43" sqref="C43"/>
    </sheetView>
  </sheetViews>
  <sheetFormatPr defaultColWidth="35.5703125" defaultRowHeight="15" x14ac:dyDescent="0.25"/>
  <cols>
    <col min="1" max="1" width="26.5703125" style="1" customWidth="1"/>
    <col min="2" max="2" width="35.5703125" style="12"/>
    <col min="3" max="16384" width="35.5703125" style="1"/>
  </cols>
  <sheetData>
    <row r="2" spans="1:10" x14ac:dyDescent="0.25">
      <c r="C2" s="56"/>
    </row>
    <row r="3" spans="1:10" x14ac:dyDescent="0.25">
      <c r="A3" s="12" t="s">
        <v>270</v>
      </c>
    </row>
    <row r="4" spans="1:10" x14ac:dyDescent="0.25">
      <c r="B4" s="12" t="s">
        <v>272</v>
      </c>
      <c r="C4" s="13" t="s">
        <v>273</v>
      </c>
      <c r="D4" s="19" t="s">
        <v>290</v>
      </c>
      <c r="E4" s="19" t="s">
        <v>291</v>
      </c>
      <c r="F4" s="19" t="s">
        <v>292</v>
      </c>
      <c r="G4" s="19" t="s">
        <v>293</v>
      </c>
      <c r="H4" s="19"/>
    </row>
    <row r="5" spans="1:10" x14ac:dyDescent="0.25">
      <c r="C5" s="15" t="s">
        <v>289</v>
      </c>
      <c r="D5" s="60">
        <v>760</v>
      </c>
      <c r="E5" s="21">
        <f>D5*596/603</f>
        <v>751.1774461028192</v>
      </c>
      <c r="F5" s="61">
        <f>16180.3015052811*24*365/1000</f>
        <v>141739.44118626244</v>
      </c>
      <c r="G5" s="21">
        <f>E5*F5</f>
        <v>106471471.44233736</v>
      </c>
      <c r="I5" s="9"/>
      <c r="J5" s="9"/>
    </row>
    <row r="6" spans="1:10" s="19" customFormat="1" x14ac:dyDescent="0.25">
      <c r="C6" s="12"/>
      <c r="D6" s="1"/>
      <c r="E6" s="1"/>
      <c r="F6" s="1"/>
      <c r="G6" s="1"/>
      <c r="H6" s="1"/>
    </row>
    <row r="7" spans="1:10" x14ac:dyDescent="0.25">
      <c r="B7" s="1"/>
      <c r="C7" s="33" t="s">
        <v>274</v>
      </c>
    </row>
    <row r="8" spans="1:10" x14ac:dyDescent="0.25">
      <c r="C8" s="12" t="s">
        <v>282</v>
      </c>
      <c r="D8" s="45">
        <f>12821.8721840941*24</f>
        <v>307724.9324182584</v>
      </c>
    </row>
    <row r="9" spans="1:10" x14ac:dyDescent="0.25">
      <c r="C9" s="12" t="s">
        <v>283</v>
      </c>
      <c r="D9" s="1" t="s">
        <v>284</v>
      </c>
    </row>
    <row r="10" spans="1:10" x14ac:dyDescent="0.25">
      <c r="C10" s="12" t="s">
        <v>285</v>
      </c>
      <c r="D10" s="59">
        <v>45</v>
      </c>
    </row>
    <row r="11" spans="1:10" x14ac:dyDescent="0.25">
      <c r="C11" s="12"/>
      <c r="D11" s="59"/>
    </row>
    <row r="12" spans="1:10" x14ac:dyDescent="0.25">
      <c r="C12" s="12"/>
      <c r="D12" s="1" t="s">
        <v>340</v>
      </c>
      <c r="E12" s="1" t="s">
        <v>295</v>
      </c>
    </row>
    <row r="13" spans="1:10" x14ac:dyDescent="0.25">
      <c r="C13" s="12" t="s">
        <v>294</v>
      </c>
      <c r="D13" s="19">
        <v>38</v>
      </c>
      <c r="E13" s="19">
        <f>D13*(596/816)</f>
        <v>27.754901960784313</v>
      </c>
    </row>
    <row r="14" spans="1:10" x14ac:dyDescent="0.25">
      <c r="C14" s="12" t="s">
        <v>296</v>
      </c>
      <c r="D14" s="19">
        <f>15%*D13</f>
        <v>5.7</v>
      </c>
      <c r="E14" s="19">
        <f t="shared" ref="E14:E15" si="0">D14*(596/381)</f>
        <v>8.9165354330708659</v>
      </c>
    </row>
    <row r="15" spans="1:10" x14ac:dyDescent="0.25">
      <c r="C15" s="12" t="s">
        <v>297</v>
      </c>
      <c r="D15" s="19">
        <f>6%*D14</f>
        <v>0.34199999999999997</v>
      </c>
      <c r="E15" s="19">
        <f t="shared" si="0"/>
        <v>0.53499212598425194</v>
      </c>
    </row>
    <row r="16" spans="1:10" x14ac:dyDescent="0.25">
      <c r="C16" s="15" t="s">
        <v>286</v>
      </c>
      <c r="D16" s="7"/>
      <c r="E16" s="21">
        <f>D10*SUM(E13:E15)*330</f>
        <v>552515.47836961562</v>
      </c>
    </row>
    <row r="17" spans="2:8" x14ac:dyDescent="0.25">
      <c r="C17" s="12"/>
      <c r="D17" s="19"/>
      <c r="E17" s="39"/>
    </row>
    <row r="18" spans="2:8" x14ac:dyDescent="0.25">
      <c r="B18" s="1"/>
      <c r="C18" s="13" t="s">
        <v>275</v>
      </c>
      <c r="D18" s="19" t="s">
        <v>323</v>
      </c>
      <c r="E18" s="39"/>
    </row>
    <row r="19" spans="2:8" x14ac:dyDescent="0.25">
      <c r="C19" s="15" t="s">
        <v>287</v>
      </c>
      <c r="D19" s="21">
        <f>E16*15%</f>
        <v>82877.321755442346</v>
      </c>
      <c r="E19" s="39"/>
      <c r="F19" s="19"/>
      <c r="G19" s="19"/>
      <c r="H19" s="19"/>
    </row>
    <row r="20" spans="2:8" x14ac:dyDescent="0.25">
      <c r="C20" s="19"/>
      <c r="D20" s="19"/>
      <c r="E20" s="19"/>
      <c r="F20" s="19"/>
      <c r="G20" s="19"/>
      <c r="H20" s="19"/>
    </row>
    <row r="21" spans="2:8" s="19" customFormat="1" x14ac:dyDescent="0.25">
      <c r="C21" s="13" t="s">
        <v>276</v>
      </c>
      <c r="D21" s="1" t="s">
        <v>339</v>
      </c>
      <c r="E21" s="1" t="s">
        <v>298</v>
      </c>
      <c r="F21" s="1" t="s">
        <v>301</v>
      </c>
      <c r="G21" s="19" t="s">
        <v>293</v>
      </c>
      <c r="H21" s="1"/>
    </row>
    <row r="22" spans="2:8" s="19" customFormat="1" x14ac:dyDescent="0.25">
      <c r="C22" s="12" t="s">
        <v>288</v>
      </c>
      <c r="D22" s="19">
        <v>7.0000000000000007E-2</v>
      </c>
      <c r="E22" s="19">
        <f>D22*(596/381)</f>
        <v>0.10950131233595801</v>
      </c>
      <c r="F22" s="45">
        <f>CONVERT( SUM(Costing!C94:J94), "HP","W" ) *24*365 /1000</f>
        <v>240972.97400883643</v>
      </c>
      <c r="G22" s="21">
        <f>F22*E22</f>
        <v>26386.85689146629</v>
      </c>
      <c r="H22" s="1"/>
    </row>
    <row r="23" spans="2:8" x14ac:dyDescent="0.25">
      <c r="C23" s="12" t="s">
        <v>341</v>
      </c>
      <c r="D23" s="19"/>
      <c r="E23" s="55">
        <v>1.6</v>
      </c>
      <c r="F23" s="45">
        <f>(58520906.9843394 + 13427106.5363245) *24*365 / (0.9*1000000)</f>
        <v>700293.99826779531</v>
      </c>
      <c r="G23" s="21">
        <f>F23*E23</f>
        <v>1120470.3972284726</v>
      </c>
      <c r="H23" s="19"/>
    </row>
    <row r="24" spans="2:8" x14ac:dyDescent="0.25">
      <c r="C24" s="33" t="s">
        <v>299</v>
      </c>
      <c r="D24" s="19"/>
      <c r="E24" s="55">
        <f>6.6*596/603</f>
        <v>6.5233830845771141</v>
      </c>
      <c r="F24" s="45">
        <f xml:space="preserve"> (135036.116536213+ 24912.0790721667 + 3740.05599221992 + 1115.30849883582) *24*365 /1000</f>
        <v>1443679.1864710546</v>
      </c>
      <c r="G24" s="21">
        <f>F24*E24</f>
        <v>9417672.3845813274</v>
      </c>
      <c r="H24" s="33" t="s">
        <v>303</v>
      </c>
    </row>
    <row r="25" spans="2:8" s="19" customFormat="1" x14ac:dyDescent="0.25">
      <c r="C25" s="33" t="s">
        <v>300</v>
      </c>
      <c r="D25" s="62">
        <v>0.1</v>
      </c>
      <c r="E25" s="19">
        <f t="shared" ref="E25" si="1">D25*(596/381)</f>
        <v>0.15643044619422575</v>
      </c>
      <c r="F25" s="45">
        <f xml:space="preserve"> (7172560.08901437+ 618658.542182286 + 62831.7433965527 + 27828.6341367503) *24*365 /1000</f>
        <v>69045260.116474435</v>
      </c>
      <c r="G25" s="21">
        <f>F25*E25</f>
        <v>10800780.847616475</v>
      </c>
      <c r="H25" s="33" t="s">
        <v>304</v>
      </c>
    </row>
    <row r="26" spans="2:8" s="19" customFormat="1" x14ac:dyDescent="0.25">
      <c r="D26" s="1"/>
      <c r="E26" s="55" t="s">
        <v>338</v>
      </c>
      <c r="F26" s="63" t="s">
        <v>302</v>
      </c>
      <c r="G26" s="21">
        <f>SUM(G22:G25)</f>
        <v>21365310.486317739</v>
      </c>
    </row>
    <row r="27" spans="2:8" s="19" customFormat="1" x14ac:dyDescent="0.25">
      <c r="D27" s="1"/>
    </row>
    <row r="28" spans="2:8" s="19" customFormat="1" x14ac:dyDescent="0.25">
      <c r="C28" s="13" t="s">
        <v>277</v>
      </c>
      <c r="D28" s="19" t="s">
        <v>293</v>
      </c>
    </row>
    <row r="29" spans="2:8" s="19" customFormat="1" x14ac:dyDescent="0.25">
      <c r="C29" s="34" t="s">
        <v>305</v>
      </c>
      <c r="D29" s="21">
        <f>'TDC &amp; TCI'!C59*7%</f>
        <v>1989037.2756454768</v>
      </c>
    </row>
    <row r="30" spans="2:8" s="19" customFormat="1" x14ac:dyDescent="0.25"/>
    <row r="31" spans="2:8" s="19" customFormat="1" x14ac:dyDescent="0.25">
      <c r="C31" s="13" t="s">
        <v>278</v>
      </c>
      <c r="D31" s="19" t="s">
        <v>293</v>
      </c>
      <c r="E31" s="1"/>
      <c r="F31" s="45"/>
      <c r="G31" s="1"/>
      <c r="H31" s="1"/>
    </row>
    <row r="32" spans="2:8" s="19" customFormat="1" x14ac:dyDescent="0.25">
      <c r="C32" s="34" t="s">
        <v>308</v>
      </c>
      <c r="D32" s="21">
        <f>D29*15%</f>
        <v>298355.59134682151</v>
      </c>
      <c r="F32" s="45"/>
    </row>
    <row r="33" spans="2:8" x14ac:dyDescent="0.25">
      <c r="B33" s="1"/>
      <c r="C33" s="33"/>
      <c r="D33" s="19"/>
      <c r="E33" s="19"/>
      <c r="F33" s="19"/>
      <c r="G33" s="19"/>
      <c r="H33" s="19"/>
    </row>
    <row r="34" spans="2:8" s="19" customFormat="1" x14ac:dyDescent="0.25">
      <c r="C34" s="13" t="s">
        <v>279</v>
      </c>
      <c r="D34" s="19" t="s">
        <v>293</v>
      </c>
      <c r="E34" s="33"/>
    </row>
    <row r="35" spans="2:8" s="19" customFormat="1" x14ac:dyDescent="0.25">
      <c r="C35" s="34" t="s">
        <v>309</v>
      </c>
      <c r="D35" s="21">
        <f>E16*10%</f>
        <v>55251.547836961567</v>
      </c>
      <c r="E35" s="33"/>
    </row>
    <row r="36" spans="2:8" s="19" customFormat="1" x14ac:dyDescent="0.25"/>
    <row r="37" spans="2:8" s="19" customFormat="1" x14ac:dyDescent="0.25">
      <c r="C37" s="13" t="s">
        <v>281</v>
      </c>
      <c r="D37" s="19" t="s">
        <v>293</v>
      </c>
    </row>
    <row r="38" spans="2:8" s="19" customFormat="1" x14ac:dyDescent="0.25">
      <c r="C38" s="34" t="s">
        <v>310</v>
      </c>
      <c r="D38" s="21">
        <f>Costing!D112</f>
        <v>343511.95644201513</v>
      </c>
      <c r="E38" s="33"/>
    </row>
    <row r="39" spans="2:8" s="19" customFormat="1" x14ac:dyDescent="0.25"/>
    <row r="40" spans="2:8" s="19" customFormat="1" x14ac:dyDescent="0.25">
      <c r="C40" s="13" t="s">
        <v>280</v>
      </c>
      <c r="D40" s="19" t="s">
        <v>323</v>
      </c>
    </row>
    <row r="41" spans="2:8" s="19" customFormat="1" x14ac:dyDescent="0.25">
      <c r="C41" s="15" t="s">
        <v>343</v>
      </c>
      <c r="D41" s="21"/>
    </row>
    <row r="42" spans="2:8" s="19" customFormat="1" x14ac:dyDescent="0.25"/>
    <row r="43" spans="2:8" x14ac:dyDescent="0.25">
      <c r="B43" s="46"/>
    </row>
    <row r="44" spans="2:8" x14ac:dyDescent="0.25">
      <c r="B44" s="1"/>
    </row>
    <row r="45" spans="2:8" s="19" customFormat="1" x14ac:dyDescent="0.25">
      <c r="B45" s="57"/>
    </row>
    <row r="46" spans="2:8" s="19" customFormat="1" x14ac:dyDescent="0.25">
      <c r="B46" s="33" t="s">
        <v>311</v>
      </c>
      <c r="C46" s="12" t="s">
        <v>312</v>
      </c>
      <c r="D46" s="19" t="s">
        <v>355</v>
      </c>
    </row>
    <row r="47" spans="2:8" s="19" customFormat="1" x14ac:dyDescent="0.25">
      <c r="B47" s="58"/>
      <c r="C47" s="12" t="s">
        <v>313</v>
      </c>
      <c r="D47" s="10"/>
    </row>
    <row r="48" spans="2:8" s="19" customFormat="1" x14ac:dyDescent="0.25">
      <c r="C48" s="3" t="s">
        <v>314</v>
      </c>
      <c r="D48" s="19" t="s">
        <v>293</v>
      </c>
    </row>
    <row r="49" spans="1:10" x14ac:dyDescent="0.25">
      <c r="C49" s="15" t="s">
        <v>317</v>
      </c>
      <c r="D49" s="21">
        <f>'TDC &amp; TCI'!C59*2%</f>
        <v>568296.36447013624</v>
      </c>
      <c r="G49" s="10"/>
      <c r="H49" s="10"/>
      <c r="I49" s="10"/>
      <c r="J49" s="10"/>
    </row>
    <row r="50" spans="1:10" x14ac:dyDescent="0.25">
      <c r="C50" s="33" t="s">
        <v>315</v>
      </c>
      <c r="D50" s="19" t="s">
        <v>293</v>
      </c>
    </row>
    <row r="51" spans="1:10" x14ac:dyDescent="0.25">
      <c r="B51" s="1"/>
      <c r="C51" s="15" t="s">
        <v>318</v>
      </c>
      <c r="D51" s="21">
        <f>'TDC &amp; TCI'!C59*1%</f>
        <v>284148.18223506812</v>
      </c>
    </row>
    <row r="52" spans="1:10" x14ac:dyDescent="0.25">
      <c r="C52" s="33" t="s">
        <v>316</v>
      </c>
      <c r="D52" s="19" t="s">
        <v>293</v>
      </c>
    </row>
    <row r="53" spans="1:10" x14ac:dyDescent="0.25">
      <c r="B53" s="1"/>
      <c r="C53" s="15" t="s">
        <v>319</v>
      </c>
      <c r="D53" s="21">
        <f>'TDC &amp; TCI'!C13*8%</f>
        <v>99212.45005232605</v>
      </c>
    </row>
    <row r="55" spans="1:10" x14ac:dyDescent="0.25">
      <c r="B55" s="1"/>
    </row>
    <row r="56" spans="1:10" x14ac:dyDescent="0.25">
      <c r="B56" s="33"/>
      <c r="C56" s="19"/>
    </row>
    <row r="57" spans="1:10" x14ac:dyDescent="0.25">
      <c r="B57" s="33" t="s">
        <v>320</v>
      </c>
      <c r="C57" s="33" t="s">
        <v>321</v>
      </c>
    </row>
    <row r="58" spans="1:10" s="19" customFormat="1" x14ac:dyDescent="0.25">
      <c r="C58" s="18" t="s">
        <v>322</v>
      </c>
    </row>
    <row r="59" spans="1:10" x14ac:dyDescent="0.25">
      <c r="B59" s="43"/>
      <c r="C59" s="48" t="s">
        <v>323</v>
      </c>
      <c r="D59" s="21">
        <f>(E16+D19+D29)*50%</f>
        <v>1312215.0378852673</v>
      </c>
    </row>
    <row r="60" spans="1:10" x14ac:dyDescent="0.25">
      <c r="C60" s="19"/>
    </row>
    <row r="63" spans="1:10" x14ac:dyDescent="0.25">
      <c r="A63" s="33" t="s">
        <v>271</v>
      </c>
    </row>
    <row r="64" spans="1:10" x14ac:dyDescent="0.25">
      <c r="B64" s="12" t="s">
        <v>324</v>
      </c>
      <c r="C64" s="19" t="s">
        <v>323</v>
      </c>
    </row>
    <row r="65" spans="1:10" x14ac:dyDescent="0.25">
      <c r="B65" s="15" t="s">
        <v>327</v>
      </c>
      <c r="C65" s="21">
        <f>E16*20%</f>
        <v>110503.09567392313</v>
      </c>
    </row>
    <row r="67" spans="1:10" x14ac:dyDescent="0.25">
      <c r="B67" s="12" t="s">
        <v>325</v>
      </c>
      <c r="C67" s="19" t="s">
        <v>323</v>
      </c>
    </row>
    <row r="68" spans="1:10" x14ac:dyDescent="0.25">
      <c r="B68" s="15" t="s">
        <v>342</v>
      </c>
      <c r="C68" s="21">
        <f>B75*1%</f>
        <v>1376625.8374264757</v>
      </c>
    </row>
    <row r="70" spans="1:10" x14ac:dyDescent="0.25">
      <c r="B70" s="12" t="s">
        <v>326</v>
      </c>
      <c r="C70" s="19" t="s">
        <v>323</v>
      </c>
      <c r="H70" s="20"/>
    </row>
    <row r="71" spans="1:10" x14ac:dyDescent="0.25">
      <c r="B71" s="15" t="s">
        <v>328</v>
      </c>
      <c r="C71" s="21">
        <f>B75*2%</f>
        <v>2753251.6748529514</v>
      </c>
    </row>
    <row r="74" spans="1:10" ht="15.75" thickBot="1" x14ac:dyDescent="0.3">
      <c r="B74" s="13"/>
    </row>
    <row r="75" spans="1:10" ht="15.75" thickBot="1" x14ac:dyDescent="0.3">
      <c r="A75" s="64" t="s">
        <v>329</v>
      </c>
      <c r="B75" s="65">
        <f>(G5+E16+D19+G26+D29+D32+D35+D38+D49+D51+D53+D59+C65)* 1/ ( 1-1%-2% )</f>
        <v>137662583.74264756</v>
      </c>
      <c r="C75" s="66" t="s">
        <v>330</v>
      </c>
    </row>
    <row r="76" spans="1:10" x14ac:dyDescent="0.25">
      <c r="B76" s="13"/>
    </row>
    <row r="78" spans="1:10" s="19" customFormat="1" x14ac:dyDescent="0.25">
      <c r="B78" s="36"/>
    </row>
    <row r="79" spans="1:10" s="19" customFormat="1" x14ac:dyDescent="0.25">
      <c r="B79" s="36"/>
      <c r="I79" s="1"/>
      <c r="J79" s="1"/>
    </row>
    <row r="80" spans="1:10" s="19" customFormat="1" x14ac:dyDescent="0.25">
      <c r="B80" s="36"/>
    </row>
    <row r="81" spans="2:10" x14ac:dyDescent="0.25">
      <c r="B81" s="13"/>
    </row>
    <row r="82" spans="2:10" x14ac:dyDescent="0.25">
      <c r="B82" s="13"/>
    </row>
    <row r="84" spans="2:10" x14ac:dyDescent="0.25">
      <c r="B84" s="38"/>
    </row>
    <row r="87" spans="2:10" x14ac:dyDescent="0.25">
      <c r="I87" s="71"/>
      <c r="J87" s="71"/>
    </row>
    <row r="88" spans="2:10" x14ac:dyDescent="0.25">
      <c r="C88" s="9"/>
      <c r="D88" s="9"/>
      <c r="E88" s="9"/>
    </row>
    <row r="89" spans="2:10" x14ac:dyDescent="0.25">
      <c r="I89" s="19"/>
      <c r="J89" s="19"/>
    </row>
    <row r="90" spans="2:10" x14ac:dyDescent="0.25">
      <c r="I90" s="19"/>
      <c r="J90" s="19"/>
    </row>
    <row r="91" spans="2:10" x14ac:dyDescent="0.25">
      <c r="I91" s="19"/>
      <c r="J91" s="19"/>
    </row>
    <row r="94" spans="2:10" x14ac:dyDescent="0.25">
      <c r="B94" s="13"/>
    </row>
    <row r="95" spans="2:10" x14ac:dyDescent="0.25">
      <c r="B95" s="13"/>
    </row>
    <row r="96" spans="2:10" x14ac:dyDescent="0.25">
      <c r="B96" s="13"/>
    </row>
    <row r="98" spans="2:10" x14ac:dyDescent="0.25">
      <c r="B98" s="13"/>
      <c r="C98" s="19"/>
      <c r="D98" s="19"/>
      <c r="E98" s="19"/>
    </row>
    <row r="99" spans="2:10" x14ac:dyDescent="0.25">
      <c r="B99" s="13"/>
      <c r="C99" s="19"/>
      <c r="D99" s="19"/>
      <c r="E99" s="19"/>
    </row>
    <row r="100" spans="2:10" x14ac:dyDescent="0.25">
      <c r="B100" s="13"/>
      <c r="C100" s="19"/>
      <c r="D100" s="19"/>
      <c r="E100" s="19"/>
      <c r="F100" s="19"/>
      <c r="G100" s="19"/>
    </row>
    <row r="101" spans="2:10" x14ac:dyDescent="0.25">
      <c r="B101" s="38"/>
    </row>
    <row r="102" spans="2:10" s="19" customFormat="1" x14ac:dyDescent="0.25">
      <c r="B102" s="33"/>
    </row>
    <row r="103" spans="2:10" x14ac:dyDescent="0.25">
      <c r="C103" s="10"/>
      <c r="D103" s="10"/>
      <c r="E103" s="10"/>
    </row>
    <row r="104" spans="2:10" x14ac:dyDescent="0.25">
      <c r="H104" s="11"/>
    </row>
    <row r="109" spans="2:10" x14ac:dyDescent="0.25">
      <c r="C109" s="19"/>
      <c r="D109" s="19"/>
      <c r="E109" s="19"/>
      <c r="F109" s="19"/>
      <c r="G109" s="19"/>
      <c r="I109" s="19"/>
      <c r="J109" s="19"/>
    </row>
    <row r="110" spans="2:10" x14ac:dyDescent="0.25">
      <c r="C110" s="19"/>
      <c r="D110" s="19"/>
      <c r="E110" s="19"/>
      <c r="F110" s="19"/>
      <c r="G110" s="19"/>
      <c r="I110" s="19"/>
      <c r="J110" s="19"/>
    </row>
    <row r="114" spans="2:2" x14ac:dyDescent="0.25">
      <c r="B114" s="14"/>
    </row>
    <row r="119" spans="2:2" s="19" customFormat="1" x14ac:dyDescent="0.25">
      <c r="B119" s="33"/>
    </row>
    <row r="123" spans="2:2" s="19" customFormat="1" x14ac:dyDescent="0.25">
      <c r="B123" s="33"/>
    </row>
    <row r="124" spans="2:2" x14ac:dyDescent="0.25">
      <c r="B124" s="14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13" s="19" customFormat="1" x14ac:dyDescent="0.25">
      <c r="B129" s="36"/>
    </row>
    <row r="130" spans="2:13" x14ac:dyDescent="0.25">
      <c r="B130" s="13"/>
    </row>
    <row r="131" spans="2:13" s="19" customFormat="1" x14ac:dyDescent="0.25">
      <c r="B131" s="36"/>
    </row>
    <row r="132" spans="2:13" x14ac:dyDescent="0.2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40" spans="2:13" s="19" customFormat="1" x14ac:dyDescent="0.25">
      <c r="B140" s="33"/>
    </row>
    <row r="141" spans="2:13" x14ac:dyDescent="0.25">
      <c r="F141" s="19"/>
    </row>
  </sheetData>
  <mergeCells count="1">
    <mergeCell ref="I87:J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8D90-E2B5-4739-9434-3DCA7E34B33B}">
  <dimension ref="A4:E9"/>
  <sheetViews>
    <sheetView workbookViewId="0">
      <selection activeCell="E5" sqref="E5:E9"/>
    </sheetView>
  </sheetViews>
  <sheetFormatPr defaultColWidth="26.140625" defaultRowHeight="15" x14ac:dyDescent="0.25"/>
  <cols>
    <col min="2" max="2" width="26.140625" style="45"/>
    <col min="3" max="5" width="26.140625" style="19"/>
  </cols>
  <sheetData>
    <row r="4" spans="1:5" x14ac:dyDescent="0.25">
      <c r="B4" s="45" t="s">
        <v>337</v>
      </c>
    </row>
    <row r="5" spans="1:5" x14ac:dyDescent="0.25">
      <c r="A5" t="s">
        <v>331</v>
      </c>
      <c r="B5" s="45" t="s">
        <v>336</v>
      </c>
      <c r="C5" s="19" t="s">
        <v>290</v>
      </c>
      <c r="D5" s="19" t="s">
        <v>291</v>
      </c>
      <c r="E5" s="19" t="s">
        <v>335</v>
      </c>
    </row>
    <row r="6" spans="1:5" x14ac:dyDescent="0.25">
      <c r="A6" t="s">
        <v>332</v>
      </c>
      <c r="B6" s="45">
        <f>12821.8721840941*24*365/1000</f>
        <v>112319.60033266431</v>
      </c>
      <c r="C6" s="19">
        <v>1180</v>
      </c>
      <c r="D6" s="19">
        <f>C6*596/603</f>
        <v>1166.3018242122719</v>
      </c>
      <c r="E6" s="21">
        <f>B6*D6</f>
        <v>130998554.76277968</v>
      </c>
    </row>
    <row r="7" spans="1:5" x14ac:dyDescent="0.25">
      <c r="A7" t="s">
        <v>333</v>
      </c>
      <c r="B7" s="45">
        <f>938.569515380845*24*365/1000</f>
        <v>8221.8689547362028</v>
      </c>
      <c r="C7" s="19">
        <v>903</v>
      </c>
      <c r="D7" s="19">
        <f t="shared" ref="D7:D8" si="0">C7*596/603</f>
        <v>892.51741293532336</v>
      </c>
      <c r="E7" s="21">
        <f t="shared" ref="E7:E8" si="1">B7*D7</f>
        <v>7338161.2089744071</v>
      </c>
    </row>
    <row r="8" spans="1:5" ht="15.75" thickBot="1" x14ac:dyDescent="0.3">
      <c r="A8" t="s">
        <v>334</v>
      </c>
      <c r="B8" s="45">
        <f>306.709050143584*24*365/1000</f>
        <v>2686.7712792577963</v>
      </c>
      <c r="C8" s="19">
        <v>850</v>
      </c>
      <c r="D8" s="19">
        <f t="shared" si="0"/>
        <v>840.13266998341624</v>
      </c>
      <c r="E8" s="21">
        <f t="shared" si="1"/>
        <v>2257244.3284776113</v>
      </c>
    </row>
    <row r="9" spans="1:5" ht="15.75" thickBot="1" x14ac:dyDescent="0.3">
      <c r="A9" t="s">
        <v>186</v>
      </c>
      <c r="B9" s="45">
        <f>SUM(B6:B8)</f>
        <v>123228.24056665831</v>
      </c>
      <c r="C9" s="45"/>
      <c r="D9" s="45"/>
      <c r="E9" s="67">
        <f t="shared" ref="E9" si="2">SUM(E6:E8)</f>
        <v>140593960.30023172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7C53-2D16-4494-A036-6F6AD3428568}">
  <dimension ref="B2:F15"/>
  <sheetViews>
    <sheetView tabSelected="1" topLeftCell="A7" workbookViewId="0">
      <selection activeCell="C4" sqref="C4"/>
    </sheetView>
  </sheetViews>
  <sheetFormatPr defaultColWidth="28.7109375" defaultRowHeight="15" x14ac:dyDescent="0.25"/>
  <cols>
    <col min="3" max="3" width="28.7109375" style="19"/>
    <col min="4" max="5" width="28.7109375" style="18"/>
  </cols>
  <sheetData>
    <row r="2" spans="2:6" x14ac:dyDescent="0.25">
      <c r="B2" t="s">
        <v>345</v>
      </c>
      <c r="C2" s="19">
        <f>Revenue!E9</f>
        <v>140593960.30023172</v>
      </c>
      <c r="E2" s="33"/>
      <c r="F2" s="18"/>
    </row>
    <row r="3" spans="2:6" x14ac:dyDescent="0.25">
      <c r="B3" t="s">
        <v>329</v>
      </c>
      <c r="C3" s="19">
        <f>'Total product cost'!B75</f>
        <v>137662583.74264756</v>
      </c>
    </row>
    <row r="4" spans="2:6" x14ac:dyDescent="0.25">
      <c r="B4" t="s">
        <v>356</v>
      </c>
      <c r="C4" s="19">
        <f>'TDC &amp; TCI'!C59/16</f>
        <v>1775926.1389691755</v>
      </c>
    </row>
    <row r="6" spans="2:6" x14ac:dyDescent="0.25">
      <c r="B6" s="22" t="s">
        <v>344</v>
      </c>
      <c r="C6" s="21">
        <f>C2-C3</f>
        <v>2931376.5575841665</v>
      </c>
    </row>
    <row r="7" spans="2:6" x14ac:dyDescent="0.25">
      <c r="B7" t="s">
        <v>347</v>
      </c>
      <c r="C7" s="19">
        <f>C6*3%</f>
        <v>87941.296727524998</v>
      </c>
      <c r="D7" s="18" t="s">
        <v>351</v>
      </c>
    </row>
    <row r="9" spans="2:6" x14ac:dyDescent="0.25">
      <c r="B9" s="22" t="s">
        <v>346</v>
      </c>
      <c r="C9" s="21">
        <f>C2-C3-C4-C7</f>
        <v>1067509.1218874659</v>
      </c>
    </row>
    <row r="10" spans="2:6" x14ac:dyDescent="0.25">
      <c r="B10" t="s">
        <v>348</v>
      </c>
      <c r="C10" s="40">
        <v>0.25</v>
      </c>
    </row>
    <row r="12" spans="2:6" x14ac:dyDescent="0.25">
      <c r="B12" s="22" t="s">
        <v>349</v>
      </c>
      <c r="C12" s="21">
        <f>C9*(1-C10)</f>
        <v>800631.84141559945</v>
      </c>
    </row>
    <row r="14" spans="2:6" x14ac:dyDescent="0.25">
      <c r="B14" t="s">
        <v>350</v>
      </c>
      <c r="C14" s="19">
        <f>C12+C4+C7</f>
        <v>2664499.2771123</v>
      </c>
    </row>
    <row r="15" spans="2:6" x14ac:dyDescent="0.25">
      <c r="C15" s="68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O'Connell Efficiency</vt:lpstr>
      <vt:lpstr>Sizing</vt:lpstr>
      <vt:lpstr>Costing</vt:lpstr>
      <vt:lpstr>TDC &amp; TCI</vt:lpstr>
      <vt:lpstr>Total product cost</vt:lpstr>
      <vt:lpstr>Revenue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pooria motahari</dc:creator>
  <cp:lastModifiedBy>pooria motahari</cp:lastModifiedBy>
  <dcterms:created xsi:type="dcterms:W3CDTF">2015-06-05T18:17:20Z</dcterms:created>
  <dcterms:modified xsi:type="dcterms:W3CDTF">2024-01-11T19:38:27Z</dcterms:modified>
</cp:coreProperties>
</file>